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CCBDD1AE-D7EE-4861-814B-9C1282033758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" sheetId="1" r:id="rId2"/>
    <sheet name="check" sheetId="4" r:id="rId3"/>
  </sheets>
  <externalReferences>
    <externalReference r:id="rId4"/>
  </externalReferences>
  <definedNames>
    <definedName name="_xlnm._FilterDatabase" localSheetId="1" hidden="1">'SPS3'!$A$1:$K$2232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15" i="1" l="1" a="1"/>
  <c r="L2015" i="1" s="1"/>
  <c r="K2015" i="1" a="1"/>
  <c r="K2015" i="1" s="1"/>
  <c r="J2015" i="1" a="1"/>
  <c r="J2015" i="1" s="1"/>
  <c r="I2015" i="1" a="1"/>
  <c r="I2015" i="1" s="1"/>
  <c r="H2015" i="1" a="1"/>
  <c r="H2015" i="1" s="1"/>
  <c r="G2015" i="1" a="1"/>
  <c r="G2015" i="1" s="1"/>
  <c r="F2015" i="1" a="1"/>
  <c r="F2015" i="1" s="1"/>
  <c r="L1987" i="1" a="1"/>
  <c r="L1987" i="1" s="1"/>
  <c r="K1987" i="1" a="1"/>
  <c r="K1987" i="1" s="1"/>
  <c r="J1987" i="1" a="1"/>
  <c r="J1987" i="1" s="1"/>
  <c r="I1987" i="1" a="1"/>
  <c r="I1987" i="1" s="1"/>
  <c r="H1987" i="1" a="1"/>
  <c r="H1987" i="1" s="1"/>
  <c r="G1987" i="1" a="1"/>
  <c r="G1987" i="1" s="1"/>
  <c r="F1987" i="1" a="1"/>
  <c r="F1987" i="1" s="1"/>
  <c r="L1986" i="1" a="1"/>
  <c r="L1986" i="1" s="1"/>
  <c r="K1986" i="1" a="1"/>
  <c r="K1986" i="1" s="1"/>
  <c r="J1986" i="1" a="1"/>
  <c r="J1986" i="1" s="1"/>
  <c r="I1986" i="1" a="1"/>
  <c r="I1986" i="1" s="1"/>
  <c r="H1986" i="1" a="1"/>
  <c r="H1986" i="1" s="1"/>
  <c r="G1986" i="1" a="1"/>
  <c r="G1986" i="1" s="1"/>
  <c r="F1986" i="1" a="1"/>
  <c r="F1986" i="1" s="1"/>
  <c r="L1985" i="1" a="1"/>
  <c r="L1985" i="1" s="1"/>
  <c r="K1985" i="1" a="1"/>
  <c r="K1985" i="1" s="1"/>
  <c r="J1985" i="1" a="1"/>
  <c r="J1985" i="1" s="1"/>
  <c r="I1985" i="1" a="1"/>
  <c r="I1985" i="1" s="1"/>
  <c r="H1985" i="1" a="1"/>
  <c r="H1985" i="1" s="1"/>
  <c r="G1985" i="1" a="1"/>
  <c r="G1985" i="1" s="1"/>
  <c r="F1985" i="1" a="1"/>
  <c r="F1985" i="1" s="1"/>
  <c r="L2113" i="1"/>
  <c r="K2113" i="1"/>
  <c r="J2113" i="1"/>
  <c r="I2113" i="1"/>
  <c r="H2113" i="1"/>
  <c r="G2113" i="1"/>
  <c r="F2113" i="1"/>
  <c r="L2112" i="1"/>
  <c r="K2112" i="1"/>
  <c r="J2112" i="1"/>
  <c r="I2112" i="1"/>
  <c r="H2112" i="1"/>
  <c r="G2112" i="1"/>
  <c r="F2112" i="1"/>
  <c r="L2111" i="1"/>
  <c r="K2111" i="1"/>
  <c r="J2111" i="1"/>
  <c r="I2111" i="1"/>
  <c r="H2111" i="1"/>
  <c r="G2111" i="1"/>
  <c r="F2111" i="1"/>
  <c r="L2110" i="1"/>
  <c r="K2110" i="1"/>
  <c r="J2110" i="1"/>
  <c r="I2110" i="1"/>
  <c r="H2110" i="1"/>
  <c r="G2110" i="1"/>
  <c r="F2110" i="1"/>
  <c r="L2109" i="1"/>
  <c r="K2109" i="1"/>
  <c r="J2109" i="1"/>
  <c r="I2109" i="1"/>
  <c r="H2109" i="1"/>
  <c r="G2109" i="1"/>
  <c r="F2109" i="1"/>
  <c r="L2108" i="1"/>
  <c r="K2108" i="1"/>
  <c r="J2108" i="1"/>
  <c r="I2108" i="1"/>
  <c r="H2108" i="1"/>
  <c r="G2108" i="1"/>
  <c r="F2108" i="1"/>
  <c r="L2107" i="1"/>
  <c r="K2107" i="1"/>
  <c r="J2107" i="1"/>
  <c r="I2107" i="1"/>
  <c r="H2107" i="1"/>
  <c r="G2107" i="1"/>
  <c r="F2107" i="1"/>
  <c r="L2105" i="1"/>
  <c r="K2105" i="1"/>
  <c r="J2105" i="1"/>
  <c r="I2105" i="1"/>
  <c r="H2105" i="1"/>
  <c r="G2105" i="1"/>
  <c r="F2105" i="1"/>
  <c r="L2104" i="1"/>
  <c r="K2104" i="1"/>
  <c r="J2104" i="1"/>
  <c r="I2104" i="1"/>
  <c r="H2104" i="1"/>
  <c r="G2104" i="1"/>
  <c r="F2104" i="1"/>
  <c r="L2103" i="1"/>
  <c r="K2103" i="1"/>
  <c r="J2103" i="1"/>
  <c r="I2103" i="1"/>
  <c r="H2103" i="1"/>
  <c r="G2103" i="1"/>
  <c r="F2103" i="1"/>
  <c r="L2100" i="1"/>
  <c r="K2100" i="1"/>
  <c r="J2100" i="1"/>
  <c r="I2100" i="1"/>
  <c r="H2100" i="1"/>
  <c r="G2100" i="1"/>
  <c r="F2100" i="1"/>
  <c r="L2099" i="1"/>
  <c r="K2099" i="1"/>
  <c r="J2099" i="1"/>
  <c r="I2099" i="1"/>
  <c r="H2099" i="1"/>
  <c r="G2099" i="1"/>
  <c r="F2099" i="1"/>
  <c r="L2098" i="1"/>
  <c r="K2098" i="1"/>
  <c r="J2098" i="1"/>
  <c r="I2098" i="1"/>
  <c r="H2098" i="1"/>
  <c r="G2098" i="1"/>
  <c r="F2098" i="1"/>
  <c r="L2097" i="1"/>
  <c r="K2097" i="1"/>
  <c r="J2097" i="1"/>
  <c r="I2097" i="1"/>
  <c r="H2097" i="1"/>
  <c r="G2097" i="1"/>
  <c r="F2097" i="1"/>
  <c r="L2096" i="1"/>
  <c r="K2096" i="1"/>
  <c r="J2096" i="1"/>
  <c r="I2096" i="1"/>
  <c r="H2096" i="1"/>
  <c r="G2096" i="1"/>
  <c r="F2096" i="1"/>
  <c r="L2095" i="1"/>
  <c r="K2095" i="1"/>
  <c r="J2095" i="1"/>
  <c r="I2095" i="1"/>
  <c r="H2095" i="1"/>
  <c r="G2095" i="1"/>
  <c r="F2095" i="1"/>
  <c r="L2093" i="1"/>
  <c r="K2093" i="1"/>
  <c r="J2093" i="1"/>
  <c r="I2093" i="1"/>
  <c r="H2093" i="1"/>
  <c r="G2093" i="1"/>
  <c r="F2093" i="1"/>
  <c r="L2091" i="1"/>
  <c r="K2091" i="1"/>
  <c r="J2091" i="1"/>
  <c r="I2091" i="1"/>
  <c r="H2091" i="1"/>
  <c r="G2091" i="1"/>
  <c r="F2091" i="1"/>
  <c r="L2090" i="1"/>
  <c r="K2090" i="1"/>
  <c r="J2090" i="1"/>
  <c r="I2090" i="1"/>
  <c r="H2090" i="1"/>
  <c r="G2090" i="1"/>
  <c r="F2090" i="1"/>
  <c r="L2089" i="1"/>
  <c r="K2089" i="1"/>
  <c r="J2089" i="1"/>
  <c r="I2089" i="1"/>
  <c r="H2089" i="1"/>
  <c r="G2089" i="1"/>
  <c r="F2089" i="1"/>
  <c r="L2088" i="1"/>
  <c r="K2088" i="1"/>
  <c r="J2088" i="1"/>
  <c r="I2088" i="1"/>
  <c r="H2088" i="1"/>
  <c r="G2088" i="1"/>
  <c r="F2088" i="1"/>
  <c r="L2087" i="1"/>
  <c r="K2087" i="1"/>
  <c r="J2087" i="1"/>
  <c r="I2087" i="1"/>
  <c r="H2087" i="1"/>
  <c r="G2087" i="1"/>
  <c r="F2087" i="1"/>
  <c r="L2086" i="1"/>
  <c r="K2086" i="1"/>
  <c r="J2086" i="1"/>
  <c r="I2086" i="1"/>
  <c r="H2086" i="1"/>
  <c r="G2086" i="1"/>
  <c r="F2086" i="1"/>
  <c r="L2085" i="1"/>
  <c r="K2085" i="1"/>
  <c r="J2085" i="1"/>
  <c r="I2085" i="1"/>
  <c r="H2085" i="1"/>
  <c r="G2085" i="1"/>
  <c r="F2085" i="1"/>
  <c r="L2083" i="1"/>
  <c r="K2083" i="1"/>
  <c r="J2083" i="1"/>
  <c r="I2083" i="1"/>
  <c r="H2083" i="1"/>
  <c r="G2083" i="1"/>
  <c r="F2083" i="1"/>
  <c r="L2082" i="1"/>
  <c r="K2082" i="1"/>
  <c r="J2082" i="1"/>
  <c r="I2082" i="1"/>
  <c r="H2082" i="1"/>
  <c r="G2082" i="1"/>
  <c r="F2082" i="1"/>
  <c r="L2081" i="1"/>
  <c r="K2081" i="1"/>
  <c r="J2081" i="1"/>
  <c r="I2081" i="1"/>
  <c r="H2081" i="1"/>
  <c r="G2081" i="1"/>
  <c r="F2081" i="1"/>
  <c r="L2080" i="1"/>
  <c r="K2080" i="1"/>
  <c r="J2080" i="1"/>
  <c r="I2080" i="1"/>
  <c r="H2080" i="1"/>
  <c r="G2080" i="1"/>
  <c r="F2080" i="1"/>
  <c r="L2079" i="1"/>
  <c r="K2079" i="1"/>
  <c r="J2079" i="1"/>
  <c r="I2079" i="1"/>
  <c r="H2079" i="1"/>
  <c r="G2079" i="1"/>
  <c r="F2079" i="1"/>
  <c r="L2078" i="1"/>
  <c r="K2078" i="1"/>
  <c r="J2078" i="1"/>
  <c r="I2078" i="1"/>
  <c r="H2078" i="1"/>
  <c r="G2078" i="1"/>
  <c r="F2078" i="1"/>
  <c r="L2076" i="1"/>
  <c r="K2076" i="1"/>
  <c r="J2076" i="1"/>
  <c r="I2076" i="1"/>
  <c r="H2076" i="1"/>
  <c r="G2076" i="1"/>
  <c r="F2076" i="1"/>
  <c r="L2075" i="1"/>
  <c r="K2075" i="1"/>
  <c r="J2075" i="1"/>
  <c r="I2075" i="1"/>
  <c r="H2075" i="1"/>
  <c r="G2075" i="1"/>
  <c r="F2075" i="1"/>
  <c r="L2074" i="1"/>
  <c r="K2074" i="1"/>
  <c r="J2074" i="1"/>
  <c r="I2074" i="1"/>
  <c r="H2074" i="1"/>
  <c r="G2074" i="1"/>
  <c r="F2074" i="1"/>
  <c r="L2073" i="1"/>
  <c r="K2073" i="1"/>
  <c r="J2073" i="1"/>
  <c r="I2073" i="1"/>
  <c r="H2073" i="1"/>
  <c r="G2073" i="1"/>
  <c r="F2073" i="1"/>
  <c r="L2072" i="1"/>
  <c r="K2072" i="1"/>
  <c r="J2072" i="1"/>
  <c r="I2072" i="1"/>
  <c r="H2072" i="1"/>
  <c r="G2072" i="1"/>
  <c r="F2072" i="1"/>
  <c r="L2071" i="1"/>
  <c r="K2071" i="1"/>
  <c r="J2071" i="1"/>
  <c r="I2071" i="1"/>
  <c r="H2071" i="1"/>
  <c r="G2071" i="1"/>
  <c r="F2071" i="1"/>
  <c r="L2070" i="1"/>
  <c r="K2070" i="1"/>
  <c r="J2070" i="1"/>
  <c r="I2070" i="1"/>
  <c r="H2070" i="1"/>
  <c r="G2070" i="1"/>
  <c r="F2070" i="1"/>
  <c r="L2069" i="1"/>
  <c r="K2069" i="1"/>
  <c r="J2069" i="1"/>
  <c r="I2069" i="1"/>
  <c r="H2069" i="1"/>
  <c r="G2069" i="1"/>
  <c r="F2069" i="1"/>
  <c r="L2068" i="1"/>
  <c r="K2068" i="1"/>
  <c r="J2068" i="1"/>
  <c r="I2068" i="1"/>
  <c r="H2068" i="1"/>
  <c r="G2068" i="1"/>
  <c r="F2068" i="1"/>
  <c r="L2067" i="1"/>
  <c r="K2067" i="1"/>
  <c r="J2067" i="1"/>
  <c r="I2067" i="1"/>
  <c r="H2067" i="1"/>
  <c r="G2067" i="1"/>
  <c r="F2067" i="1"/>
  <c r="L2066" i="1"/>
  <c r="K2066" i="1"/>
  <c r="J2066" i="1"/>
  <c r="I2066" i="1"/>
  <c r="H2066" i="1"/>
  <c r="G2066" i="1"/>
  <c r="F2066" i="1"/>
  <c r="L2065" i="1"/>
  <c r="K2065" i="1"/>
  <c r="J2065" i="1"/>
  <c r="I2065" i="1"/>
  <c r="H2065" i="1"/>
  <c r="G2065" i="1"/>
  <c r="F2065" i="1"/>
  <c r="L2064" i="1"/>
  <c r="K2064" i="1"/>
  <c r="J2064" i="1"/>
  <c r="I2064" i="1"/>
  <c r="H2064" i="1"/>
  <c r="G2064" i="1"/>
  <c r="F2064" i="1"/>
  <c r="L2063" i="1"/>
  <c r="K2063" i="1"/>
  <c r="J2063" i="1"/>
  <c r="I2063" i="1"/>
  <c r="H2063" i="1"/>
  <c r="G2063" i="1"/>
  <c r="F2063" i="1"/>
  <c r="L2062" i="1"/>
  <c r="K2062" i="1"/>
  <c r="J2062" i="1"/>
  <c r="I2062" i="1"/>
  <c r="H2062" i="1"/>
  <c r="G2062" i="1"/>
  <c r="F2062" i="1"/>
  <c r="L2060" i="1"/>
  <c r="K2060" i="1"/>
  <c r="J2060" i="1"/>
  <c r="I2060" i="1"/>
  <c r="H2060" i="1"/>
  <c r="G2060" i="1"/>
  <c r="F2060" i="1"/>
  <c r="L2059" i="1"/>
  <c r="K2059" i="1"/>
  <c r="J2059" i="1"/>
  <c r="I2059" i="1"/>
  <c r="H2059" i="1"/>
  <c r="G2059" i="1"/>
  <c r="F2059" i="1"/>
  <c r="L2058" i="1"/>
  <c r="K2058" i="1"/>
  <c r="J2058" i="1"/>
  <c r="I2058" i="1"/>
  <c r="H2058" i="1"/>
  <c r="G2058" i="1"/>
  <c r="F2058" i="1"/>
  <c r="L2056" i="1"/>
  <c r="K2056" i="1"/>
  <c r="J2056" i="1"/>
  <c r="I2056" i="1"/>
  <c r="H2056" i="1"/>
  <c r="G2056" i="1"/>
  <c r="F2056" i="1"/>
  <c r="L2055" i="1"/>
  <c r="K2055" i="1"/>
  <c r="J2055" i="1"/>
  <c r="I2055" i="1"/>
  <c r="H2055" i="1"/>
  <c r="G2055" i="1"/>
  <c r="F2055" i="1"/>
  <c r="L2054" i="1"/>
  <c r="K2054" i="1"/>
  <c r="J2054" i="1"/>
  <c r="I2054" i="1"/>
  <c r="H2054" i="1"/>
  <c r="G2054" i="1"/>
  <c r="F2054" i="1"/>
  <c r="L2052" i="1"/>
  <c r="K2052" i="1"/>
  <c r="J2052" i="1"/>
  <c r="I2052" i="1"/>
  <c r="H2052" i="1"/>
  <c r="G2052" i="1"/>
  <c r="F2052" i="1"/>
  <c r="L1822" i="1"/>
  <c r="K1822" i="1"/>
  <c r="J1822" i="1"/>
  <c r="I1822" i="1"/>
  <c r="H1822" i="1"/>
  <c r="G1822" i="1"/>
  <c r="F1822" i="1"/>
  <c r="L1821" i="1"/>
  <c r="K1821" i="1"/>
  <c r="J1821" i="1"/>
  <c r="I1821" i="1"/>
  <c r="H1821" i="1"/>
  <c r="G1821" i="1"/>
  <c r="F1821" i="1"/>
  <c r="L1820" i="1"/>
  <c r="K1820" i="1"/>
  <c r="J1820" i="1"/>
  <c r="I1820" i="1"/>
  <c r="H1820" i="1"/>
  <c r="G1820" i="1"/>
  <c r="F1820" i="1"/>
  <c r="L1819" i="1"/>
  <c r="K1819" i="1"/>
  <c r="J1819" i="1"/>
  <c r="I1819" i="1"/>
  <c r="H1819" i="1"/>
  <c r="G1819" i="1"/>
  <c r="F1819" i="1"/>
  <c r="L1818" i="1"/>
  <c r="K1818" i="1"/>
  <c r="J1818" i="1"/>
  <c r="I1818" i="1"/>
  <c r="H1818" i="1"/>
  <c r="G1818" i="1"/>
  <c r="F1818" i="1"/>
  <c r="L1817" i="1"/>
  <c r="K1817" i="1"/>
  <c r="J1817" i="1"/>
  <c r="I1817" i="1"/>
  <c r="H1817" i="1"/>
  <c r="G1817" i="1"/>
  <c r="F1817" i="1"/>
  <c r="L1816" i="1"/>
  <c r="K1816" i="1"/>
  <c r="J1816" i="1"/>
  <c r="I1816" i="1"/>
  <c r="H1816" i="1"/>
  <c r="G1816" i="1"/>
  <c r="F1816" i="1"/>
  <c r="L1814" i="1"/>
  <c r="K1814" i="1"/>
  <c r="J1814" i="1"/>
  <c r="I1814" i="1"/>
  <c r="H1814" i="1"/>
  <c r="G1814" i="1"/>
  <c r="F1814" i="1"/>
  <c r="L1813" i="1"/>
  <c r="K1813" i="1"/>
  <c r="J1813" i="1"/>
  <c r="I1813" i="1"/>
  <c r="H1813" i="1"/>
  <c r="G1813" i="1"/>
  <c r="F1813" i="1"/>
  <c r="L1812" i="1"/>
  <c r="K1812" i="1"/>
  <c r="J1812" i="1"/>
  <c r="I1812" i="1"/>
  <c r="H1812" i="1"/>
  <c r="G1812" i="1"/>
  <c r="F1812" i="1"/>
  <c r="L1809" i="1"/>
  <c r="K1809" i="1"/>
  <c r="J1809" i="1"/>
  <c r="I1809" i="1"/>
  <c r="H1809" i="1"/>
  <c r="G1809" i="1"/>
  <c r="F1809" i="1"/>
  <c r="L1808" i="1"/>
  <c r="K1808" i="1"/>
  <c r="J1808" i="1"/>
  <c r="I1808" i="1"/>
  <c r="H1808" i="1"/>
  <c r="G1808" i="1"/>
  <c r="F1808" i="1"/>
  <c r="L1807" i="1"/>
  <c r="K1807" i="1"/>
  <c r="J1807" i="1"/>
  <c r="I1807" i="1"/>
  <c r="H1807" i="1"/>
  <c r="G1807" i="1"/>
  <c r="F1807" i="1"/>
  <c r="L1806" i="1"/>
  <c r="K1806" i="1"/>
  <c r="J1806" i="1"/>
  <c r="I1806" i="1"/>
  <c r="H1806" i="1"/>
  <c r="G1806" i="1"/>
  <c r="F1806" i="1"/>
  <c r="L1805" i="1"/>
  <c r="K1805" i="1"/>
  <c r="J1805" i="1"/>
  <c r="I1805" i="1"/>
  <c r="H1805" i="1"/>
  <c r="G1805" i="1"/>
  <c r="F1805" i="1"/>
  <c r="L1804" i="1"/>
  <c r="K1804" i="1"/>
  <c r="J1804" i="1"/>
  <c r="I1804" i="1"/>
  <c r="H1804" i="1"/>
  <c r="G1804" i="1"/>
  <c r="F1804" i="1"/>
  <c r="L1802" i="1"/>
  <c r="K1802" i="1"/>
  <c r="J1802" i="1"/>
  <c r="I1802" i="1"/>
  <c r="H1802" i="1"/>
  <c r="G1802" i="1"/>
  <c r="F1802" i="1"/>
  <c r="L1800" i="1"/>
  <c r="K1800" i="1"/>
  <c r="J1800" i="1"/>
  <c r="I1800" i="1"/>
  <c r="H1800" i="1"/>
  <c r="G1800" i="1"/>
  <c r="F1800" i="1"/>
  <c r="L1799" i="1"/>
  <c r="K1799" i="1"/>
  <c r="J1799" i="1"/>
  <c r="I1799" i="1"/>
  <c r="H1799" i="1"/>
  <c r="G1799" i="1"/>
  <c r="F1799" i="1"/>
  <c r="L1798" i="1"/>
  <c r="K1798" i="1"/>
  <c r="J1798" i="1"/>
  <c r="I1798" i="1"/>
  <c r="H1798" i="1"/>
  <c r="G1798" i="1"/>
  <c r="F1798" i="1"/>
  <c r="L1797" i="1"/>
  <c r="K1797" i="1"/>
  <c r="J1797" i="1"/>
  <c r="I1797" i="1"/>
  <c r="H1797" i="1"/>
  <c r="G1797" i="1"/>
  <c r="F1797" i="1"/>
  <c r="L1796" i="1"/>
  <c r="K1796" i="1"/>
  <c r="J1796" i="1"/>
  <c r="I1796" i="1"/>
  <c r="H1796" i="1"/>
  <c r="G1796" i="1"/>
  <c r="F1796" i="1"/>
  <c r="L1795" i="1"/>
  <c r="K1795" i="1"/>
  <c r="J1795" i="1"/>
  <c r="I1795" i="1"/>
  <c r="H1795" i="1"/>
  <c r="G1795" i="1"/>
  <c r="F1795" i="1"/>
  <c r="L1794" i="1"/>
  <c r="K1794" i="1"/>
  <c r="J1794" i="1"/>
  <c r="I1794" i="1"/>
  <c r="H1794" i="1"/>
  <c r="G1794" i="1"/>
  <c r="F1794" i="1"/>
  <c r="L1792" i="1"/>
  <c r="K1792" i="1"/>
  <c r="J1792" i="1"/>
  <c r="I1792" i="1"/>
  <c r="H1792" i="1"/>
  <c r="G1792" i="1"/>
  <c r="F1792" i="1"/>
  <c r="L1791" i="1"/>
  <c r="K1791" i="1"/>
  <c r="J1791" i="1"/>
  <c r="I1791" i="1"/>
  <c r="H1791" i="1"/>
  <c r="G1791" i="1"/>
  <c r="F1791" i="1"/>
  <c r="L1790" i="1"/>
  <c r="K1790" i="1"/>
  <c r="J1790" i="1"/>
  <c r="I1790" i="1"/>
  <c r="H1790" i="1"/>
  <c r="G1790" i="1"/>
  <c r="F1790" i="1"/>
  <c r="L1789" i="1"/>
  <c r="K1789" i="1"/>
  <c r="J1789" i="1"/>
  <c r="I1789" i="1"/>
  <c r="H1789" i="1"/>
  <c r="G1789" i="1"/>
  <c r="F1789" i="1"/>
  <c r="L1788" i="1"/>
  <c r="K1788" i="1"/>
  <c r="J1788" i="1"/>
  <c r="I1788" i="1"/>
  <c r="H1788" i="1"/>
  <c r="G1788" i="1"/>
  <c r="F1788" i="1"/>
  <c r="L1787" i="1"/>
  <c r="K1787" i="1"/>
  <c r="J1787" i="1"/>
  <c r="I1787" i="1"/>
  <c r="H1787" i="1"/>
  <c r="G1787" i="1"/>
  <c r="F1787" i="1"/>
  <c r="L1785" i="1"/>
  <c r="K1785" i="1"/>
  <c r="J1785" i="1"/>
  <c r="I1785" i="1"/>
  <c r="H1785" i="1"/>
  <c r="G1785" i="1"/>
  <c r="F1785" i="1"/>
  <c r="L1784" i="1"/>
  <c r="K1784" i="1"/>
  <c r="J1784" i="1"/>
  <c r="I1784" i="1"/>
  <c r="H1784" i="1"/>
  <c r="G1784" i="1"/>
  <c r="F1784" i="1"/>
  <c r="L1783" i="1"/>
  <c r="K1783" i="1"/>
  <c r="J1783" i="1"/>
  <c r="I1783" i="1"/>
  <c r="H1783" i="1"/>
  <c r="G1783" i="1"/>
  <c r="F1783" i="1"/>
  <c r="L1782" i="1"/>
  <c r="K1782" i="1"/>
  <c r="J1782" i="1"/>
  <c r="I1782" i="1"/>
  <c r="H1782" i="1"/>
  <c r="G1782" i="1"/>
  <c r="F1782" i="1"/>
  <c r="L1781" i="1"/>
  <c r="K1781" i="1"/>
  <c r="J1781" i="1"/>
  <c r="I1781" i="1"/>
  <c r="H1781" i="1"/>
  <c r="G1781" i="1"/>
  <c r="F1781" i="1"/>
  <c r="L1780" i="1"/>
  <c r="K1780" i="1"/>
  <c r="J1780" i="1"/>
  <c r="I1780" i="1"/>
  <c r="H1780" i="1"/>
  <c r="G1780" i="1"/>
  <c r="F1780" i="1"/>
  <c r="L1779" i="1"/>
  <c r="K1779" i="1"/>
  <c r="J1779" i="1"/>
  <c r="I1779" i="1"/>
  <c r="H1779" i="1"/>
  <c r="G1779" i="1"/>
  <c r="F1779" i="1"/>
  <c r="L1778" i="1"/>
  <c r="K1778" i="1"/>
  <c r="J1778" i="1"/>
  <c r="I1778" i="1"/>
  <c r="H1778" i="1"/>
  <c r="G1778" i="1"/>
  <c r="F1778" i="1"/>
  <c r="L1777" i="1"/>
  <c r="K1777" i="1"/>
  <c r="J1777" i="1"/>
  <c r="I1777" i="1"/>
  <c r="H1777" i="1"/>
  <c r="G1777" i="1"/>
  <c r="F1777" i="1"/>
  <c r="L1776" i="1"/>
  <c r="K1776" i="1"/>
  <c r="J1776" i="1"/>
  <c r="I1776" i="1"/>
  <c r="H1776" i="1"/>
  <c r="G1776" i="1"/>
  <c r="F1776" i="1"/>
  <c r="L1775" i="1"/>
  <c r="K1775" i="1"/>
  <c r="J1775" i="1"/>
  <c r="I1775" i="1"/>
  <c r="H1775" i="1"/>
  <c r="G1775" i="1"/>
  <c r="F1775" i="1"/>
  <c r="L1774" i="1"/>
  <c r="K1774" i="1"/>
  <c r="J1774" i="1"/>
  <c r="I1774" i="1"/>
  <c r="H1774" i="1"/>
  <c r="G1774" i="1"/>
  <c r="F1774" i="1"/>
  <c r="L1773" i="1"/>
  <c r="K1773" i="1"/>
  <c r="J1773" i="1"/>
  <c r="I1773" i="1"/>
  <c r="H1773" i="1"/>
  <c r="G1773" i="1"/>
  <c r="F1773" i="1"/>
  <c r="L1772" i="1"/>
  <c r="K1772" i="1"/>
  <c r="J1772" i="1"/>
  <c r="I1772" i="1"/>
  <c r="H1772" i="1"/>
  <c r="G1772" i="1"/>
  <c r="F1772" i="1"/>
  <c r="L1771" i="1"/>
  <c r="K1771" i="1"/>
  <c r="J1771" i="1"/>
  <c r="I1771" i="1"/>
  <c r="H1771" i="1"/>
  <c r="G1771" i="1"/>
  <c r="F1771" i="1"/>
  <c r="L1769" i="1"/>
  <c r="K1769" i="1"/>
  <c r="J1769" i="1"/>
  <c r="I1769" i="1"/>
  <c r="H1769" i="1"/>
  <c r="G1769" i="1"/>
  <c r="F1769" i="1"/>
  <c r="L1768" i="1"/>
  <c r="K1768" i="1"/>
  <c r="J1768" i="1"/>
  <c r="I1768" i="1"/>
  <c r="H1768" i="1"/>
  <c r="G1768" i="1"/>
  <c r="F1768" i="1"/>
  <c r="L1767" i="1"/>
  <c r="K1767" i="1"/>
  <c r="J1767" i="1"/>
  <c r="I1767" i="1"/>
  <c r="H1767" i="1"/>
  <c r="G1767" i="1"/>
  <c r="F1767" i="1"/>
  <c r="L1765" i="1"/>
  <c r="K1765" i="1"/>
  <c r="J1765" i="1"/>
  <c r="I1765" i="1"/>
  <c r="H1765" i="1"/>
  <c r="G1765" i="1"/>
  <c r="F1765" i="1"/>
  <c r="L1764" i="1"/>
  <c r="K1764" i="1"/>
  <c r="J1764" i="1"/>
  <c r="I1764" i="1"/>
  <c r="H1764" i="1"/>
  <c r="G1764" i="1"/>
  <c r="F1764" i="1"/>
  <c r="L1763" i="1"/>
  <c r="K1763" i="1"/>
  <c r="J1763" i="1"/>
  <c r="I1763" i="1"/>
  <c r="H1763" i="1"/>
  <c r="G1763" i="1"/>
  <c r="F1763" i="1"/>
  <c r="L1761" i="1"/>
  <c r="K1761" i="1"/>
  <c r="J1761" i="1"/>
  <c r="I1761" i="1"/>
  <c r="H1761" i="1"/>
  <c r="G1761" i="1"/>
  <c r="F1761" i="1"/>
  <c r="F1693" i="1" a="1"/>
  <c r="F1693" i="1" s="1"/>
  <c r="J1693" i="1" a="1"/>
  <c r="J1693" i="1" s="1"/>
  <c r="L1693" i="1" a="1"/>
  <c r="L1693" i="1" s="1"/>
  <c r="I1693" i="1" a="1"/>
  <c r="I1693" i="1" s="1"/>
  <c r="H1693" i="1" a="1"/>
  <c r="H1693" i="1" s="1"/>
  <c r="G1693" i="1" a="1"/>
  <c r="G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I1701" i="1"/>
  <c r="H1701" i="1"/>
  <c r="G1701" i="1"/>
  <c r="F1701" i="1"/>
  <c r="L1700" i="1"/>
  <c r="K1700" i="1"/>
  <c r="J1700" i="1"/>
  <c r="I1700" i="1"/>
  <c r="H1700" i="1"/>
  <c r="G1700" i="1"/>
  <c r="F1700" i="1"/>
  <c r="L1699" i="1"/>
  <c r="K1699" i="1"/>
  <c r="J1699" i="1"/>
  <c r="I1699" i="1"/>
  <c r="H1699" i="1"/>
  <c r="G1699" i="1"/>
  <c r="F1699" i="1"/>
  <c r="L1698" i="1"/>
  <c r="K1698" i="1"/>
  <c r="J1698" i="1"/>
  <c r="I1698" i="1"/>
  <c r="H1698" i="1"/>
  <c r="G1698" i="1"/>
  <c r="F1698" i="1"/>
  <c r="L1697" i="1"/>
  <c r="K1697" i="1"/>
  <c r="J1697" i="1"/>
  <c r="I1697" i="1"/>
  <c r="H1697" i="1"/>
  <c r="G1697" i="1"/>
  <c r="F1697" i="1"/>
  <c r="L1696" i="1"/>
  <c r="K1696" i="1"/>
  <c r="J1696" i="1"/>
  <c r="I1696" i="1"/>
  <c r="H1696" i="1"/>
  <c r="G1696" i="1"/>
  <c r="F1696" i="1"/>
  <c r="L1695" i="1"/>
  <c r="K1695" i="1"/>
  <c r="J1695" i="1"/>
  <c r="I1695" i="1"/>
  <c r="H1695" i="1"/>
  <c r="G1695" i="1"/>
  <c r="F1695" i="1"/>
  <c r="L1694" i="1"/>
  <c r="K1694" i="1"/>
  <c r="J1694" i="1"/>
  <c r="I1694" i="1"/>
  <c r="H1694" i="1"/>
  <c r="G1694" i="1"/>
  <c r="F1694" i="1"/>
  <c r="L1691" i="1"/>
  <c r="K1691" i="1"/>
  <c r="J1691" i="1"/>
  <c r="I1691" i="1"/>
  <c r="H1691" i="1"/>
  <c r="G1691" i="1"/>
  <c r="F1691" i="1"/>
  <c r="L1690" i="1"/>
  <c r="K1690" i="1"/>
  <c r="J1690" i="1"/>
  <c r="I1690" i="1"/>
  <c r="H1690" i="1"/>
  <c r="G1690" i="1"/>
  <c r="F1690" i="1"/>
  <c r="L1689" i="1"/>
  <c r="K1689" i="1"/>
  <c r="J1689" i="1"/>
  <c r="I1689" i="1"/>
  <c r="H1689" i="1"/>
  <c r="G1689" i="1"/>
  <c r="F1689" i="1"/>
  <c r="L1655" i="1"/>
  <c r="K1655" i="1"/>
  <c r="J1655" i="1"/>
  <c r="I1655" i="1"/>
  <c r="H1655" i="1"/>
  <c r="G1655" i="1"/>
  <c r="F1655" i="1"/>
  <c r="L1082" i="1"/>
  <c r="K1082" i="1"/>
  <c r="J1082" i="1"/>
  <c r="I1082" i="1"/>
  <c r="H1082" i="1"/>
  <c r="G1082" i="1"/>
  <c r="F1082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F1094" i="1" s="1"/>
  <c r="L1067" i="1"/>
  <c r="K1067" i="1"/>
  <c r="J1067" i="1"/>
  <c r="I1067" i="1"/>
  <c r="H1067" i="1"/>
  <c r="G1067" i="1"/>
  <c r="F1067" i="1"/>
  <c r="L1066" i="1"/>
  <c r="K1066" i="1"/>
  <c r="J1066" i="1"/>
  <c r="I1066" i="1"/>
  <c r="H1066" i="1"/>
  <c r="G1066" i="1"/>
  <c r="F1066" i="1"/>
  <c r="L1064" i="1"/>
  <c r="L1090" i="1" s="1"/>
  <c r="K1064" i="1"/>
  <c r="K1090" i="1" s="1"/>
  <c r="J1064" i="1"/>
  <c r="J1090" i="1" s="1"/>
  <c r="I1064" i="1"/>
  <c r="I1090" i="1" s="1"/>
  <c r="H1064" i="1"/>
  <c r="H1090" i="1" s="1"/>
  <c r="G1064" i="1"/>
  <c r="G1090" i="1" s="1"/>
  <c r="F1064" i="1"/>
  <c r="F1090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F1089" i="1" s="1"/>
  <c r="L1061" i="1"/>
  <c r="L1087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L1059" i="1"/>
  <c r="L1085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48" i="1"/>
  <c r="K1048" i="1"/>
  <c r="J1048" i="1"/>
  <c r="I1048" i="1"/>
  <c r="H1048" i="1"/>
  <c r="G1048" i="1"/>
  <c r="F1048" i="1"/>
  <c r="L1042" i="1"/>
  <c r="K1042" i="1"/>
  <c r="J1042" i="1"/>
  <c r="I1042" i="1"/>
  <c r="H1042" i="1"/>
  <c r="G1042" i="1"/>
  <c r="F1042" i="1"/>
  <c r="L1035" i="1"/>
  <c r="K1035" i="1"/>
  <c r="J1035" i="1"/>
  <c r="I1035" i="1"/>
  <c r="H1035" i="1"/>
  <c r="G1035" i="1"/>
  <c r="F1035" i="1"/>
  <c r="L1030" i="1"/>
  <c r="K1030" i="1"/>
  <c r="J1030" i="1"/>
  <c r="I1030" i="1"/>
  <c r="H1030" i="1"/>
  <c r="G1030" i="1"/>
  <c r="F1030" i="1"/>
  <c r="L1015" i="1"/>
  <c r="K1015" i="1"/>
  <c r="J1015" i="1"/>
  <c r="I1015" i="1"/>
  <c r="H1015" i="1"/>
  <c r="G1015" i="1"/>
  <c r="F1015" i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83" i="1"/>
  <c r="K983" i="1"/>
  <c r="J983" i="1"/>
  <c r="I983" i="1"/>
  <c r="H983" i="1"/>
  <c r="G983" i="1"/>
  <c r="F983" i="1"/>
  <c r="L982" i="1"/>
  <c r="K982" i="1"/>
  <c r="J982" i="1"/>
  <c r="I982" i="1"/>
  <c r="H982" i="1"/>
  <c r="G982" i="1"/>
  <c r="F982" i="1"/>
  <c r="L981" i="1"/>
  <c r="K981" i="1"/>
  <c r="J981" i="1"/>
  <c r="I981" i="1"/>
  <c r="H981" i="1"/>
  <c r="G981" i="1"/>
  <c r="F981" i="1"/>
  <c r="L980" i="1"/>
  <c r="K980" i="1"/>
  <c r="J980" i="1"/>
  <c r="I980" i="1"/>
  <c r="H980" i="1"/>
  <c r="G980" i="1"/>
  <c r="F980" i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0" i="1"/>
  <c r="K950" i="1"/>
  <c r="J950" i="1"/>
  <c r="I950" i="1"/>
  <c r="H950" i="1"/>
  <c r="G950" i="1"/>
  <c r="F950" i="1"/>
  <c r="L948" i="1"/>
  <c r="K948" i="1"/>
  <c r="J948" i="1"/>
  <c r="I948" i="1"/>
  <c r="H948" i="1"/>
  <c r="G948" i="1"/>
  <c r="F948" i="1"/>
  <c r="L946" i="1"/>
  <c r="K946" i="1"/>
  <c r="J946" i="1"/>
  <c r="I946" i="1"/>
  <c r="H946" i="1"/>
  <c r="G946" i="1"/>
  <c r="F946" i="1"/>
  <c r="L944" i="1"/>
  <c r="K944" i="1"/>
  <c r="J944" i="1"/>
  <c r="I944" i="1"/>
  <c r="H944" i="1"/>
  <c r="G944" i="1"/>
  <c r="F944" i="1"/>
  <c r="L938" i="1"/>
  <c r="K938" i="1"/>
  <c r="J938" i="1"/>
  <c r="I938" i="1"/>
  <c r="H938" i="1"/>
  <c r="G938" i="1"/>
  <c r="F938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2" i="1"/>
  <c r="K932" i="1"/>
  <c r="J932" i="1"/>
  <c r="I932" i="1"/>
  <c r="H932" i="1"/>
  <c r="G932" i="1"/>
  <c r="F932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6" i="1"/>
  <c r="K926" i="1"/>
  <c r="J926" i="1"/>
  <c r="I926" i="1"/>
  <c r="H926" i="1"/>
  <c r="G926" i="1"/>
  <c r="F926" i="1"/>
  <c r="L922" i="1"/>
  <c r="K922" i="1"/>
  <c r="J922" i="1"/>
  <c r="I922" i="1"/>
  <c r="H922" i="1"/>
  <c r="G922" i="1"/>
  <c r="F922" i="1"/>
  <c r="L919" i="1"/>
  <c r="K919" i="1"/>
  <c r="J919" i="1"/>
  <c r="I919" i="1"/>
  <c r="H919" i="1"/>
  <c r="G919" i="1"/>
  <c r="F919" i="1"/>
  <c r="L918" i="1"/>
  <c r="K918" i="1"/>
  <c r="J918" i="1"/>
  <c r="I918" i="1"/>
  <c r="H918" i="1"/>
  <c r="G918" i="1"/>
  <c r="F918" i="1"/>
  <c r="L906" i="1"/>
  <c r="K906" i="1"/>
  <c r="J906" i="1"/>
  <c r="I906" i="1"/>
  <c r="H906" i="1"/>
  <c r="G906" i="1"/>
  <c r="F906" i="1"/>
  <c r="L905" i="1"/>
  <c r="K905" i="1"/>
  <c r="J905" i="1"/>
  <c r="I905" i="1"/>
  <c r="H905" i="1"/>
  <c r="G905" i="1"/>
  <c r="F905" i="1"/>
  <c r="L904" i="1"/>
  <c r="L901" i="1" s="1"/>
  <c r="K904" i="1"/>
  <c r="K901" i="1" s="1"/>
  <c r="J904" i="1"/>
  <c r="J901" i="1" s="1"/>
  <c r="I904" i="1"/>
  <c r="I901" i="1" s="1"/>
  <c r="H904" i="1"/>
  <c r="H901" i="1" s="1"/>
  <c r="G904" i="1"/>
  <c r="G901" i="1" s="1"/>
  <c r="F904" i="1"/>
  <c r="F901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5" i="1"/>
  <c r="K895" i="1"/>
  <c r="J895" i="1"/>
  <c r="I895" i="1"/>
  <c r="H895" i="1"/>
  <c r="G895" i="1"/>
  <c r="L893" i="1"/>
  <c r="K893" i="1"/>
  <c r="J893" i="1"/>
  <c r="I893" i="1"/>
  <c r="H893" i="1"/>
  <c r="G893" i="1"/>
  <c r="F893" i="1"/>
  <c r="L890" i="1"/>
  <c r="K890" i="1"/>
  <c r="J890" i="1"/>
  <c r="I890" i="1"/>
  <c r="H890" i="1"/>
  <c r="G890" i="1"/>
  <c r="F890" i="1"/>
  <c r="L886" i="1"/>
  <c r="K886" i="1"/>
  <c r="J886" i="1"/>
  <c r="I886" i="1"/>
  <c r="H886" i="1"/>
  <c r="G886" i="1"/>
  <c r="F886" i="1"/>
  <c r="L883" i="1"/>
  <c r="K883" i="1"/>
  <c r="J883" i="1"/>
  <c r="I883" i="1"/>
  <c r="H883" i="1"/>
  <c r="G883" i="1"/>
  <c r="F883" i="1"/>
  <c r="F1834" i="1" a="1"/>
  <c r="F1834" i="1" s="1"/>
  <c r="L2284" i="1" a="1"/>
  <c r="L2284" i="1" s="1"/>
  <c r="G2297" i="1" a="1"/>
  <c r="G2297" i="1" s="1"/>
  <c r="K2292" i="1" a="1"/>
  <c r="K2292" i="1" s="1"/>
  <c r="G2288" i="1" a="1"/>
  <c r="G2288" i="1" s="1"/>
  <c r="L2282" i="1" a="1"/>
  <c r="L2282" i="1" s="1"/>
  <c r="L2294" i="1" a="1"/>
  <c r="L2294" i="1" s="1"/>
  <c r="L2286" i="1" a="1"/>
  <c r="L2286" i="1" s="1"/>
  <c r="K2294" i="1" a="1"/>
  <c r="K2294" i="1" s="1"/>
  <c r="J2284" i="1" a="1"/>
  <c r="J2284" i="1" s="1"/>
  <c r="H2297" i="1" a="1"/>
  <c r="H2297" i="1" s="1"/>
  <c r="J2294" i="1" a="1"/>
  <c r="J2294" i="1" s="1"/>
  <c r="J2292" i="1" a="1"/>
  <c r="J2292" i="1" s="1"/>
  <c r="H2286" i="1" a="1"/>
  <c r="H2286" i="1" s="1"/>
  <c r="J2286" i="1" a="1"/>
  <c r="J2286" i="1" s="1"/>
  <c r="H2292" i="1" a="1"/>
  <c r="H2292" i="1" s="1"/>
  <c r="F2297" i="1" a="1"/>
  <c r="F2297" i="1" s="1"/>
  <c r="F2302" i="1" a="1"/>
  <c r="F2302" i="1" s="1"/>
  <c r="K2290" i="1" a="1"/>
  <c r="K2290" i="1" s="1"/>
  <c r="F2294" i="1" a="1"/>
  <c r="F2294" i="1" s="1"/>
  <c r="G2292" i="1" a="1"/>
  <c r="G2292" i="1" s="1"/>
  <c r="I2292" i="1" a="1"/>
  <c r="I2292" i="1" s="1"/>
  <c r="I2294" i="1" a="1"/>
  <c r="I2294" i="1" s="1"/>
  <c r="K2284" i="1" a="1"/>
  <c r="K2284" i="1" s="1"/>
  <c r="J2303" i="1" a="1"/>
  <c r="J2303" i="1" s="1"/>
  <c r="H2306" i="1" a="1"/>
  <c r="H2306" i="1" s="1"/>
  <c r="H2294" i="1" a="1"/>
  <c r="H2294" i="1" s="1"/>
  <c r="I2290" i="1" a="1"/>
  <c r="I2290" i="1" s="1"/>
  <c r="L2290" i="1" a="1"/>
  <c r="L2290" i="1" s="1"/>
  <c r="F2290" i="1" a="1"/>
  <c r="F2290" i="1" s="1"/>
  <c r="G2294" i="1" a="1"/>
  <c r="G2294" i="1" s="1"/>
  <c r="I2288" i="1" a="1"/>
  <c r="I2288" i="1" s="1"/>
  <c r="J2290" i="1" a="1"/>
  <c r="J2290" i="1" s="1"/>
  <c r="H2290" i="1" a="1"/>
  <c r="H2290" i="1" s="1"/>
  <c r="F2284" i="1" a="1"/>
  <c r="F2284" i="1" s="1"/>
  <c r="L2297" i="1" a="1"/>
  <c r="L2297" i="1" s="1"/>
  <c r="G2290" i="1" a="1"/>
  <c r="G2290" i="1" s="1"/>
  <c r="L2288" i="1" a="1"/>
  <c r="L2288" i="1" s="1"/>
  <c r="H2284" i="1" a="1"/>
  <c r="H2284" i="1" s="1"/>
  <c r="G2281" i="1" a="1"/>
  <c r="G2281" i="1" s="1"/>
  <c r="H2274" i="1" a="1"/>
  <c r="H2274" i="1" s="1"/>
  <c r="J2288" i="1" a="1"/>
  <c r="J2288" i="1" s="1"/>
  <c r="G2284" i="1" a="1"/>
  <c r="G2284" i="1" s="1"/>
  <c r="I2284" i="1" a="1"/>
  <c r="I2284" i="1" s="1"/>
  <c r="F2286" i="1" a="1"/>
  <c r="F2286" i="1" s="1"/>
  <c r="K2286" i="1" a="1"/>
  <c r="K2286" i="1" s="1"/>
  <c r="G2280" i="1" a="1"/>
  <c r="G2280" i="1" s="1"/>
  <c r="K2271" i="1" a="1"/>
  <c r="K2271" i="1" s="1"/>
  <c r="H2288" i="1" a="1"/>
  <c r="H2288" i="1" s="1"/>
  <c r="K2288" i="1" a="1"/>
  <c r="K2288" i="1" s="1"/>
  <c r="F2292" i="1" a="1"/>
  <c r="F2292" i="1" s="1"/>
  <c r="K2297" i="1" a="1"/>
  <c r="K2297" i="1" s="1"/>
  <c r="I2297" i="1" a="1"/>
  <c r="I2297" i="1" s="1"/>
  <c r="F2275" i="1" a="1"/>
  <c r="F2275" i="1" s="1"/>
  <c r="I2286" i="1" a="1"/>
  <c r="I2286" i="1" s="1"/>
  <c r="K2282" i="1" a="1"/>
  <c r="K2282" i="1" s="1"/>
  <c r="J2297" i="1" a="1"/>
  <c r="J2297" i="1" s="1"/>
  <c r="L2292" i="1" a="1"/>
  <c r="L2292" i="1" s="1"/>
  <c r="G2286" i="1" a="1"/>
  <c r="G2286" i="1" s="1"/>
  <c r="H2271" i="1" a="1"/>
  <c r="H2271" i="1" s="1"/>
  <c r="I2274" i="1" a="1"/>
  <c r="I2274" i="1" s="1"/>
  <c r="F2288" i="1" a="1"/>
  <c r="F2288" i="1" s="1"/>
  <c r="K2274" i="1" a="1"/>
  <c r="K2274" i="1" s="1"/>
  <c r="I2282" i="1" a="1"/>
  <c r="I2282" i="1" s="1"/>
  <c r="J2280" i="1" a="1"/>
  <c r="J2280" i="1" s="1"/>
  <c r="I2281" i="1" a="1"/>
  <c r="I2281" i="1" s="1"/>
  <c r="H2282" i="1" a="1"/>
  <c r="H2282" i="1" s="1"/>
  <c r="F2278" i="1" a="1"/>
  <c r="F2278" i="1" s="1"/>
  <c r="L2275" i="1" a="1"/>
  <c r="L2275" i="1" s="1"/>
  <c r="G2282" i="1" a="1"/>
  <c r="G2282" i="1" s="1"/>
  <c r="K2278" i="1" a="1"/>
  <c r="K2278" i="1" s="1"/>
  <c r="J2281" i="1" a="1"/>
  <c r="J2281" i="1" s="1"/>
  <c r="L2281" i="1" a="1"/>
  <c r="L2281" i="1" s="1"/>
  <c r="G2274" i="1" a="1"/>
  <c r="G2274" i="1" s="1"/>
  <c r="F2282" i="1" a="1"/>
  <c r="F2282" i="1" s="1"/>
  <c r="K2281" i="1" a="1"/>
  <c r="K2281" i="1" s="1"/>
  <c r="H2278" i="1" a="1"/>
  <c r="H2278" i="1" s="1"/>
  <c r="H2277" i="1" a="1"/>
  <c r="H2277" i="1" s="1"/>
  <c r="K2280" i="1" a="1"/>
  <c r="K2280" i="1" s="1"/>
  <c r="J2278" i="1" a="1"/>
  <c r="J2278" i="1" s="1"/>
  <c r="I2277" i="1" a="1"/>
  <c r="I2277" i="1" s="1"/>
  <c r="G2275" i="1" a="1"/>
  <c r="G2275" i="1" s="1"/>
  <c r="J2274" i="1" a="1"/>
  <c r="J2274" i="1" s="1"/>
  <c r="L2277" i="1" a="1"/>
  <c r="L2277" i="1" s="1"/>
  <c r="L2278" i="1" a="1"/>
  <c r="L2278" i="1" s="1"/>
  <c r="G2277" i="1" a="1"/>
  <c r="G2277" i="1" s="1"/>
  <c r="I2280" i="1" a="1"/>
  <c r="I2280" i="1" s="1"/>
  <c r="F2281" i="1" a="1"/>
  <c r="F2281" i="1" s="1"/>
  <c r="H2275" i="1" a="1"/>
  <c r="H2275" i="1" s="1"/>
  <c r="G2271" i="1" a="1"/>
  <c r="G2271" i="1" s="1"/>
  <c r="K2275" i="1" a="1"/>
  <c r="K2275" i="1" s="1"/>
  <c r="J2271" i="1" a="1"/>
  <c r="J2271" i="1" s="1"/>
  <c r="G2278" i="1" a="1"/>
  <c r="G2278" i="1" s="1"/>
  <c r="J2282" i="1" a="1"/>
  <c r="J2282" i="1" s="1"/>
  <c r="K2261" i="1" a="1"/>
  <c r="K2261" i="1" s="1"/>
  <c r="G2260" i="1" a="1"/>
  <c r="G2260" i="1" s="1"/>
  <c r="J2277" i="1" a="1"/>
  <c r="J2277" i="1" s="1"/>
  <c r="K2265" i="1" a="1"/>
  <c r="K2265" i="1" s="1"/>
  <c r="I2275" i="1" a="1"/>
  <c r="I2275" i="1" s="1"/>
  <c r="G2265" i="1" a="1"/>
  <c r="G2265" i="1" s="1"/>
  <c r="I2271" i="1" a="1"/>
  <c r="I2271" i="1" s="1"/>
  <c r="F2265" i="1" a="1"/>
  <c r="F2265" i="1" s="1"/>
  <c r="L2274" i="1" a="1"/>
  <c r="L2274" i="1" s="1"/>
  <c r="L2271" i="1" a="1"/>
  <c r="L2271" i="1" s="1"/>
  <c r="I2261" i="1" a="1"/>
  <c r="I2261" i="1" s="1"/>
  <c r="H2261" i="1" a="1"/>
  <c r="H2261" i="1" s="1"/>
  <c r="J2275" i="1" a="1"/>
  <c r="J2275" i="1" s="1"/>
  <c r="L2280" i="1" a="1"/>
  <c r="L2280" i="1" s="1"/>
  <c r="I2278" i="1" a="1"/>
  <c r="I2278" i="1" s="1"/>
  <c r="L2256" i="1" a="1"/>
  <c r="L2256" i="1" s="1"/>
  <c r="H2260" i="1" a="1"/>
  <c r="H2260" i="1" s="1"/>
  <c r="I2256" i="1" a="1"/>
  <c r="I2256" i="1" s="1"/>
  <c r="F2267" i="1" a="1"/>
  <c r="F2267" i="1" s="1"/>
  <c r="K2277" i="1" a="1"/>
  <c r="K2277" i="1" s="1"/>
  <c r="H2281" i="1" a="1"/>
  <c r="H2281" i="1" s="1"/>
  <c r="F2261" i="1" a="1"/>
  <c r="F2261" i="1" s="1"/>
  <c r="L2263" i="1" a="1"/>
  <c r="L2263" i="1" s="1"/>
  <c r="H2280" i="1" a="1"/>
  <c r="H2280" i="1" s="1"/>
  <c r="F2277" i="1" a="1"/>
  <c r="F2277" i="1" s="1"/>
  <c r="F2271" i="1" a="1"/>
  <c r="F2271" i="1" s="1"/>
  <c r="K2258" i="1" a="1"/>
  <c r="K2258" i="1" s="1"/>
  <c r="G2263" i="1" a="1"/>
  <c r="G2263" i="1" s="1"/>
  <c r="F2274" i="1" a="1"/>
  <c r="F2274" i="1" s="1"/>
  <c r="I2258" i="1" a="1"/>
  <c r="I2258" i="1" s="1"/>
  <c r="F2263" i="1" a="1"/>
  <c r="F2263" i="1" s="1"/>
  <c r="F2280" i="1" a="1"/>
  <c r="F2280" i="1" s="1"/>
  <c r="H2258" i="1" a="1"/>
  <c r="H2258" i="1" s="1"/>
  <c r="I2269" i="1" a="1"/>
  <c r="I2269" i="1" s="1"/>
  <c r="K2263" i="1" a="1"/>
  <c r="K2263" i="1" s="1"/>
  <c r="L2267" i="1" a="1"/>
  <c r="L2267" i="1" s="1"/>
  <c r="F2269" i="1" a="1"/>
  <c r="F2269" i="1" s="1"/>
  <c r="J2258" i="1" a="1"/>
  <c r="J2258" i="1" s="1"/>
  <c r="H2256" i="1" a="1"/>
  <c r="H2256" i="1" s="1"/>
  <c r="L2258" i="1" a="1"/>
  <c r="L2258" i="1" s="1"/>
  <c r="H2265" i="1" a="1"/>
  <c r="H2265" i="1" s="1"/>
  <c r="L2261" i="1" a="1"/>
  <c r="L2261" i="1" s="1"/>
  <c r="K2260" i="1" a="1"/>
  <c r="K2260" i="1" s="1"/>
  <c r="G2269" i="1" a="1"/>
  <c r="G2269" i="1" s="1"/>
  <c r="K2256" i="1" a="1"/>
  <c r="K2256" i="1" s="1"/>
  <c r="L2269" i="1" a="1"/>
  <c r="L2269" i="1" s="1"/>
  <c r="L2260" i="1" a="1"/>
  <c r="L2260" i="1" s="1"/>
  <c r="I2263" i="1" a="1"/>
  <c r="I2263" i="1" s="1"/>
  <c r="J2265" i="1" a="1"/>
  <c r="J2265" i="1" s="1"/>
  <c r="H2269" i="1" a="1"/>
  <c r="H2269" i="1" s="1"/>
  <c r="I2260" i="1" a="1"/>
  <c r="I2260" i="1" s="1"/>
  <c r="H2263" i="1" a="1"/>
  <c r="H2263" i="1" s="1"/>
  <c r="J2267" i="1" a="1"/>
  <c r="J2267" i="1" s="1"/>
  <c r="G2261" i="1" a="1"/>
  <c r="G2261" i="1" s="1"/>
  <c r="J2256" i="1" a="1"/>
  <c r="J2256" i="1" s="1"/>
  <c r="H2267" i="1" a="1"/>
  <c r="H2267" i="1" s="1"/>
  <c r="J2269" i="1" a="1"/>
  <c r="J2269" i="1" s="1"/>
  <c r="L2265" i="1" a="1"/>
  <c r="L2265" i="1" s="1"/>
  <c r="F2258" i="1" a="1"/>
  <c r="F2258" i="1" s="1"/>
  <c r="K2267" i="1" a="1"/>
  <c r="K2267" i="1" s="1"/>
  <c r="K2269" i="1" a="1"/>
  <c r="K2269" i="1" s="1"/>
  <c r="J2263" i="1" a="1"/>
  <c r="J2263" i="1" s="1"/>
  <c r="F2260" i="1" a="1"/>
  <c r="F2260" i="1" s="1"/>
  <c r="G2267" i="1" a="1"/>
  <c r="G2267" i="1" s="1"/>
  <c r="G2256" i="1" a="1"/>
  <c r="G2256" i="1" s="1"/>
  <c r="G2246" i="1" a="1"/>
  <c r="G2246" i="1" s="1"/>
  <c r="L2252" i="1" a="1"/>
  <c r="L2252" i="1" s="1"/>
  <c r="K2250" i="1" a="1"/>
  <c r="K2250" i="1" s="1"/>
  <c r="J2261" i="1" a="1"/>
  <c r="J2261" i="1" s="1"/>
  <c r="K2255" i="1" a="1"/>
  <c r="K2255" i="1" s="1"/>
  <c r="G2258" i="1" a="1"/>
  <c r="G2258" i="1" s="1"/>
  <c r="F2256" i="1" a="1"/>
  <c r="F2256" i="1" s="1"/>
  <c r="L2250" i="1" a="1"/>
  <c r="L2250" i="1" s="1"/>
  <c r="I2265" i="1" a="1"/>
  <c r="I2265" i="1" s="1"/>
  <c r="I2242" i="1" a="1"/>
  <c r="I2242" i="1" s="1"/>
  <c r="H2250" i="1" a="1"/>
  <c r="H2250" i="1" s="1"/>
  <c r="H2255" i="1" a="1"/>
  <c r="H2255" i="1" s="1"/>
  <c r="L2255" i="1" a="1"/>
  <c r="L2255" i="1" s="1"/>
  <c r="L2248" i="1" a="1"/>
  <c r="L2248" i="1" s="1"/>
  <c r="H2252" i="1" a="1"/>
  <c r="H2252" i="1" s="1"/>
  <c r="F2252" i="1" a="1"/>
  <c r="F2252" i="1" s="1"/>
  <c r="G2244" i="1" a="1"/>
  <c r="G2244" i="1" s="1"/>
  <c r="I2250" i="1" a="1"/>
  <c r="I2250" i="1" s="1"/>
  <c r="G2255" i="1" a="1"/>
  <c r="G2255" i="1" s="1"/>
  <c r="F2244" i="1" a="1"/>
  <c r="F2244" i="1" s="1"/>
  <c r="K2241" i="1" a="1"/>
  <c r="K2241" i="1" s="1"/>
  <c r="L2241" i="1" a="1"/>
  <c r="L2241" i="1" s="1"/>
  <c r="I2241" i="1" a="1"/>
  <c r="I2241" i="1" s="1"/>
  <c r="L2244" i="1" a="1"/>
  <c r="L2244" i="1" s="1"/>
  <c r="L2246" i="1" a="1"/>
  <c r="L2246" i="1" s="1"/>
  <c r="J2255" i="1" a="1"/>
  <c r="J2255" i="1" s="1"/>
  <c r="I2267" i="1" a="1"/>
  <c r="I2267" i="1" s="1"/>
  <c r="H2246" i="1" a="1"/>
  <c r="H2246" i="1" s="1"/>
  <c r="H2242" i="1" a="1"/>
  <c r="H2242" i="1" s="1"/>
  <c r="J2260" i="1" a="1"/>
  <c r="J2260" i="1" s="1"/>
  <c r="F2242" i="1" a="1"/>
  <c r="F2242" i="1" s="1"/>
  <c r="G2248" i="1" a="1"/>
  <c r="G2248" i="1" s="1"/>
  <c r="K2239" i="1" a="1"/>
  <c r="K2239" i="1" s="1"/>
  <c r="J2246" i="1" a="1"/>
  <c r="J2246" i="1" s="1"/>
  <c r="I2244" i="1" a="1"/>
  <c r="I2244" i="1" s="1"/>
  <c r="J2250" i="1" a="1"/>
  <c r="J2250" i="1" s="1"/>
  <c r="J2252" i="1" a="1"/>
  <c r="J2252" i="1" s="1"/>
  <c r="F2246" i="1" a="1"/>
  <c r="F2246" i="1" s="1"/>
  <c r="L2239" i="1" a="1"/>
  <c r="L2239" i="1" s="1"/>
  <c r="J2241" i="1" a="1"/>
  <c r="J2241" i="1" s="1"/>
  <c r="G2250" i="1" a="1"/>
  <c r="G2250" i="1" s="1"/>
  <c r="F2248" i="1" a="1"/>
  <c r="F2248" i="1" s="1"/>
  <c r="G2252" i="1" a="1"/>
  <c r="G2252" i="1" s="1"/>
  <c r="I2246" i="1" a="1"/>
  <c r="I2246" i="1" s="1"/>
  <c r="K2236" i="1" a="1"/>
  <c r="K2236" i="1" s="1"/>
  <c r="G2242" i="1" a="1"/>
  <c r="G2242" i="1" s="1"/>
  <c r="K2244" i="1" a="1"/>
  <c r="K2244" i="1" s="1"/>
  <c r="K2252" i="1" a="1"/>
  <c r="K2252" i="1" s="1"/>
  <c r="F2250" i="1" a="1"/>
  <c r="F2250" i="1" s="1"/>
  <c r="J2248" i="1" a="1"/>
  <c r="J2248" i="1" s="1"/>
  <c r="J2242" i="1" a="1"/>
  <c r="J2242" i="1" s="1"/>
  <c r="H2248" i="1" a="1"/>
  <c r="H2248" i="1" s="1"/>
  <c r="I2248" i="1" a="1"/>
  <c r="I2248" i="1" s="1"/>
  <c r="L2242" i="1" a="1"/>
  <c r="L2242" i="1" s="1"/>
  <c r="H2241" i="1" a="1"/>
  <c r="H2241" i="1" s="1"/>
  <c r="K2242" i="1" a="1"/>
  <c r="K2242" i="1" s="1"/>
  <c r="I2255" i="1" a="1"/>
  <c r="I2255" i="1" s="1"/>
  <c r="I2252" i="1" a="1"/>
  <c r="I2252" i="1" s="1"/>
  <c r="F2255" i="1" a="1"/>
  <c r="F2255" i="1" s="1"/>
  <c r="K2246" i="1" a="1"/>
  <c r="K2246" i="1" s="1"/>
  <c r="H2244" i="1" a="1"/>
  <c r="H2244" i="1" s="1"/>
  <c r="K2248" i="1" a="1"/>
  <c r="K2248" i="1" s="1"/>
  <c r="J2244" i="1" a="1"/>
  <c r="J2244" i="1" s="1"/>
  <c r="J1902" i="1" a="1"/>
  <c r="J1902" i="1" s="1"/>
  <c r="K1902" i="1" a="1"/>
  <c r="K1902" i="1" s="1"/>
  <c r="I2239" i="1" a="1"/>
  <c r="I2239" i="1" s="1"/>
  <c r="J2237" i="1" a="1"/>
  <c r="J2237" i="1" s="1"/>
  <c r="G1902" i="1" a="1"/>
  <c r="G1902" i="1" s="1"/>
  <c r="H2239" i="1" a="1"/>
  <c r="H2239" i="1" s="1"/>
  <c r="I2237" i="1" a="1"/>
  <c r="I2237" i="1" s="1"/>
  <c r="L2236" i="1" a="1"/>
  <c r="L2236" i="1" s="1"/>
  <c r="L1900" i="1" a="1"/>
  <c r="L1900" i="1" s="1"/>
  <c r="F2236" i="1" a="1"/>
  <c r="F2236" i="1" s="1"/>
  <c r="J1900" i="1" a="1"/>
  <c r="J1900" i="1" s="1"/>
  <c r="K1900" i="1" a="1"/>
  <c r="K1900" i="1" s="1"/>
  <c r="L2237" i="1" a="1"/>
  <c r="L2237" i="1" s="1"/>
  <c r="J2239" i="1" a="1"/>
  <c r="J2239" i="1" s="1"/>
  <c r="G2239" i="1" a="1"/>
  <c r="G2239" i="1" s="1"/>
  <c r="F2239" i="1" a="1"/>
  <c r="F2239" i="1" s="1"/>
  <c r="F1902" i="1" a="1"/>
  <c r="F1902" i="1" s="1"/>
  <c r="H1902" i="1" a="1"/>
  <c r="H1902" i="1" s="1"/>
  <c r="L1902" i="1" a="1"/>
  <c r="L1902" i="1" s="1"/>
  <c r="G2241" i="1" a="1"/>
  <c r="G2241" i="1" s="1"/>
  <c r="H2237" i="1" a="1"/>
  <c r="H2237" i="1" s="1"/>
  <c r="H2236" i="1" a="1"/>
  <c r="H2236" i="1" s="1"/>
  <c r="G2237" i="1" a="1"/>
  <c r="G2237" i="1" s="1"/>
  <c r="G2236" i="1" a="1"/>
  <c r="G2236" i="1" s="1"/>
  <c r="I2236" i="1" a="1"/>
  <c r="I2236" i="1" s="1"/>
  <c r="I1902" i="1" a="1"/>
  <c r="I1902" i="1" s="1"/>
  <c r="J2236" i="1" a="1"/>
  <c r="J2236" i="1" s="1"/>
  <c r="F2237" i="1" a="1"/>
  <c r="F2237" i="1" s="1"/>
  <c r="I1900" i="1" a="1"/>
  <c r="I1900" i="1" s="1"/>
  <c r="H1898" i="1" a="1"/>
  <c r="H1898" i="1" s="1"/>
  <c r="K2237" i="1" a="1"/>
  <c r="K2237" i="1" s="1"/>
  <c r="F2241" i="1" a="1"/>
  <c r="F2241" i="1" s="1"/>
  <c r="J1896" i="1" a="1"/>
  <c r="J1896" i="1" s="1"/>
  <c r="G1898" i="1" a="1"/>
  <c r="G1898" i="1" s="1"/>
  <c r="F1894" i="1" a="1"/>
  <c r="F1894" i="1" s="1"/>
  <c r="F1892" i="1" a="1"/>
  <c r="F1892" i="1" s="1"/>
  <c r="H1894" i="1" a="1"/>
  <c r="H1894" i="1" s="1"/>
  <c r="H1890" i="1" a="1"/>
  <c r="H1890" i="1" s="1"/>
  <c r="G1892" i="1" a="1"/>
  <c r="G1892" i="1" s="1"/>
  <c r="G1900" i="1" a="1"/>
  <c r="G1900" i="1" s="1"/>
  <c r="J1890" i="1" a="1"/>
  <c r="J1890" i="1" s="1"/>
  <c r="L1896" i="1" a="1"/>
  <c r="L1896" i="1" s="1"/>
  <c r="K1896" i="1" a="1"/>
  <c r="K1896" i="1" s="1"/>
  <c r="G1890" i="1" a="1"/>
  <c r="G1890" i="1" s="1"/>
  <c r="I1890" i="1" a="1"/>
  <c r="I1890" i="1" s="1"/>
  <c r="J1893" i="1" a="1"/>
  <c r="J1893" i="1" s="1"/>
  <c r="L1890" i="1" a="1"/>
  <c r="L1890" i="1" s="1"/>
  <c r="J1892" i="1" a="1"/>
  <c r="J1892" i="1" s="1"/>
  <c r="F1890" i="1" a="1"/>
  <c r="F1890" i="1" s="1"/>
  <c r="H1893" i="1" a="1"/>
  <c r="H1893" i="1" s="1"/>
  <c r="G1893" i="1" a="1"/>
  <c r="G1893" i="1" s="1"/>
  <c r="L1898" i="1" a="1"/>
  <c r="L1898" i="1" s="1"/>
  <c r="H1892" i="1" a="1"/>
  <c r="H1892" i="1" s="1"/>
  <c r="L1892" i="1" a="1"/>
  <c r="L1892" i="1" s="1"/>
  <c r="F1896" i="1" a="1"/>
  <c r="F1896" i="1" s="1"/>
  <c r="I1896" i="1" a="1"/>
  <c r="I1896" i="1" s="1"/>
  <c r="J1898" i="1" a="1"/>
  <c r="J1898" i="1" s="1"/>
  <c r="F1893" i="1" a="1"/>
  <c r="F1893" i="1" s="1"/>
  <c r="G1896" i="1" a="1"/>
  <c r="G1896" i="1" s="1"/>
  <c r="L1894" i="1" a="1"/>
  <c r="L1894" i="1" s="1"/>
  <c r="H1900" i="1" a="1"/>
  <c r="H1900" i="1" s="1"/>
  <c r="J1894" i="1" a="1"/>
  <c r="J1894" i="1" s="1"/>
  <c r="I1892" i="1" a="1"/>
  <c r="I1892" i="1" s="1"/>
  <c r="H1896" i="1" a="1"/>
  <c r="H1896" i="1" s="1"/>
  <c r="F1898" i="1" a="1"/>
  <c r="F1898" i="1" s="1"/>
  <c r="J1888" i="1" a="1"/>
  <c r="J1888" i="1" s="1"/>
  <c r="H1876" i="1" a="1"/>
  <c r="H1876" i="1" s="1"/>
  <c r="I1884" i="1" a="1"/>
  <c r="I1884" i="1" s="1"/>
  <c r="K1880" i="1" a="1"/>
  <c r="K1880" i="1" s="1"/>
  <c r="G1894" i="1" a="1"/>
  <c r="G1894" i="1" s="1"/>
  <c r="K1890" i="1" a="1"/>
  <c r="K1890" i="1" s="1"/>
  <c r="I1894" i="1" a="1"/>
  <c r="I1894" i="1" s="1"/>
  <c r="J1880" i="1" a="1"/>
  <c r="J1880" i="1" s="1"/>
  <c r="H1882" i="1" a="1"/>
  <c r="H1882" i="1" s="1"/>
  <c r="F1900" i="1" a="1"/>
  <c r="F1900" i="1" s="1"/>
  <c r="K1882" i="1" a="1"/>
  <c r="K1882" i="1" s="1"/>
  <c r="K1893" i="1" a="1"/>
  <c r="K1893" i="1" s="1"/>
  <c r="G1882" i="1" a="1"/>
  <c r="G1882" i="1" s="1"/>
  <c r="F1887" i="1" a="1"/>
  <c r="F1887" i="1" s="1"/>
  <c r="G1887" i="1" a="1"/>
  <c r="G1887" i="1" s="1"/>
  <c r="L1884" i="1" a="1"/>
  <c r="L1884" i="1" s="1"/>
  <c r="I1893" i="1" a="1"/>
  <c r="I1893" i="1" s="1"/>
  <c r="K1892" i="1" a="1"/>
  <c r="K1892" i="1" s="1"/>
  <c r="I1887" i="1" a="1"/>
  <c r="I1887" i="1" s="1"/>
  <c r="L1893" i="1" a="1"/>
  <c r="L1893" i="1" s="1"/>
  <c r="K1887" i="1" a="1"/>
  <c r="K1887" i="1" s="1"/>
  <c r="K1874" i="1" a="1"/>
  <c r="K1874" i="1" s="1"/>
  <c r="H1887" i="1" a="1"/>
  <c r="H1887" i="1" s="1"/>
  <c r="K1894" i="1" a="1"/>
  <c r="K1894" i="1" s="1"/>
  <c r="L1882" i="1" a="1"/>
  <c r="L1882" i="1" s="1"/>
  <c r="I1898" i="1" a="1"/>
  <c r="I1898" i="1" s="1"/>
  <c r="K1888" i="1" a="1"/>
  <c r="K1888" i="1" s="1"/>
  <c r="G1888" i="1" a="1"/>
  <c r="G1888" i="1" s="1"/>
  <c r="F1884" i="1" a="1"/>
  <c r="F1884" i="1" s="1"/>
  <c r="F1878" i="1" a="1"/>
  <c r="F1878" i="1" s="1"/>
  <c r="K1898" i="1" a="1"/>
  <c r="K1898" i="1" s="1"/>
  <c r="H1888" i="1" a="1"/>
  <c r="H1888" i="1" s="1"/>
  <c r="H1884" i="1" a="1"/>
  <c r="H1884" i="1" s="1"/>
  <c r="L1887" i="1" a="1"/>
  <c r="L1887" i="1" s="1"/>
  <c r="F1876" i="1" a="1"/>
  <c r="F1876" i="1" s="1"/>
  <c r="J1884" i="1" a="1"/>
  <c r="J1884" i="1" s="1"/>
  <c r="H1878" i="1" a="1"/>
  <c r="H1878" i="1" s="1"/>
  <c r="I1888" i="1" a="1"/>
  <c r="I1888" i="1" s="1"/>
  <c r="J1882" i="1" a="1"/>
  <c r="J1882" i="1" s="1"/>
  <c r="J1876" i="1" a="1"/>
  <c r="J1876" i="1" s="1"/>
  <c r="I1878" i="1" a="1"/>
  <c r="I1878" i="1" s="1"/>
  <c r="K1871" i="1" a="1"/>
  <c r="K1871" i="1" s="1"/>
  <c r="F1888" i="1" a="1"/>
  <c r="F1888" i="1" s="1"/>
  <c r="J1887" i="1" a="1"/>
  <c r="J1887" i="1" s="1"/>
  <c r="K1884" i="1" a="1"/>
  <c r="K1884" i="1" s="1"/>
  <c r="I1876" i="1" a="1"/>
  <c r="I1876" i="1" s="1"/>
  <c r="G1876" i="1" a="1"/>
  <c r="G1876" i="1" s="1"/>
  <c r="J1878" i="1" a="1"/>
  <c r="J1878" i="1" s="1"/>
  <c r="G1884" i="1" a="1"/>
  <c r="G1884" i="1" s="1"/>
  <c r="L1880" i="1" a="1"/>
  <c r="L1880" i="1" s="1"/>
  <c r="L1874" i="1" a="1"/>
  <c r="L1874" i="1" s="1"/>
  <c r="I1880" i="1" a="1"/>
  <c r="I1880" i="1" s="1"/>
  <c r="L1888" i="1" a="1"/>
  <c r="L1888" i="1" s="1"/>
  <c r="K1878" i="1" a="1"/>
  <c r="K1878" i="1" s="1"/>
  <c r="I1882" i="1" a="1"/>
  <c r="I1882" i="1" s="1"/>
  <c r="G1878" i="1" a="1"/>
  <c r="G1878" i="1" s="1"/>
  <c r="L1876" i="1" a="1"/>
  <c r="L1876" i="1" s="1"/>
  <c r="L1878" i="1" a="1"/>
  <c r="L1878" i="1" s="1"/>
  <c r="F1882" i="1" a="1"/>
  <c r="F1882" i="1" s="1"/>
  <c r="G1880" i="1" a="1"/>
  <c r="G1880" i="1" s="1"/>
  <c r="F1880" i="1" a="1"/>
  <c r="F1880" i="1" s="1"/>
  <c r="H1880" i="1" a="1"/>
  <c r="H1880" i="1" s="1"/>
  <c r="K1876" i="1" a="1"/>
  <c r="K1876" i="1" s="1"/>
  <c r="L1872" i="1" a="1"/>
  <c r="L1872" i="1" s="1"/>
  <c r="I1871" i="1" a="1"/>
  <c r="I1871" i="1" s="1"/>
  <c r="H1870" i="1" a="1"/>
  <c r="H1870" i="1" s="1"/>
  <c r="K1864" i="1" a="1"/>
  <c r="K1864" i="1" s="1"/>
  <c r="G1870" i="1" a="1"/>
  <c r="G1870" i="1" s="1"/>
  <c r="G1874" i="1" a="1"/>
  <c r="G1874" i="1" s="1"/>
  <c r="F1867" i="1" a="1"/>
  <c r="F1867" i="1" s="1"/>
  <c r="K1868" i="1" a="1"/>
  <c r="K1868" i="1" s="1"/>
  <c r="K1865" i="1" a="1"/>
  <c r="K1865" i="1" s="1"/>
  <c r="L1871" i="1" a="1"/>
  <c r="L1871" i="1" s="1"/>
  <c r="H1874" i="1" a="1"/>
  <c r="H1874" i="1" s="1"/>
  <c r="G1868" i="1" a="1"/>
  <c r="G1868" i="1" s="1"/>
  <c r="G1872" i="1" a="1"/>
  <c r="G1872" i="1" s="1"/>
  <c r="H1867" i="1" a="1"/>
  <c r="H1867" i="1" s="1"/>
  <c r="F1871" i="1" a="1"/>
  <c r="F1871" i="1" s="1"/>
  <c r="J1865" i="1" a="1"/>
  <c r="J1865" i="1" s="1"/>
  <c r="I1865" i="1" a="1"/>
  <c r="I1865" i="1" s="1"/>
  <c r="F1874" i="1" a="1"/>
  <c r="F1874" i="1" s="1"/>
  <c r="J1867" i="1" a="1"/>
  <c r="J1867" i="1" s="1"/>
  <c r="J1872" i="1" a="1"/>
  <c r="J1872" i="1" s="1"/>
  <c r="I1872" i="1" a="1"/>
  <c r="I1872" i="1" s="1"/>
  <c r="H1864" i="1" a="1"/>
  <c r="H1864" i="1" s="1"/>
  <c r="I1874" i="1" a="1"/>
  <c r="I1874" i="1" s="1"/>
  <c r="L1864" i="1" a="1"/>
  <c r="L1864" i="1" s="1"/>
  <c r="H1872" i="1" a="1"/>
  <c r="H1872" i="1" s="1"/>
  <c r="G1867" i="1" a="1"/>
  <c r="G1867" i="1" s="1"/>
  <c r="L1867" i="1" a="1"/>
  <c r="L1867" i="1" s="1"/>
  <c r="J1874" i="1" a="1"/>
  <c r="J1874" i="1" s="1"/>
  <c r="K1870" i="1" a="1"/>
  <c r="K1870" i="1" s="1"/>
  <c r="J1871" i="1" a="1"/>
  <c r="J1871" i="1" s="1"/>
  <c r="F1870" i="1" a="1"/>
  <c r="F1870" i="1" s="1"/>
  <c r="F1868" i="1" a="1"/>
  <c r="F1868" i="1" s="1"/>
  <c r="K1867" i="1" a="1"/>
  <c r="K1867" i="1" s="1"/>
  <c r="J1855" i="1" a="1"/>
  <c r="J1855" i="1" s="1"/>
  <c r="I1864" i="1" a="1"/>
  <c r="I1864" i="1" s="1"/>
  <c r="K1872" i="1" a="1"/>
  <c r="K1872" i="1" s="1"/>
  <c r="L1870" i="1" a="1"/>
  <c r="L1870" i="1" s="1"/>
  <c r="G1871" i="1" a="1"/>
  <c r="G1871" i="1" s="1"/>
  <c r="H1871" i="1" a="1"/>
  <c r="H1871" i="1" s="1"/>
  <c r="K1853" i="1" a="1"/>
  <c r="K1853" i="1" s="1"/>
  <c r="H1855" i="1" a="1"/>
  <c r="H1855" i="1" s="1"/>
  <c r="H1865" i="1" a="1"/>
  <c r="H1865" i="1" s="1"/>
  <c r="H1859" i="1" a="1"/>
  <c r="H1859" i="1" s="1"/>
  <c r="I1857" i="1" a="1"/>
  <c r="I1857" i="1" s="1"/>
  <c r="J1868" i="1" a="1"/>
  <c r="J1868" i="1" s="1"/>
  <c r="G1865" i="1" a="1"/>
  <c r="G1865" i="1" s="1"/>
  <c r="L1868" i="1" a="1"/>
  <c r="L1868" i="1" s="1"/>
  <c r="J1870" i="1" a="1"/>
  <c r="J1870" i="1" s="1"/>
  <c r="H1857" i="1" a="1"/>
  <c r="H1857" i="1" s="1"/>
  <c r="I1855" i="1" a="1"/>
  <c r="I1855" i="1" s="1"/>
  <c r="L1853" i="1" a="1"/>
  <c r="L1853" i="1" s="1"/>
  <c r="I1868" i="1" a="1"/>
  <c r="I1868" i="1" s="1"/>
  <c r="G1864" i="1" a="1"/>
  <c r="G1864" i="1" s="1"/>
  <c r="G1855" i="1" a="1"/>
  <c r="G1855" i="1" s="1"/>
  <c r="H1868" i="1" a="1"/>
  <c r="H1868" i="1" s="1"/>
  <c r="K1857" i="1" a="1"/>
  <c r="K1857" i="1" s="1"/>
  <c r="L1855" i="1" a="1"/>
  <c r="L1855" i="1" s="1"/>
  <c r="I1870" i="1" a="1"/>
  <c r="I1870" i="1" s="1"/>
  <c r="J1864" i="1" a="1"/>
  <c r="J1864" i="1" s="1"/>
  <c r="F1865" i="1" a="1"/>
  <c r="F1865" i="1" s="1"/>
  <c r="I1867" i="1" a="1"/>
  <c r="I1867" i="1" s="1"/>
  <c r="F1864" i="1" a="1"/>
  <c r="F1864" i="1" s="1"/>
  <c r="F1872" i="1" a="1"/>
  <c r="F1872" i="1" s="1"/>
  <c r="L1865" i="1" a="1"/>
  <c r="L1865" i="1" s="1"/>
  <c r="G1848" i="1" a="1"/>
  <c r="G1848" i="1" s="1"/>
  <c r="H1845" i="1" a="1"/>
  <c r="H1845" i="1" s="1"/>
  <c r="J1850" i="1" a="1"/>
  <c r="J1850" i="1" s="1"/>
  <c r="J1857" i="1" a="1"/>
  <c r="J1857" i="1" s="1"/>
  <c r="K1861" i="1" a="1"/>
  <c r="K1861" i="1" s="1"/>
  <c r="L1857" i="1" a="1"/>
  <c r="L1857" i="1" s="1"/>
  <c r="J1845" i="1" a="1"/>
  <c r="J1845" i="1" s="1"/>
  <c r="K1845" i="1" a="1"/>
  <c r="K1845" i="1" s="1"/>
  <c r="I1859" i="1" a="1"/>
  <c r="I1859" i="1" s="1"/>
  <c r="L1861" i="1" a="1"/>
  <c r="L1861" i="1" s="1"/>
  <c r="F1857" i="1" a="1"/>
  <c r="F1857" i="1" s="1"/>
  <c r="J1859" i="1" a="1"/>
  <c r="J1859" i="1" s="1"/>
  <c r="I1853" i="1" a="1"/>
  <c r="I1853" i="1" s="1"/>
  <c r="L1859" i="1" a="1"/>
  <c r="L1859" i="1" s="1"/>
  <c r="J1853" i="1" a="1"/>
  <c r="J1853" i="1" s="1"/>
  <c r="F1855" i="1" a="1"/>
  <c r="F1855" i="1" s="1"/>
  <c r="I1861" i="1" a="1"/>
  <c r="I1861" i="1" s="1"/>
  <c r="H1846" i="1" a="1"/>
  <c r="H1846" i="1" s="1"/>
  <c r="J1861" i="1" a="1"/>
  <c r="J1861" i="1" s="1"/>
  <c r="G1859" i="1" a="1"/>
  <c r="G1859" i="1" s="1"/>
  <c r="F1861" i="1" a="1"/>
  <c r="F1861" i="1" s="1"/>
  <c r="H1861" i="1" a="1"/>
  <c r="H1861" i="1" s="1"/>
  <c r="G1851" i="1" a="1"/>
  <c r="G1851" i="1" s="1"/>
  <c r="G1861" i="1" a="1"/>
  <c r="G1861" i="1" s="1"/>
  <c r="K1855" i="1" a="1"/>
  <c r="K1855" i="1" s="1"/>
  <c r="K1859" i="1" a="1"/>
  <c r="K1859" i="1" s="1"/>
  <c r="F1859" i="1" a="1"/>
  <c r="F1859" i="1" s="1"/>
  <c r="G1857" i="1" a="1"/>
  <c r="G1857" i="1" s="1"/>
  <c r="J1851" i="1" a="1"/>
  <c r="J1851" i="1" s="1"/>
  <c r="G1845" i="1" a="1"/>
  <c r="G1845" i="1" s="1"/>
  <c r="I1851" i="1" a="1"/>
  <c r="I1851" i="1" s="1"/>
  <c r="G1850" i="1" a="1"/>
  <c r="G1850" i="1" s="1"/>
  <c r="F1845" i="1" a="1"/>
  <c r="F1845" i="1" s="1"/>
  <c r="H1853" i="1" a="1"/>
  <c r="H1853" i="1" s="1"/>
  <c r="I1846" i="1" a="1"/>
  <c r="I1846" i="1" s="1"/>
  <c r="I1850" i="1" a="1"/>
  <c r="I1850" i="1" s="1"/>
  <c r="L1846" i="1" a="1"/>
  <c r="L1846" i="1" s="1"/>
  <c r="F1838" i="1" a="1"/>
  <c r="F1838" i="1" s="1"/>
  <c r="L1840" i="1" a="1"/>
  <c r="L1840" i="1" s="1"/>
  <c r="F1850" i="1" a="1"/>
  <c r="F1850" i="1" s="1"/>
  <c r="H1848" i="1" a="1"/>
  <c r="H1848" i="1" s="1"/>
  <c r="L1851" i="1" a="1"/>
  <c r="L1851" i="1" s="1"/>
  <c r="F1846" i="1" a="1"/>
  <c r="F1846" i="1" s="1"/>
  <c r="K1846" i="1" a="1"/>
  <c r="K1846" i="1" s="1"/>
  <c r="L1845" i="1" a="1"/>
  <c r="L1845" i="1" s="1"/>
  <c r="H1840" i="1" a="1"/>
  <c r="H1840" i="1" s="1"/>
  <c r="K1850" i="1" a="1"/>
  <c r="K1850" i="1" s="1"/>
  <c r="K1848" i="1" a="1"/>
  <c r="K1848" i="1" s="1"/>
  <c r="L1832" i="1" a="1"/>
  <c r="L1832" i="1" s="1"/>
  <c r="L1848" i="1" a="1"/>
  <c r="L1848" i="1" s="1"/>
  <c r="L1850" i="1" a="1"/>
  <c r="L1850" i="1" s="1"/>
  <c r="K1851" i="1" a="1"/>
  <c r="K1851" i="1" s="1"/>
  <c r="F1848" i="1" a="1"/>
  <c r="F1848" i="1" s="1"/>
  <c r="H1850" i="1" a="1"/>
  <c r="H1850" i="1" s="1"/>
  <c r="J1848" i="1" a="1"/>
  <c r="J1848" i="1" s="1"/>
  <c r="I1848" i="1" a="1"/>
  <c r="I1848" i="1" s="1"/>
  <c r="G1853" i="1" a="1"/>
  <c r="G1853" i="1" s="1"/>
  <c r="I1845" i="1" a="1"/>
  <c r="I1845" i="1" s="1"/>
  <c r="F1853" i="1" a="1"/>
  <c r="F1853" i="1" s="1"/>
  <c r="H1851" i="1" a="1"/>
  <c r="H1851" i="1" s="1"/>
  <c r="F1851" i="1" a="1"/>
  <c r="F1851" i="1" s="1"/>
  <c r="J1846" i="1" a="1"/>
  <c r="J1846" i="1" s="1"/>
  <c r="G1846" i="1" a="1"/>
  <c r="G1846" i="1" s="1"/>
  <c r="L1842" i="1" a="1"/>
  <c r="L1842" i="1" s="1"/>
  <c r="H1832" i="1" a="1"/>
  <c r="H1832" i="1" s="1"/>
  <c r="H1842" i="1" a="1"/>
  <c r="H1842" i="1" s="1"/>
  <c r="F1840" i="1" a="1"/>
  <c r="F1840" i="1" s="1"/>
  <c r="L1836" i="1" a="1"/>
  <c r="L1836" i="1" s="1"/>
  <c r="H1838" i="1" a="1"/>
  <c r="H1838" i="1" s="1"/>
  <c r="I1836" i="1" a="1"/>
  <c r="I1836" i="1" s="1"/>
  <c r="J1836" i="1" a="1"/>
  <c r="J1836" i="1" s="1"/>
  <c r="K1838" i="1" a="1"/>
  <c r="K1838" i="1" s="1"/>
  <c r="I1838" i="1" a="1"/>
  <c r="I1838" i="1" s="1"/>
  <c r="I1840" i="1" a="1"/>
  <c r="I1840" i="1" s="1"/>
  <c r="G1838" i="1" a="1"/>
  <c r="G1838" i="1" s="1"/>
  <c r="J1832" i="1" a="1"/>
  <c r="J1832" i="1" s="1"/>
  <c r="K1840" i="1" a="1"/>
  <c r="K1840" i="1" s="1"/>
  <c r="G1836" i="1" a="1"/>
  <c r="G1836" i="1" s="1"/>
  <c r="K1842" i="1" a="1"/>
  <c r="K1842" i="1" s="1"/>
  <c r="I1842" i="1" a="1"/>
  <c r="I1842" i="1" s="1"/>
  <c r="G1842" i="1" a="1"/>
  <c r="G1842" i="1" s="1"/>
  <c r="K1832" i="1" a="1"/>
  <c r="K1832" i="1" s="1"/>
  <c r="L1838" i="1" a="1"/>
  <c r="L1838" i="1" s="1"/>
  <c r="J1838" i="1" a="1"/>
  <c r="J1838" i="1" s="1"/>
  <c r="J1840" i="1" a="1"/>
  <c r="J1840" i="1" s="1"/>
  <c r="I1832" i="1" a="1"/>
  <c r="I1832" i="1" s="1"/>
  <c r="F1842" i="1" a="1"/>
  <c r="F1842" i="1" s="1"/>
  <c r="J1842" i="1" a="1"/>
  <c r="J1842" i="1" s="1"/>
  <c r="H1836" i="1" a="1"/>
  <c r="H1836" i="1" s="1"/>
  <c r="G1039" i="1" a="1"/>
  <c r="G1039" i="1" s="1"/>
  <c r="F1836" i="1" a="1"/>
  <c r="F1836" i="1" s="1"/>
  <c r="J1032" i="1" a="1"/>
  <c r="J1032" i="1" s="1"/>
  <c r="J1024" i="1" a="1"/>
  <c r="J1024" i="1" s="1"/>
  <c r="K1039" i="1" a="1"/>
  <c r="K1039" i="1" s="1"/>
  <c r="H1027" i="1" a="1"/>
  <c r="H1027" i="1" s="1"/>
  <c r="L1041" i="1" a="1"/>
  <c r="L1041" i="1" s="1"/>
  <c r="K1836" i="1" a="1"/>
  <c r="K1836" i="1" s="1"/>
  <c r="I1027" i="1" a="1"/>
  <c r="I1027" i="1" s="1"/>
  <c r="L1024" i="1" a="1"/>
  <c r="L1024" i="1" s="1"/>
  <c r="G1840" i="1" a="1"/>
  <c r="G1840" i="1" s="1"/>
  <c r="K1024" i="1" a="1"/>
  <c r="K1024" i="1" s="1"/>
  <c r="G1024" i="1" a="1"/>
  <c r="G1024" i="1" s="1"/>
  <c r="I1032" i="1" a="1"/>
  <c r="I1032" i="1" s="1"/>
  <c r="H1039" i="1" a="1"/>
  <c r="H1039" i="1" s="1"/>
  <c r="I1041" i="1" a="1"/>
  <c r="I1041" i="1" s="1"/>
  <c r="J1027" i="1" a="1"/>
  <c r="J1027" i="1" s="1"/>
  <c r="F1029" i="1" a="1"/>
  <c r="F1029" i="1" s="1"/>
  <c r="H1024" i="1" a="1"/>
  <c r="H1024" i="1" s="1"/>
  <c r="G1041" i="1" a="1"/>
  <c r="G1041" i="1" s="1"/>
  <c r="F1032" i="1" a="1"/>
  <c r="F1032" i="1" s="1"/>
  <c r="G1029" i="1" a="1"/>
  <c r="G1029" i="1" s="1"/>
  <c r="K1027" i="1" a="1"/>
  <c r="K1027" i="1" s="1"/>
  <c r="F1024" i="1" a="1"/>
  <c r="F1024" i="1" s="1"/>
  <c r="I1039" i="1" a="1"/>
  <c r="I1039" i="1" s="1"/>
  <c r="H1029" i="1" a="1"/>
  <c r="H1029" i="1" s="1"/>
  <c r="K1032" i="1" a="1"/>
  <c r="K1032" i="1" s="1"/>
  <c r="J1039" i="1" a="1"/>
  <c r="J1039" i="1" s="1"/>
  <c r="L1032" i="1" a="1"/>
  <c r="L1032" i="1" s="1"/>
  <c r="J1029" i="1" a="1"/>
  <c r="J1029" i="1" s="1"/>
  <c r="F1039" i="1" a="1"/>
  <c r="F1039" i="1" s="1"/>
  <c r="G1032" i="1" a="1"/>
  <c r="G1032" i="1" s="1"/>
  <c r="K1041" i="1" a="1"/>
  <c r="K1041" i="1" s="1"/>
  <c r="L1027" i="1" a="1"/>
  <c r="L1027" i="1" s="1"/>
  <c r="L1039" i="1" a="1"/>
  <c r="L1039" i="1" s="1"/>
  <c r="F1027" i="1" a="1"/>
  <c r="F1027" i="1" s="1"/>
  <c r="H1032" i="1" a="1"/>
  <c r="H1032" i="1" s="1"/>
  <c r="I1024" i="1" a="1"/>
  <c r="I1024" i="1" s="1"/>
  <c r="K1029" i="1" a="1"/>
  <c r="K1029" i="1" s="1"/>
  <c r="I1029" i="1" a="1"/>
  <c r="I1029" i="1" s="1"/>
  <c r="L1029" i="1" a="1"/>
  <c r="L1029" i="1" s="1"/>
  <c r="G1027" i="1" a="1"/>
  <c r="G1027" i="1" s="1"/>
  <c r="H1041" i="1" a="1"/>
  <c r="H1041" i="1" s="1"/>
  <c r="J999" i="1" a="1"/>
  <c r="J999" i="1" s="1"/>
  <c r="J1051" i="1" s="1" a="1"/>
  <c r="J1051" i="1" s="1"/>
  <c r="L998" i="1" a="1"/>
  <c r="L998" i="1" s="1"/>
  <c r="G999" i="1" a="1"/>
  <c r="G999" i="1" s="1"/>
  <c r="G1051" i="1" s="1" a="1"/>
  <c r="G1051" i="1" s="1"/>
  <c r="J991" i="1" a="1"/>
  <c r="J991" i="1" s="1"/>
  <c r="L1008" i="1" a="1"/>
  <c r="L1008" i="1" s="1"/>
  <c r="L1054" i="1" s="1" a="1"/>
  <c r="L1054" i="1" s="1"/>
  <c r="G1008" i="1" a="1"/>
  <c r="G1008" i="1" s="1"/>
  <c r="G1054" i="1" s="1" a="1"/>
  <c r="G1054" i="1" s="1"/>
  <c r="K975" i="1" a="1"/>
  <c r="K975" i="1" s="1"/>
  <c r="I976" i="1" a="1"/>
  <c r="I976" i="1" s="1"/>
  <c r="H976" i="1" a="1"/>
  <c r="H976" i="1" s="1"/>
  <c r="F1041" i="1" a="1"/>
  <c r="F1041" i="1" s="1"/>
  <c r="J998" i="1" a="1"/>
  <c r="J998" i="1" s="1"/>
  <c r="J1041" i="1" a="1"/>
  <c r="J1041" i="1" s="1"/>
  <c r="H999" i="1" a="1"/>
  <c r="H999" i="1" s="1"/>
  <c r="H1051" i="1" s="1" a="1"/>
  <c r="H1051" i="1" s="1"/>
  <c r="H1008" i="1" a="1"/>
  <c r="H1008" i="1" s="1"/>
  <c r="H1054" i="1" s="1" a="1"/>
  <c r="H1054" i="1" s="1"/>
  <c r="L999" i="1" a="1"/>
  <c r="L999" i="1" s="1"/>
  <c r="L1051" i="1" s="1" a="1"/>
  <c r="L1051" i="1" s="1"/>
  <c r="J1008" i="1" a="1"/>
  <c r="J1008" i="1" s="1"/>
  <c r="J1054" i="1" s="1" a="1"/>
  <c r="J1054" i="1" s="1"/>
  <c r="G998" i="1" a="1"/>
  <c r="G998" i="1" s="1"/>
  <c r="F999" i="1" a="1"/>
  <c r="F999" i="1" s="1"/>
  <c r="F1051" i="1" s="1" a="1"/>
  <c r="F1051" i="1" s="1"/>
  <c r="I998" i="1" a="1"/>
  <c r="I998" i="1" s="1"/>
  <c r="I999" i="1" a="1"/>
  <c r="I999" i="1" s="1"/>
  <c r="I1051" i="1" s="1" a="1"/>
  <c r="I1051" i="1" s="1"/>
  <c r="L975" i="1" a="1"/>
  <c r="L975" i="1" s="1"/>
  <c r="K998" i="1" a="1"/>
  <c r="K998" i="1" s="1"/>
  <c r="K1008" i="1" a="1"/>
  <c r="K1008" i="1" s="1"/>
  <c r="K1054" i="1" s="1" a="1"/>
  <c r="K1054" i="1" s="1"/>
  <c r="I1008" i="1" a="1"/>
  <c r="I1008" i="1" s="1"/>
  <c r="I1054" i="1" s="1" a="1"/>
  <c r="I1054" i="1" s="1"/>
  <c r="G985" i="1" a="1"/>
  <c r="G985" i="1" s="1"/>
  <c r="F975" i="1" a="1"/>
  <c r="F975" i="1" s="1"/>
  <c r="F1008" i="1" a="1"/>
  <c r="F1008" i="1" s="1"/>
  <c r="F1054" i="1" s="1" a="1"/>
  <c r="F1054" i="1" s="1"/>
  <c r="F978" i="1" a="1"/>
  <c r="F978" i="1" s="1"/>
  <c r="K999" i="1" a="1"/>
  <c r="K999" i="1" s="1"/>
  <c r="K1051" i="1" s="1" a="1"/>
  <c r="K1051" i="1" s="1"/>
  <c r="F998" i="1" a="1"/>
  <c r="F998" i="1" s="1"/>
  <c r="L991" i="1" a="1"/>
  <c r="L991" i="1" s="1"/>
  <c r="H998" i="1" a="1"/>
  <c r="H998" i="1" s="1"/>
  <c r="L976" i="1" a="1"/>
  <c r="L976" i="1" s="1"/>
  <c r="L985" i="1" a="1"/>
  <c r="L985" i="1" s="1"/>
  <c r="H991" i="1" a="1"/>
  <c r="H991" i="1" s="1"/>
  <c r="J975" i="1" a="1"/>
  <c r="J975" i="1" s="1"/>
  <c r="K991" i="1" a="1"/>
  <c r="K991" i="1" s="1"/>
  <c r="G991" i="1" a="1"/>
  <c r="G991" i="1" s="1"/>
  <c r="H978" i="1" a="1"/>
  <c r="H978" i="1" s="1"/>
  <c r="I991" i="1" a="1"/>
  <c r="I991" i="1" s="1"/>
  <c r="G978" i="1" a="1"/>
  <c r="G978" i="1" s="1"/>
  <c r="F979" i="1" a="1"/>
  <c r="F979" i="1" s="1"/>
  <c r="F1053" i="1" s="1" a="1"/>
  <c r="F1053" i="1" s="1"/>
  <c r="J976" i="1" a="1"/>
  <c r="J976" i="1" s="1"/>
  <c r="H979" i="1" a="1"/>
  <c r="H979" i="1" s="1"/>
  <c r="H1053" i="1" s="1" a="1"/>
  <c r="H1053" i="1" s="1"/>
  <c r="F991" i="1" a="1"/>
  <c r="F991" i="1" s="1"/>
  <c r="H975" i="1" a="1"/>
  <c r="H975" i="1" s="1"/>
  <c r="I979" i="1" a="1"/>
  <c r="I979" i="1" s="1"/>
  <c r="I1053" i="1" s="1" a="1"/>
  <c r="I1053" i="1" s="1"/>
  <c r="L978" i="1" a="1"/>
  <c r="L978" i="1" s="1"/>
  <c r="J978" i="1" a="1"/>
  <c r="J978" i="1" s="1"/>
  <c r="K976" i="1" a="1"/>
  <c r="K976" i="1" s="1"/>
  <c r="G976" i="1" a="1"/>
  <c r="G976" i="1" s="1"/>
  <c r="F985" i="1" a="1"/>
  <c r="F985" i="1" s="1"/>
  <c r="I978" i="1" a="1"/>
  <c r="I978" i="1" s="1"/>
  <c r="K978" i="1" a="1"/>
  <c r="K978" i="1" s="1"/>
  <c r="G975" i="1" a="1"/>
  <c r="G975" i="1" s="1"/>
  <c r="I975" i="1" a="1"/>
  <c r="I975" i="1" s="1"/>
  <c r="L979" i="1" a="1"/>
  <c r="L979" i="1" s="1"/>
  <c r="L1053" i="1" s="1" a="1"/>
  <c r="L1053" i="1" s="1"/>
  <c r="J979" i="1" a="1"/>
  <c r="J979" i="1" s="1"/>
  <c r="J1053" i="1" s="1" a="1"/>
  <c r="J1053" i="1" s="1"/>
  <c r="I985" i="1" a="1"/>
  <c r="I985" i="1" s="1"/>
  <c r="K985" i="1" a="1"/>
  <c r="K985" i="1" s="1"/>
  <c r="H985" i="1" a="1"/>
  <c r="H985" i="1" s="1"/>
  <c r="G979" i="1" a="1"/>
  <c r="G979" i="1" s="1"/>
  <c r="G1053" i="1" s="1" a="1"/>
  <c r="G1053" i="1" s="1"/>
  <c r="J985" i="1" a="1"/>
  <c r="J985" i="1" s="1"/>
  <c r="K979" i="1" a="1"/>
  <c r="K979" i="1" s="1"/>
  <c r="K1053" i="1" s="1" a="1"/>
  <c r="K1053" i="1" s="1"/>
  <c r="J896" i="1" a="1"/>
  <c r="J896" i="1" s="1"/>
  <c r="J902" i="1" s="1"/>
  <c r="K885" i="1" a="1"/>
  <c r="K885" i="1" s="1"/>
  <c r="F885" i="1" a="1"/>
  <c r="F885" i="1" s="1"/>
  <c r="K896" i="1" a="1"/>
  <c r="K896" i="1" s="1"/>
  <c r="K903" i="1" s="1"/>
  <c r="J928" i="1" a="1"/>
  <c r="J928" i="1" s="1"/>
  <c r="G885" i="1" a="1"/>
  <c r="G885" i="1" s="1"/>
  <c r="L928" i="1" a="1"/>
  <c r="L928" i="1" s="1"/>
  <c r="G914" i="1" a="1"/>
  <c r="G914" i="1" s="1"/>
  <c r="J885" i="1" a="1"/>
  <c r="J885" i="1" s="1"/>
  <c r="K914" i="1" a="1"/>
  <c r="K914" i="1" s="1"/>
  <c r="G896" i="1" a="1"/>
  <c r="G896" i="1" s="1"/>
  <c r="G903" i="1" s="1"/>
  <c r="K916" i="1" a="1"/>
  <c r="K916" i="1" s="1"/>
  <c r="F914" i="1" a="1"/>
  <c r="F914" i="1" s="1"/>
  <c r="K928" i="1" a="1"/>
  <c r="K928" i="1" s="1"/>
  <c r="G928" i="1" a="1"/>
  <c r="G928" i="1" s="1"/>
  <c r="H928" i="1" a="1"/>
  <c r="H928" i="1" s="1"/>
  <c r="J916" i="1" a="1"/>
  <c r="J916" i="1" s="1"/>
  <c r="F928" i="1" a="1"/>
  <c r="F928" i="1" s="1"/>
  <c r="I885" i="1" a="1"/>
  <c r="I885" i="1" s="1"/>
  <c r="F896" i="1" a="1"/>
  <c r="F896" i="1" s="1"/>
  <c r="L885" i="1" a="1"/>
  <c r="L885" i="1" s="1"/>
  <c r="H885" i="1" a="1"/>
  <c r="H885" i="1" s="1"/>
  <c r="I916" i="1" a="1"/>
  <c r="I916" i="1" s="1"/>
  <c r="L914" i="1" a="1"/>
  <c r="L914" i="1" s="1"/>
  <c r="L916" i="1" a="1"/>
  <c r="L916" i="1" s="1"/>
  <c r="H916" i="1" a="1"/>
  <c r="H916" i="1" s="1"/>
  <c r="G916" i="1" a="1"/>
  <c r="G916" i="1" s="1"/>
  <c r="F916" i="1" a="1"/>
  <c r="F916" i="1" s="1"/>
  <c r="F976" i="1" a="1"/>
  <c r="F976" i="1" s="1"/>
  <c r="I928" i="1" a="1"/>
  <c r="I928" i="1" s="1"/>
  <c r="H914" i="1" a="1"/>
  <c r="H914" i="1" s="1"/>
  <c r="H896" i="1" a="1"/>
  <c r="H896" i="1" s="1"/>
  <c r="H899" i="1" s="1"/>
  <c r="J914" i="1" a="1"/>
  <c r="J914" i="1" s="1"/>
  <c r="K802" i="1" a="1"/>
  <c r="K802" i="1" s="1"/>
  <c r="H802" i="1" a="1"/>
  <c r="H802" i="1" s="1"/>
  <c r="F806" i="1" a="1"/>
  <c r="F806" i="1" s="1"/>
  <c r="K884" i="1" a="1"/>
  <c r="K884" i="1" s="1"/>
  <c r="I896" i="1" a="1"/>
  <c r="I896" i="1" s="1"/>
  <c r="I903" i="1" s="1"/>
  <c r="H804" i="1" a="1"/>
  <c r="H804" i="1" s="1"/>
  <c r="F884" i="1" a="1"/>
  <c r="F884" i="1" s="1"/>
  <c r="L896" i="1" a="1"/>
  <c r="L896" i="1" s="1"/>
  <c r="L902" i="1" s="1"/>
  <c r="L884" i="1" a="1"/>
  <c r="L884" i="1" s="1"/>
  <c r="H884" i="1" a="1"/>
  <c r="H884" i="1" s="1"/>
  <c r="H806" i="1" a="1"/>
  <c r="H806" i="1" s="1"/>
  <c r="L806" i="1" a="1"/>
  <c r="L806" i="1" s="1"/>
  <c r="J806" i="1" a="1"/>
  <c r="J806" i="1" s="1"/>
  <c r="I914" i="1" a="1"/>
  <c r="I914" i="1" s="1"/>
  <c r="K806" i="1" a="1"/>
  <c r="K806" i="1" s="1"/>
  <c r="K804" i="1" a="1"/>
  <c r="K804" i="1" s="1"/>
  <c r="G884" i="1" a="1"/>
  <c r="G884" i="1" s="1"/>
  <c r="L802" i="1" a="1"/>
  <c r="L802" i="1" s="1"/>
  <c r="J884" i="1" a="1"/>
  <c r="J884" i="1" s="1"/>
  <c r="J802" i="1" a="1"/>
  <c r="J802" i="1" s="1"/>
  <c r="I884" i="1" a="1"/>
  <c r="I884" i="1" s="1"/>
  <c r="G802" i="1" a="1"/>
  <c r="G802" i="1" s="1"/>
  <c r="I804" i="1" a="1"/>
  <c r="I804" i="1" s="1"/>
  <c r="I802" i="1" a="1"/>
  <c r="I802" i="1" s="1"/>
  <c r="J804" i="1" a="1"/>
  <c r="J804" i="1" s="1"/>
  <c r="I806" i="1" a="1"/>
  <c r="I806" i="1" s="1"/>
  <c r="H1826" i="1" a="1"/>
  <c r="H1826" i="1" s="1"/>
  <c r="G1827" i="1" a="1"/>
  <c r="G1827" i="1" s="1"/>
  <c r="L1829" i="1" a="1"/>
  <c r="L1829" i="1" s="1"/>
  <c r="G2310" i="1" a="1"/>
  <c r="G2310" i="1" s="1"/>
  <c r="F802" i="1" a="1"/>
  <c r="F802" i="1" s="1"/>
  <c r="F766" i="1" a="1"/>
  <c r="F766" i="1" s="1"/>
  <c r="F816" i="1" s="1" a="1"/>
  <c r="F816" i="1" s="1"/>
  <c r="I766" i="1" a="1"/>
  <c r="I766" i="1" s="1"/>
  <c r="I816" i="1" s="1" a="1"/>
  <c r="I816" i="1" s="1"/>
  <c r="K1826" i="1" a="1"/>
  <c r="K1826" i="1" s="1"/>
  <c r="H766" i="1" a="1"/>
  <c r="H766" i="1" s="1"/>
  <c r="H816" i="1" s="1" a="1"/>
  <c r="H816" i="1" s="1"/>
  <c r="L1826" i="1" a="1"/>
  <c r="L1826" i="1" s="1"/>
  <c r="G804" i="1" a="1"/>
  <c r="G804" i="1" s="1"/>
  <c r="J780" i="1" a="1"/>
  <c r="J780" i="1" s="1"/>
  <c r="H780" i="1" a="1"/>
  <c r="H780" i="1" s="1"/>
  <c r="I1826" i="1" a="1"/>
  <c r="I1826" i="1"/>
  <c r="G806" i="1" a="1"/>
  <c r="G806" i="1" s="1"/>
  <c r="L804" i="1" a="1"/>
  <c r="L804" i="1" s="1"/>
  <c r="F804" i="1" a="1"/>
  <c r="F804" i="1" s="1"/>
  <c r="K780" i="1" a="1"/>
  <c r="K780" i="1" s="1"/>
  <c r="K779" i="1" s="1"/>
  <c r="L766" i="1" a="1"/>
  <c r="L766" i="1" s="1"/>
  <c r="L816" i="1" s="1" a="1"/>
  <c r="L816" i="1" s="1"/>
  <c r="L780" i="1" a="1"/>
  <c r="L780" i="1" s="1"/>
  <c r="L779" i="1" s="1"/>
  <c r="L786" i="1" s="1"/>
  <c r="L787" i="1" s="1"/>
  <c r="I780" i="1" a="1"/>
  <c r="I780" i="1" s="1"/>
  <c r="G780" i="1" a="1"/>
  <c r="G780" i="1" s="1"/>
  <c r="G779" i="1" s="1"/>
  <c r="G786" i="1" s="1"/>
  <c r="G787" i="1" s="1"/>
  <c r="J766" i="1" a="1"/>
  <c r="J766" i="1" s="1"/>
  <c r="J816" i="1" s="1" a="1"/>
  <c r="J816" i="1" s="1"/>
  <c r="F780" i="1" a="1"/>
  <c r="F780" i="1" s="1"/>
  <c r="F779" i="1" s="1"/>
  <c r="F783" i="1" s="1"/>
  <c r="K766" i="1" a="1"/>
  <c r="K766" i="1" s="1"/>
  <c r="K816" i="1" s="1" a="1"/>
  <c r="K816" i="1" s="1"/>
  <c r="G1826" i="1" a="1"/>
  <c r="G1826" i="1" s="1"/>
  <c r="J1829" i="1" a="1"/>
  <c r="J1829" i="1" s="1"/>
  <c r="F1827" i="1" a="1"/>
  <c r="F1827" i="1" s="1"/>
  <c r="G766" i="1" a="1"/>
  <c r="G766" i="1" s="1"/>
  <c r="G816" i="1" s="1" a="1"/>
  <c r="G816" i="1" s="1"/>
  <c r="J1826" i="1" a="1"/>
  <c r="J1826" i="1" s="1"/>
  <c r="F1832" i="1" a="1"/>
  <c r="F1832" i="1" s="1"/>
  <c r="K1831" i="1" a="1"/>
  <c r="K1831" i="1" s="1"/>
  <c r="H1827" i="1" a="1"/>
  <c r="H1827" i="1" s="1"/>
  <c r="F1829" i="1" a="1"/>
  <c r="F1829" i="1" s="1"/>
  <c r="H1831" i="1" a="1"/>
  <c r="H1831" i="1" s="1"/>
  <c r="K1827" i="1" a="1"/>
  <c r="K1827" i="1" s="1"/>
  <c r="I1829" i="1" a="1"/>
  <c r="I1829" i="1" s="1"/>
  <c r="L1827" i="1" a="1"/>
  <c r="L1827" i="1" s="1"/>
  <c r="J1827" i="1" a="1"/>
  <c r="J1827" i="1" s="1"/>
  <c r="G1829" i="1" a="1"/>
  <c r="G1829" i="1" s="1"/>
  <c r="F1826" i="1" a="1"/>
  <c r="F1826" i="1" s="1"/>
  <c r="J1831" i="1" a="1"/>
  <c r="J1831" i="1" s="1"/>
  <c r="G1831" i="1" a="1"/>
  <c r="G1831" i="1" s="1"/>
  <c r="F1831" i="1" a="1"/>
  <c r="F1831" i="1" s="1"/>
  <c r="G1832" i="1" a="1"/>
  <c r="G1832" i="1" s="1"/>
  <c r="I1831" i="1" a="1"/>
  <c r="I1831" i="1" s="1"/>
  <c r="I1827" i="1" a="1"/>
  <c r="I1827" i="1" s="1"/>
  <c r="L1831" i="1" a="1"/>
  <c r="L1831" i="1" s="1"/>
  <c r="H1829" i="1" a="1"/>
  <c r="H1829" i="1" s="1"/>
  <c r="K1829" i="1" a="1"/>
  <c r="K1829" i="1" s="1"/>
  <c r="L1834" i="1" a="1"/>
  <c r="L1834" i="1" s="1"/>
  <c r="K1834" i="1" a="1"/>
  <c r="K1834" i="1" s="1"/>
  <c r="J1834" i="1" a="1"/>
  <c r="J1834" i="1" s="1"/>
  <c r="I1834" i="1" a="1"/>
  <c r="I1834" i="1" s="1"/>
  <c r="G1834" i="1" a="1"/>
  <c r="G1834" i="1" s="1"/>
  <c r="H1834" i="1" a="1"/>
  <c r="H1834" i="1" s="1"/>
  <c r="H2303" i="1" a="1"/>
  <c r="H2303" i="1" s="1"/>
  <c r="K2302" i="1" a="1"/>
  <c r="K2302" i="1" s="1"/>
  <c r="G2300" i="1" a="1"/>
  <c r="G2300" i="1" s="1"/>
  <c r="F2310" i="1" a="1"/>
  <c r="F2310" i="1" s="1"/>
  <c r="J2304" i="1" a="1"/>
  <c r="J2304" i="1" s="1"/>
  <c r="J2302" i="1" a="1"/>
  <c r="J2302" i="1" s="1"/>
  <c r="K2310" i="1" a="1"/>
  <c r="K2310" i="1" s="1"/>
  <c r="L2304" i="1" a="1"/>
  <c r="L2304" i="1" s="1"/>
  <c r="I2310" i="1" a="1"/>
  <c r="I2310" i="1" s="1"/>
  <c r="K2312" i="1" a="1"/>
  <c r="K2312" i="1" s="1"/>
  <c r="I2300" i="1" a="1"/>
  <c r="I2300" i="1" s="1"/>
  <c r="F2312" i="1" a="1"/>
  <c r="F2312" i="1" s="1"/>
  <c r="H2312" i="1" a="1"/>
  <c r="H2312" i="1" s="1"/>
  <c r="J2312" i="1" a="1"/>
  <c r="J2312" i="1" s="1"/>
  <c r="I2312" i="1" a="1"/>
  <c r="I2312" i="1" s="1"/>
  <c r="K2306" i="1" a="1"/>
  <c r="K2306" i="1" s="1"/>
  <c r="H2302" i="1" a="1"/>
  <c r="H2302" i="1" s="1"/>
  <c r="G2312" i="1" a="1"/>
  <c r="G2312" i="1" s="1"/>
  <c r="H2300" i="1" a="1"/>
  <c r="H2300" i="1" s="1"/>
  <c r="L2312" i="1" a="1"/>
  <c r="L2312" i="1" s="1"/>
  <c r="J2306" i="1" a="1"/>
  <c r="J2306" i="1" s="1"/>
  <c r="K2304" i="1" a="1"/>
  <c r="K2304" i="1" s="1"/>
  <c r="L2302" i="1" a="1"/>
  <c r="L2302" i="1" s="1"/>
  <c r="K2300" i="1" a="1"/>
  <c r="K2300" i="1" s="1"/>
  <c r="H2310" i="1" a="1"/>
  <c r="H2310" i="1" s="1"/>
  <c r="J2300" i="1" a="1"/>
  <c r="J2300" i="1" s="1"/>
  <c r="J2310" i="1" a="1"/>
  <c r="J2310" i="1" s="1"/>
  <c r="L2310" i="1" a="1"/>
  <c r="L2310" i="1" s="1"/>
  <c r="I2306" i="1" a="1"/>
  <c r="I2306" i="1" s="1"/>
  <c r="L2308" i="1" a="1"/>
  <c r="L2308" i="1" s="1"/>
  <c r="L2306" i="1" a="1"/>
  <c r="L2306" i="1" s="1"/>
  <c r="H2298" i="1" a="1"/>
  <c r="H2298" i="1" s="1"/>
  <c r="I2303" i="1" a="1"/>
  <c r="I2303" i="1" s="1"/>
  <c r="I2298" i="1" a="1"/>
  <c r="I2298" i="1" s="1"/>
  <c r="I2308" i="1" a="1"/>
  <c r="I2308" i="1" s="1"/>
  <c r="I2304" i="1" a="1"/>
  <c r="I2304" i="1" s="1"/>
  <c r="K2308" i="1" a="1"/>
  <c r="K2308" i="1" s="1"/>
  <c r="H2308" i="1" a="1"/>
  <c r="H2308" i="1" s="1"/>
  <c r="J2308" i="1" a="1"/>
  <c r="J2308" i="1" s="1"/>
  <c r="K2303" i="1" a="1"/>
  <c r="K2303" i="1" s="1"/>
  <c r="I2302" i="1" a="1"/>
  <c r="I2302" i="1" s="1"/>
  <c r="F2304" i="1" a="1"/>
  <c r="F2304" i="1" s="1"/>
  <c r="G2302" i="1" a="1"/>
  <c r="G2302" i="1" s="1"/>
  <c r="F2303" i="1" a="1"/>
  <c r="F2303" i="1" s="1"/>
  <c r="F2300" i="1" a="1"/>
  <c r="F2300" i="1" s="1"/>
  <c r="L2298" i="1" a="1"/>
  <c r="L2298" i="1" s="1"/>
  <c r="L2300" i="1" a="1"/>
  <c r="L2300" i="1" s="1"/>
  <c r="F2306" i="1" a="1"/>
  <c r="F2306" i="1" s="1"/>
  <c r="H2304" i="1" a="1"/>
  <c r="H2304" i="1" s="1"/>
  <c r="F2298" i="1" a="1"/>
  <c r="F2298" i="1" s="1"/>
  <c r="F2308" i="1" a="1"/>
  <c r="F2308" i="1" s="1"/>
  <c r="G2308" i="1" a="1"/>
  <c r="G2308" i="1" s="1"/>
  <c r="G2306" i="1" a="1"/>
  <c r="G2306" i="1" s="1"/>
  <c r="K2298" i="1" a="1"/>
  <c r="K2298" i="1" s="1"/>
  <c r="G2303" i="1" a="1"/>
  <c r="G2303" i="1" s="1"/>
  <c r="G2298" i="1" a="1"/>
  <c r="G2298" i="1" s="1"/>
  <c r="G2304" i="1" a="1"/>
  <c r="G2304" i="1" s="1"/>
  <c r="L2303" i="1" a="1"/>
  <c r="L2303" i="1" s="1"/>
  <c r="J2298" i="1" a="1"/>
  <c r="J2298" i="1" s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F855" i="1" s="1"/>
  <c r="L853" i="1"/>
  <c r="K853" i="1"/>
  <c r="J853" i="1"/>
  <c r="I853" i="1"/>
  <c r="H853" i="1"/>
  <c r="G853" i="1"/>
  <c r="F853" i="1"/>
  <c r="L851" i="1"/>
  <c r="K851" i="1"/>
  <c r="J851" i="1"/>
  <c r="I851" i="1"/>
  <c r="H851" i="1"/>
  <c r="G851" i="1"/>
  <c r="F851" i="1"/>
  <c r="L849" i="1"/>
  <c r="K849" i="1"/>
  <c r="J849" i="1"/>
  <c r="I849" i="1"/>
  <c r="H849" i="1"/>
  <c r="G849" i="1"/>
  <c r="F849" i="1"/>
  <c r="L847" i="1"/>
  <c r="K847" i="1"/>
  <c r="J847" i="1"/>
  <c r="I847" i="1"/>
  <c r="H847" i="1"/>
  <c r="G847" i="1"/>
  <c r="F847" i="1"/>
  <c r="L845" i="1"/>
  <c r="K845" i="1"/>
  <c r="J845" i="1"/>
  <c r="I845" i="1"/>
  <c r="H845" i="1"/>
  <c r="G845" i="1"/>
  <c r="F845" i="1"/>
  <c r="L843" i="1"/>
  <c r="K843" i="1"/>
  <c r="J843" i="1"/>
  <c r="I843" i="1"/>
  <c r="H843" i="1"/>
  <c r="G843" i="1"/>
  <c r="F843" i="1"/>
  <c r="L833" i="1"/>
  <c r="K833" i="1"/>
  <c r="J833" i="1"/>
  <c r="I833" i="1"/>
  <c r="H833" i="1"/>
  <c r="G833" i="1"/>
  <c r="F833" i="1"/>
  <c r="L831" i="1"/>
  <c r="K831" i="1"/>
  <c r="J831" i="1"/>
  <c r="I831" i="1"/>
  <c r="H831" i="1"/>
  <c r="G831" i="1"/>
  <c r="F831" i="1"/>
  <c r="L829" i="1"/>
  <c r="K829" i="1"/>
  <c r="J829" i="1"/>
  <c r="I829" i="1"/>
  <c r="H829" i="1"/>
  <c r="G829" i="1"/>
  <c r="F829" i="1"/>
  <c r="L828" i="1"/>
  <c r="K828" i="1"/>
  <c r="J828" i="1"/>
  <c r="I828" i="1"/>
  <c r="H828" i="1"/>
  <c r="G828" i="1"/>
  <c r="F828" i="1"/>
  <c r="L827" i="1"/>
  <c r="K827" i="1"/>
  <c r="J827" i="1"/>
  <c r="I827" i="1"/>
  <c r="H827" i="1"/>
  <c r="G827" i="1"/>
  <c r="F827" i="1"/>
  <c r="L825" i="1"/>
  <c r="K825" i="1"/>
  <c r="J825" i="1"/>
  <c r="I825" i="1"/>
  <c r="H825" i="1"/>
  <c r="G825" i="1"/>
  <c r="F825" i="1"/>
  <c r="L824" i="1"/>
  <c r="K824" i="1"/>
  <c r="J824" i="1"/>
  <c r="I824" i="1"/>
  <c r="H824" i="1"/>
  <c r="G824" i="1"/>
  <c r="F824" i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L820" i="1"/>
  <c r="K820" i="1"/>
  <c r="J820" i="1"/>
  <c r="I820" i="1"/>
  <c r="H820" i="1"/>
  <c r="G820" i="1"/>
  <c r="F820" i="1"/>
  <c r="L818" i="1"/>
  <c r="K818" i="1"/>
  <c r="J818" i="1"/>
  <c r="I818" i="1"/>
  <c r="H818" i="1"/>
  <c r="G818" i="1"/>
  <c r="F818" i="1"/>
  <c r="L815" i="1"/>
  <c r="K815" i="1"/>
  <c r="J815" i="1"/>
  <c r="I815" i="1"/>
  <c r="H815" i="1"/>
  <c r="G815" i="1"/>
  <c r="F815" i="1"/>
  <c r="L813" i="1"/>
  <c r="K813" i="1"/>
  <c r="J813" i="1"/>
  <c r="I813" i="1"/>
  <c r="H813" i="1"/>
  <c r="G813" i="1"/>
  <c r="F813" i="1"/>
  <c r="L811" i="1"/>
  <c r="K811" i="1"/>
  <c r="J811" i="1"/>
  <c r="I811" i="1"/>
  <c r="H811" i="1"/>
  <c r="G811" i="1"/>
  <c r="F811" i="1"/>
  <c r="L807" i="1"/>
  <c r="K807" i="1"/>
  <c r="J807" i="1"/>
  <c r="I807" i="1"/>
  <c r="H807" i="1"/>
  <c r="G807" i="1"/>
  <c r="F807" i="1"/>
  <c r="L791" i="1"/>
  <c r="K791" i="1"/>
  <c r="J791" i="1"/>
  <c r="I791" i="1"/>
  <c r="H791" i="1"/>
  <c r="G791" i="1"/>
  <c r="F791" i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L782" i="1"/>
  <c r="K782" i="1"/>
  <c r="J782" i="1"/>
  <c r="I782" i="1"/>
  <c r="H782" i="1"/>
  <c r="G782" i="1"/>
  <c r="F782" i="1"/>
  <c r="J779" i="1"/>
  <c r="J786" i="1" s="1"/>
  <c r="J787" i="1" s="1"/>
  <c r="I779" i="1"/>
  <c r="I786" i="1" s="1"/>
  <c r="I787" i="1" s="1"/>
  <c r="H779" i="1"/>
  <c r="H786" i="1" s="1"/>
  <c r="H787" i="1" s="1"/>
  <c r="L778" i="1"/>
  <c r="K778" i="1"/>
  <c r="J778" i="1"/>
  <c r="I778" i="1"/>
  <c r="H778" i="1"/>
  <c r="G778" i="1"/>
  <c r="F778" i="1"/>
  <c r="L776" i="1"/>
  <c r="K776" i="1"/>
  <c r="J776" i="1"/>
  <c r="I776" i="1"/>
  <c r="H776" i="1"/>
  <c r="G776" i="1"/>
  <c r="F776" i="1"/>
  <c r="L774" i="1"/>
  <c r="K774" i="1"/>
  <c r="J774" i="1"/>
  <c r="I774" i="1"/>
  <c r="H774" i="1"/>
  <c r="G774" i="1"/>
  <c r="F774" i="1"/>
  <c r="L772" i="1"/>
  <c r="K772" i="1"/>
  <c r="J772" i="1"/>
  <c r="I772" i="1"/>
  <c r="H772" i="1"/>
  <c r="G772" i="1"/>
  <c r="F772" i="1"/>
  <c r="L767" i="1"/>
  <c r="K767" i="1"/>
  <c r="J767" i="1"/>
  <c r="I767" i="1"/>
  <c r="H767" i="1"/>
  <c r="G767" i="1"/>
  <c r="F767" i="1"/>
  <c r="L764" i="1"/>
  <c r="K764" i="1"/>
  <c r="J764" i="1"/>
  <c r="I764" i="1"/>
  <c r="H764" i="1"/>
  <c r="G764" i="1"/>
  <c r="F764" i="1"/>
  <c r="L707" i="1"/>
  <c r="K707" i="1"/>
  <c r="J707" i="1"/>
  <c r="I707" i="1"/>
  <c r="H707" i="1"/>
  <c r="G707" i="1"/>
  <c r="F707" i="1"/>
  <c r="L706" i="1"/>
  <c r="K706" i="1"/>
  <c r="J706" i="1"/>
  <c r="I706" i="1"/>
  <c r="H706" i="1"/>
  <c r="G706" i="1"/>
  <c r="F706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L667" i="1"/>
  <c r="K667" i="1"/>
  <c r="J667" i="1"/>
  <c r="I667" i="1"/>
  <c r="H667" i="1"/>
  <c r="G667" i="1"/>
  <c r="F667" i="1"/>
  <c r="L663" i="1"/>
  <c r="K663" i="1"/>
  <c r="J663" i="1"/>
  <c r="I663" i="1"/>
  <c r="H663" i="1"/>
  <c r="G663" i="1"/>
  <c r="F663" i="1"/>
  <c r="L621" i="1"/>
  <c r="K621" i="1"/>
  <c r="J621" i="1"/>
  <c r="I621" i="1"/>
  <c r="H621" i="1"/>
  <c r="G621" i="1"/>
  <c r="F621" i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L600" i="1"/>
  <c r="K600" i="1"/>
  <c r="J600" i="1"/>
  <c r="I600" i="1"/>
  <c r="H600" i="1"/>
  <c r="G600" i="1"/>
  <c r="F600" i="1"/>
  <c r="L582" i="1"/>
  <c r="K582" i="1"/>
  <c r="J582" i="1"/>
  <c r="I582" i="1"/>
  <c r="H582" i="1"/>
  <c r="G582" i="1"/>
  <c r="F582" i="1"/>
  <c r="L505" i="1"/>
  <c r="K505" i="1"/>
  <c r="J505" i="1"/>
  <c r="I505" i="1"/>
  <c r="H505" i="1"/>
  <c r="G505" i="1"/>
  <c r="F505" i="1"/>
  <c r="L462" i="1"/>
  <c r="K462" i="1"/>
  <c r="J462" i="1"/>
  <c r="I462" i="1"/>
  <c r="H462" i="1"/>
  <c r="G462" i="1"/>
  <c r="F462" i="1"/>
  <c r="L460" i="1"/>
  <c r="K460" i="1"/>
  <c r="J460" i="1"/>
  <c r="I460" i="1"/>
  <c r="H460" i="1"/>
  <c r="G460" i="1"/>
  <c r="F460" i="1"/>
  <c r="L458" i="1"/>
  <c r="K458" i="1"/>
  <c r="J458" i="1"/>
  <c r="I458" i="1"/>
  <c r="H458" i="1"/>
  <c r="G458" i="1"/>
  <c r="F458" i="1"/>
  <c r="L456" i="1"/>
  <c r="K456" i="1"/>
  <c r="J456" i="1"/>
  <c r="I456" i="1"/>
  <c r="H456" i="1"/>
  <c r="G456" i="1"/>
  <c r="F456" i="1"/>
  <c r="L450" i="1"/>
  <c r="K450" i="1"/>
  <c r="J450" i="1"/>
  <c r="I450" i="1"/>
  <c r="H450" i="1"/>
  <c r="G450" i="1"/>
  <c r="F450" i="1"/>
  <c r="L448" i="1"/>
  <c r="K448" i="1"/>
  <c r="J448" i="1"/>
  <c r="I448" i="1"/>
  <c r="H448" i="1"/>
  <c r="G448" i="1"/>
  <c r="F448" i="1"/>
  <c r="L446" i="1"/>
  <c r="K446" i="1"/>
  <c r="J446" i="1"/>
  <c r="I446" i="1"/>
  <c r="H446" i="1"/>
  <c r="G446" i="1"/>
  <c r="F446" i="1"/>
  <c r="L444" i="1"/>
  <c r="K444" i="1"/>
  <c r="J444" i="1"/>
  <c r="I444" i="1"/>
  <c r="H444" i="1"/>
  <c r="G444" i="1"/>
  <c r="F444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396" i="1"/>
  <c r="K396" i="1"/>
  <c r="J396" i="1"/>
  <c r="I396" i="1"/>
  <c r="H396" i="1"/>
  <c r="G396" i="1"/>
  <c r="F396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8" i="1"/>
  <c r="K388" i="1"/>
  <c r="J388" i="1"/>
  <c r="I388" i="1"/>
  <c r="H388" i="1"/>
  <c r="G388" i="1"/>
  <c r="F388" i="1"/>
  <c r="L381" i="1"/>
  <c r="K381" i="1"/>
  <c r="J381" i="1"/>
  <c r="I381" i="1"/>
  <c r="H381" i="1"/>
  <c r="G381" i="1"/>
  <c r="F381" i="1"/>
  <c r="L360" i="1"/>
  <c r="K360" i="1"/>
  <c r="J360" i="1"/>
  <c r="I360" i="1"/>
  <c r="H360" i="1"/>
  <c r="G360" i="1"/>
  <c r="F360" i="1"/>
  <c r="L359" i="1"/>
  <c r="K359" i="1"/>
  <c r="J359" i="1"/>
  <c r="I359" i="1"/>
  <c r="H359" i="1"/>
  <c r="G359" i="1"/>
  <c r="F359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299" i="1"/>
  <c r="K299" i="1"/>
  <c r="J299" i="1"/>
  <c r="I299" i="1"/>
  <c r="H299" i="1"/>
  <c r="G299" i="1"/>
  <c r="F299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3" i="1"/>
  <c r="K293" i="1"/>
  <c r="J293" i="1"/>
  <c r="I293" i="1"/>
  <c r="H293" i="1"/>
  <c r="G293" i="1"/>
  <c r="F293" i="1"/>
  <c r="L395" i="1"/>
  <c r="K395" i="1"/>
  <c r="J395" i="1"/>
  <c r="I395" i="1"/>
  <c r="H395" i="1"/>
  <c r="G395" i="1"/>
  <c r="F395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H399" i="1" s="1"/>
  <c r="H519" i="1" s="1"/>
  <c r="G289" i="1"/>
  <c r="F289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L243" i="1"/>
  <c r="K243" i="1"/>
  <c r="J243" i="1"/>
  <c r="I243" i="1"/>
  <c r="H243" i="1"/>
  <c r="G243" i="1"/>
  <c r="F243" i="1"/>
  <c r="L235" i="1"/>
  <c r="K235" i="1"/>
  <c r="J235" i="1"/>
  <c r="I235" i="1"/>
  <c r="H235" i="1"/>
  <c r="G235" i="1"/>
  <c r="F235" i="1"/>
  <c r="L232" i="1"/>
  <c r="K232" i="1"/>
  <c r="J232" i="1"/>
  <c r="I232" i="1"/>
  <c r="H232" i="1"/>
  <c r="G232" i="1"/>
  <c r="F232" i="1"/>
  <c r="L230" i="1"/>
  <c r="K230" i="1"/>
  <c r="J230" i="1"/>
  <c r="I230" i="1"/>
  <c r="H230" i="1"/>
  <c r="G230" i="1"/>
  <c r="F230" i="1"/>
  <c r="L228" i="1"/>
  <c r="K228" i="1"/>
  <c r="J228" i="1"/>
  <c r="I228" i="1"/>
  <c r="H228" i="1"/>
  <c r="G228" i="1"/>
  <c r="F228" i="1"/>
  <c r="L226" i="1"/>
  <c r="K226" i="1"/>
  <c r="J226" i="1"/>
  <c r="I226" i="1"/>
  <c r="H226" i="1"/>
  <c r="G226" i="1"/>
  <c r="F226" i="1"/>
  <c r="L220" i="1"/>
  <c r="K220" i="1"/>
  <c r="J220" i="1"/>
  <c r="I220" i="1"/>
  <c r="H220" i="1"/>
  <c r="G220" i="1"/>
  <c r="F220" i="1"/>
  <c r="L218" i="1"/>
  <c r="K218" i="1"/>
  <c r="J218" i="1"/>
  <c r="I218" i="1"/>
  <c r="H218" i="1"/>
  <c r="G218" i="1"/>
  <c r="F218" i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L209" i="1"/>
  <c r="K209" i="1"/>
  <c r="J209" i="1"/>
  <c r="I209" i="1"/>
  <c r="H209" i="1"/>
  <c r="G209" i="1"/>
  <c r="F209" i="1"/>
  <c r="L207" i="1"/>
  <c r="K207" i="1"/>
  <c r="J207" i="1"/>
  <c r="I207" i="1"/>
  <c r="H207" i="1"/>
  <c r="G207" i="1"/>
  <c r="F207" i="1"/>
  <c r="L190" i="1"/>
  <c r="K190" i="1"/>
  <c r="J190" i="1"/>
  <c r="I190" i="1"/>
  <c r="H190" i="1"/>
  <c r="G190" i="1"/>
  <c r="F190" i="1"/>
  <c r="L189" i="1"/>
  <c r="K189" i="1"/>
  <c r="J189" i="1"/>
  <c r="I189" i="1"/>
  <c r="H189" i="1"/>
  <c r="G189" i="1"/>
  <c r="F189" i="1"/>
  <c r="L185" i="1"/>
  <c r="K185" i="1"/>
  <c r="J185" i="1"/>
  <c r="I185" i="1"/>
  <c r="H185" i="1"/>
  <c r="G185" i="1"/>
  <c r="F185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0" i="1"/>
  <c r="K160" i="1"/>
  <c r="J160" i="1"/>
  <c r="I160" i="1"/>
  <c r="H160" i="1"/>
  <c r="G160" i="1"/>
  <c r="F160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36" i="1"/>
  <c r="K136" i="1"/>
  <c r="J136" i="1"/>
  <c r="I136" i="1"/>
  <c r="H136" i="1"/>
  <c r="G136" i="1"/>
  <c r="F136" i="1"/>
  <c r="L135" i="1"/>
  <c r="K135" i="1"/>
  <c r="J135" i="1"/>
  <c r="I135" i="1"/>
  <c r="H135" i="1"/>
  <c r="G135" i="1"/>
  <c r="F135" i="1"/>
  <c r="L134" i="1"/>
  <c r="K134" i="1"/>
  <c r="J134" i="1"/>
  <c r="I134" i="1"/>
  <c r="H134" i="1"/>
  <c r="G134" i="1"/>
  <c r="F134" i="1"/>
  <c r="L133" i="1"/>
  <c r="K133" i="1"/>
  <c r="J133" i="1"/>
  <c r="I133" i="1"/>
  <c r="H133" i="1"/>
  <c r="G133" i="1"/>
  <c r="F133" i="1"/>
  <c r="L132" i="1"/>
  <c r="K132" i="1"/>
  <c r="J132" i="1"/>
  <c r="I132" i="1"/>
  <c r="H132" i="1"/>
  <c r="G132" i="1"/>
  <c r="F132" i="1"/>
  <c r="L131" i="1"/>
  <c r="K131" i="1"/>
  <c r="J131" i="1"/>
  <c r="I131" i="1"/>
  <c r="H131" i="1"/>
  <c r="G131" i="1"/>
  <c r="F131" i="1"/>
  <c r="L97" i="1"/>
  <c r="L129" i="1" s="1"/>
  <c r="K97" i="1"/>
  <c r="K129" i="1" s="1"/>
  <c r="J97" i="1"/>
  <c r="I97" i="1"/>
  <c r="H97" i="1"/>
  <c r="H129" i="1" s="1"/>
  <c r="G97" i="1"/>
  <c r="G129" i="1" s="1"/>
  <c r="F97" i="1"/>
  <c r="L96" i="1"/>
  <c r="L128" i="1" s="1"/>
  <c r="K96" i="1"/>
  <c r="J96" i="1"/>
  <c r="J128" i="1" s="1"/>
  <c r="I96" i="1"/>
  <c r="H96" i="1"/>
  <c r="G96" i="1"/>
  <c r="G128" i="1" s="1"/>
  <c r="F96" i="1"/>
  <c r="F128" i="1" s="1"/>
  <c r="L95" i="1"/>
  <c r="K95" i="1"/>
  <c r="J95" i="1"/>
  <c r="I95" i="1"/>
  <c r="H95" i="1"/>
  <c r="G95" i="1"/>
  <c r="F95" i="1"/>
  <c r="F323" i="1" s="1"/>
  <c r="F478" i="1" s="1"/>
  <c r="L94" i="1"/>
  <c r="K94" i="1"/>
  <c r="J94" i="1"/>
  <c r="I94" i="1"/>
  <c r="I126" i="1" s="1"/>
  <c r="H94" i="1"/>
  <c r="H126" i="1" s="1"/>
  <c r="G94" i="1"/>
  <c r="F94" i="1"/>
  <c r="F126" i="1" s="1"/>
  <c r="L93" i="1"/>
  <c r="L125" i="1" s="1"/>
  <c r="K93" i="1"/>
  <c r="K125" i="1" s="1"/>
  <c r="J93" i="1"/>
  <c r="I93" i="1"/>
  <c r="I125" i="1" s="1"/>
  <c r="H93" i="1"/>
  <c r="H125" i="1" s="1"/>
  <c r="G93" i="1"/>
  <c r="G125" i="1" s="1"/>
  <c r="F93" i="1"/>
  <c r="F125" i="1" s="1"/>
  <c r="L92" i="1"/>
  <c r="K92" i="1"/>
  <c r="K124" i="1" s="1"/>
  <c r="J92" i="1"/>
  <c r="J124" i="1" s="1"/>
  <c r="I92" i="1"/>
  <c r="I124" i="1" s="1"/>
  <c r="H92" i="1"/>
  <c r="G92" i="1"/>
  <c r="G124" i="1" s="1"/>
  <c r="F92" i="1"/>
  <c r="F124" i="1" s="1"/>
  <c r="L91" i="1"/>
  <c r="K91" i="1"/>
  <c r="J91" i="1"/>
  <c r="J123" i="1" s="1"/>
  <c r="I91" i="1"/>
  <c r="I123" i="1" s="1"/>
  <c r="H91" i="1"/>
  <c r="H123" i="1" s="1"/>
  <c r="G91" i="1"/>
  <c r="F91" i="1"/>
  <c r="F123" i="1" s="1"/>
  <c r="L90" i="1"/>
  <c r="L122" i="1" s="1"/>
  <c r="K90" i="1"/>
  <c r="J90" i="1"/>
  <c r="J122" i="1" s="1"/>
  <c r="I90" i="1"/>
  <c r="H90" i="1"/>
  <c r="H122" i="1" s="1"/>
  <c r="G90" i="1"/>
  <c r="G122" i="1" s="1"/>
  <c r="F90" i="1"/>
  <c r="L89" i="1"/>
  <c r="L121" i="1" s="1"/>
  <c r="K89" i="1"/>
  <c r="K121" i="1" s="1"/>
  <c r="J89" i="1"/>
  <c r="J121" i="1" s="1"/>
  <c r="I89" i="1"/>
  <c r="H89" i="1"/>
  <c r="H121" i="1" s="1"/>
  <c r="G89" i="1"/>
  <c r="G121" i="1" s="1"/>
  <c r="F89" i="1"/>
  <c r="L88" i="1"/>
  <c r="L120" i="1" s="1"/>
  <c r="K88" i="1"/>
  <c r="K120" i="1" s="1"/>
  <c r="J88" i="1"/>
  <c r="J120" i="1" s="1"/>
  <c r="I88" i="1"/>
  <c r="I120" i="1" s="1"/>
  <c r="H88" i="1"/>
  <c r="H120" i="1" s="1"/>
  <c r="G88" i="1"/>
  <c r="F88" i="1"/>
  <c r="F120" i="1" s="1"/>
  <c r="L87" i="1"/>
  <c r="L119" i="1" s="1"/>
  <c r="K87" i="1"/>
  <c r="K119" i="1" s="1"/>
  <c r="J87" i="1"/>
  <c r="J119" i="1" s="1"/>
  <c r="I87" i="1"/>
  <c r="I119" i="1" s="1"/>
  <c r="H87" i="1"/>
  <c r="H119" i="1" s="1"/>
  <c r="G87" i="1"/>
  <c r="F87" i="1"/>
  <c r="F119" i="1" s="1"/>
  <c r="L86" i="1"/>
  <c r="L118" i="1" s="1"/>
  <c r="K86" i="1"/>
  <c r="J86" i="1"/>
  <c r="I86" i="1"/>
  <c r="I118" i="1" s="1"/>
  <c r="H86" i="1"/>
  <c r="H118" i="1" s="1"/>
  <c r="G86" i="1"/>
  <c r="F86" i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5" i="1"/>
  <c r="K65" i="1"/>
  <c r="J65" i="1"/>
  <c r="I65" i="1"/>
  <c r="H65" i="1"/>
  <c r="G65" i="1"/>
  <c r="F65" i="1"/>
  <c r="F1961" i="1" a="1"/>
  <c r="F1961" i="1" s="1"/>
  <c r="J2229" i="1" a="1"/>
  <c r="J2229" i="1" s="1"/>
  <c r="J2230" i="1" s="1" a="1"/>
  <c r="J2230" i="1" s="1"/>
  <c r="L2231" i="1" a="1"/>
  <c r="L2231" i="1" s="1"/>
  <c r="K2232" i="1" a="1"/>
  <c r="K2232" i="1" s="1"/>
  <c r="F2232" i="1" a="1"/>
  <c r="F2232" i="1" s="1"/>
  <c r="G2231" i="1" a="1"/>
  <c r="G2231" i="1" s="1"/>
  <c r="K2231" i="1" a="1"/>
  <c r="K2231" i="1" s="1"/>
  <c r="H2231" i="1" a="1"/>
  <c r="H2231" i="1" s="1"/>
  <c r="K2227" i="1" a="1"/>
  <c r="K2227" i="1" s="1"/>
  <c r="K2228" i="1" s="1" a="1"/>
  <c r="K2228" i="1" s="1"/>
  <c r="H2232" i="1" a="1"/>
  <c r="H2232" i="1" s="1"/>
  <c r="J2231" i="1" a="1"/>
  <c r="J2231" i="1" s="1"/>
  <c r="F2231" i="1" a="1"/>
  <c r="F2231" i="1" s="1"/>
  <c r="I2232" i="1" a="1"/>
  <c r="I2232" i="1" s="1"/>
  <c r="I2231" i="1" a="1"/>
  <c r="I2231" i="1" s="1"/>
  <c r="F2227" i="1" a="1"/>
  <c r="F2227" i="1" s="1"/>
  <c r="F2228" i="1" s="1" a="1"/>
  <c r="F2228" i="1" s="1"/>
  <c r="K2226" i="1" a="1"/>
  <c r="K2226" i="1" s="1"/>
  <c r="L2229" i="1" a="1"/>
  <c r="L2229" i="1" s="1"/>
  <c r="L2230" i="1" s="1" a="1"/>
  <c r="L2230" i="1" s="1"/>
  <c r="G2224" i="1" a="1"/>
  <c r="G2224" i="1" s="1"/>
  <c r="G2225" i="1" s="1" a="1"/>
  <c r="G2225" i="1" s="1"/>
  <c r="L2232" i="1" a="1"/>
  <c r="L2232" i="1" s="1"/>
  <c r="J2227" i="1" a="1"/>
  <c r="J2227" i="1" s="1"/>
  <c r="J2228" i="1" s="1" a="1"/>
  <c r="J2228" i="1" s="1"/>
  <c r="H2222" i="1" a="1"/>
  <c r="H2222" i="1" s="1"/>
  <c r="F2224" i="1" a="1"/>
  <c r="F2224" i="1" s="1"/>
  <c r="F2225" i="1" s="1" a="1"/>
  <c r="F2225" i="1" s="1"/>
  <c r="G2226" i="1" a="1"/>
  <c r="G2226" i="1" s="1"/>
  <c r="G2232" i="1" a="1"/>
  <c r="G2232" i="1" s="1"/>
  <c r="J2226" i="1" a="1"/>
  <c r="J2226" i="1" s="1"/>
  <c r="J2232" i="1" a="1"/>
  <c r="J2232" i="1" s="1"/>
  <c r="I2229" i="1" a="1"/>
  <c r="I2229" i="1" s="1"/>
  <c r="I2230" i="1" s="1" a="1"/>
  <c r="I2230" i="1" s="1"/>
  <c r="K2229" i="1" a="1"/>
  <c r="K2229" i="1" s="1"/>
  <c r="K2230" i="1" s="1" a="1"/>
  <c r="K2230" i="1" s="1"/>
  <c r="I2224" i="1" a="1"/>
  <c r="I2224" i="1" s="1"/>
  <c r="I2225" i="1" s="1" a="1"/>
  <c r="I2225" i="1" s="1"/>
  <c r="I2227" i="1" a="1"/>
  <c r="I2227" i="1" s="1"/>
  <c r="I2228" i="1" s="1" a="1"/>
  <c r="I2228" i="1" s="1"/>
  <c r="L2224" i="1" a="1"/>
  <c r="L2224" i="1" s="1"/>
  <c r="L2225" i="1" s="1" a="1"/>
  <c r="L2225" i="1" s="1"/>
  <c r="K2219" i="1" a="1"/>
  <c r="K2219" i="1" s="1"/>
  <c r="K2220" i="1" s="1" a="1"/>
  <c r="K2220" i="1" s="1"/>
  <c r="J2222" i="1" a="1"/>
  <c r="J2222" i="1" s="1"/>
  <c r="F2222" i="1" a="1"/>
  <c r="F2222" i="1" s="1"/>
  <c r="J2224" i="1" a="1"/>
  <c r="J2224" i="1" s="1"/>
  <c r="J2225" i="1" s="1" a="1"/>
  <c r="J2225" i="1" s="1"/>
  <c r="K2224" i="1" a="1"/>
  <c r="K2224" i="1" s="1"/>
  <c r="K2225" i="1" s="1" a="1"/>
  <c r="K2225" i="1" s="1"/>
  <c r="J2221" i="1" a="1"/>
  <c r="J2221" i="1" s="1"/>
  <c r="G2222" i="1" a="1"/>
  <c r="G2222" i="1" s="1"/>
  <c r="H2224" i="1" a="1"/>
  <c r="H2224" i="1" s="1"/>
  <c r="H2225" i="1" s="1" a="1"/>
  <c r="H2225" i="1" s="1"/>
  <c r="L2221" i="1" a="1"/>
  <c r="L2221" i="1" s="1"/>
  <c r="F2229" i="1" a="1"/>
  <c r="F2229" i="1" s="1"/>
  <c r="F2230" i="1" s="1" a="1"/>
  <c r="F2230" i="1" s="1"/>
  <c r="I2221" i="1" a="1"/>
  <c r="I2221" i="1" s="1"/>
  <c r="L2222" i="1" a="1"/>
  <c r="L2222" i="1" s="1"/>
  <c r="L2219" i="1" a="1"/>
  <c r="L2219" i="1" s="1"/>
  <c r="L2220" i="1" s="1" a="1"/>
  <c r="L2220" i="1" s="1"/>
  <c r="F2221" i="1" a="1"/>
  <c r="F2221" i="1" s="1"/>
  <c r="K2221" i="1" a="1"/>
  <c r="K2221" i="1" s="1"/>
  <c r="L2226" i="1" a="1"/>
  <c r="L2226" i="1" s="1"/>
  <c r="K2216" i="1" a="1"/>
  <c r="K2216" i="1" s="1"/>
  <c r="I2222" i="1" a="1"/>
  <c r="I2222" i="1" s="1"/>
  <c r="L2210" i="1" a="1"/>
  <c r="L2210" i="1" s="1"/>
  <c r="F2226" i="1" a="1"/>
  <c r="F2226" i="1" s="1"/>
  <c r="G2227" i="1" a="1"/>
  <c r="G2227" i="1" s="1"/>
  <c r="G2228" i="1" s="1" a="1"/>
  <c r="G2228" i="1" s="1"/>
  <c r="I2211" i="1" a="1"/>
  <c r="I2211" i="1" s="1"/>
  <c r="K2210" i="1" a="1"/>
  <c r="K2210" i="1" s="1"/>
  <c r="H2226" i="1" a="1"/>
  <c r="H2226" i="1" s="1"/>
  <c r="J2212" i="1" a="1"/>
  <c r="J2212" i="1" s="1"/>
  <c r="H2216" i="1" a="1"/>
  <c r="H2216" i="1" s="1"/>
  <c r="H2227" i="1" a="1"/>
  <c r="H2227" i="1" s="1"/>
  <c r="H2228" i="1" s="1" a="1"/>
  <c r="H2228" i="1" s="1"/>
  <c r="F2210" i="1" a="1"/>
  <c r="F2210" i="1" s="1"/>
  <c r="H2221" i="1" a="1"/>
  <c r="H2221" i="1" s="1"/>
  <c r="H2229" i="1" a="1"/>
  <c r="H2229" i="1" s="1"/>
  <c r="H2230" i="1" s="1" a="1"/>
  <c r="H2230" i="1" s="1"/>
  <c r="I2219" i="1" a="1"/>
  <c r="I2219" i="1" s="1"/>
  <c r="I2220" i="1" s="1" a="1"/>
  <c r="I2220" i="1" s="1"/>
  <c r="H2219" i="1" a="1"/>
  <c r="H2219" i="1" s="1"/>
  <c r="H2220" i="1" s="1" a="1"/>
  <c r="H2220" i="1" s="1"/>
  <c r="L2211" i="1" a="1"/>
  <c r="L2211" i="1" s="1"/>
  <c r="J2219" i="1" a="1"/>
  <c r="J2219" i="1" s="1"/>
  <c r="J2220" i="1" s="1" a="1"/>
  <c r="J2220" i="1" s="1"/>
  <c r="G2221" i="1" a="1"/>
  <c r="G2221" i="1" s="1"/>
  <c r="L2227" i="1" a="1"/>
  <c r="L2227" i="1" s="1"/>
  <c r="L2228" i="1" s="1" a="1"/>
  <c r="L2228" i="1" s="1"/>
  <c r="J2210" i="1" a="1"/>
  <c r="J2210" i="1" s="1"/>
  <c r="H2210" i="1" a="1"/>
  <c r="H2210" i="1" s="1"/>
  <c r="K2222" i="1" a="1"/>
  <c r="K2222" i="1" s="1"/>
  <c r="I2226" i="1" a="1"/>
  <c r="I2226" i="1" s="1"/>
  <c r="G2229" i="1" a="1"/>
  <c r="G2229" i="1" s="1"/>
  <c r="G2230" i="1" s="1" a="1"/>
  <c r="G2230" i="1" s="1"/>
  <c r="F2219" i="1" a="1"/>
  <c r="F2219" i="1" s="1"/>
  <c r="F2220" i="1" s="1" a="1"/>
  <c r="F2220" i="1" s="1"/>
  <c r="L2212" i="1" a="1"/>
  <c r="L2212" i="1" s="1"/>
  <c r="K2212" i="1" a="1"/>
  <c r="K2212" i="1" s="1"/>
  <c r="L2209" i="1" a="1"/>
  <c r="L2209" i="1" s="1"/>
  <c r="L2214" i="1" a="1"/>
  <c r="L2214" i="1" s="1"/>
  <c r="L2215" i="1" s="1" a="1"/>
  <c r="L2215" i="1" s="1"/>
  <c r="L2216" i="1" a="1"/>
  <c r="L2216" i="1" s="1"/>
  <c r="J2214" i="1" a="1"/>
  <c r="J2214" i="1" s="1"/>
  <c r="J2215" i="1" s="1" a="1"/>
  <c r="J2215" i="1" s="1"/>
  <c r="G2210" i="1" a="1"/>
  <c r="G2210" i="1" s="1"/>
  <c r="F2214" i="1" a="1"/>
  <c r="F2214" i="1" s="1"/>
  <c r="F2215" i="1" s="1" a="1"/>
  <c r="F2215" i="1" s="1"/>
  <c r="J2217" i="1" a="1"/>
  <c r="J2217" i="1" s="1"/>
  <c r="J2218" i="1" s="1" a="1"/>
  <c r="J2218" i="1" s="1"/>
  <c r="I2210" i="1" a="1"/>
  <c r="I2210" i="1" s="1"/>
  <c r="K2209" i="1" a="1"/>
  <c r="K2209" i="1" s="1"/>
  <c r="H2214" i="1" a="1"/>
  <c r="H2214" i="1" s="1"/>
  <c r="H2215" i="1" s="1" a="1"/>
  <c r="H2215" i="1" s="1"/>
  <c r="J2216" i="1" a="1"/>
  <c r="J2216" i="1" s="1"/>
  <c r="L2217" i="1" a="1"/>
  <c r="L2217" i="1" s="1"/>
  <c r="L2218" i="1" s="1" a="1"/>
  <c r="L2218" i="1" s="1"/>
  <c r="I2212" i="1" a="1"/>
  <c r="I2212" i="1" s="1"/>
  <c r="K2214" i="1" a="1"/>
  <c r="K2214" i="1" s="1"/>
  <c r="K2215" i="1" s="1" a="1"/>
  <c r="K2215" i="1" s="1"/>
  <c r="F2212" i="1" a="1"/>
  <c r="F2212" i="1" s="1"/>
  <c r="H2211" i="1" a="1"/>
  <c r="H2211" i="1" s="1"/>
  <c r="G2214" i="1" a="1"/>
  <c r="G2214" i="1" s="1"/>
  <c r="G2215" i="1" s="1" a="1"/>
  <c r="G2215" i="1" s="1"/>
  <c r="G2211" i="1" a="1"/>
  <c r="G2211" i="1" s="1"/>
  <c r="K2217" i="1" a="1"/>
  <c r="K2217" i="1" s="1"/>
  <c r="K2218" i="1" s="1" a="1"/>
  <c r="K2218" i="1" s="1"/>
  <c r="G2216" i="1" a="1"/>
  <c r="G2216" i="1" s="1"/>
  <c r="F2217" i="1" a="1"/>
  <c r="F2217" i="1" s="1"/>
  <c r="F2218" i="1" s="1" a="1"/>
  <c r="F2218" i="1" s="1"/>
  <c r="J2211" i="1" a="1"/>
  <c r="J2211" i="1" s="1"/>
  <c r="H2212" i="1" a="1"/>
  <c r="H2212" i="1" s="1"/>
  <c r="K2211" i="1" a="1"/>
  <c r="K2211" i="1" s="1"/>
  <c r="I2217" i="1" a="1"/>
  <c r="I2217" i="1" s="1"/>
  <c r="I2218" i="1" s="1" a="1"/>
  <c r="I2218" i="1" s="1"/>
  <c r="I2208" i="1" a="1"/>
  <c r="I2208" i="1" s="1"/>
  <c r="H2202" i="1" a="1"/>
  <c r="H2202" i="1" s="1"/>
  <c r="F2206" i="1" a="1"/>
  <c r="F2206" i="1" s="1"/>
  <c r="K2208" i="1" a="1"/>
  <c r="K2208" i="1" s="1"/>
  <c r="F2203" i="1" a="1"/>
  <c r="F2203" i="1" s="1"/>
  <c r="G2219" i="1" a="1"/>
  <c r="G2219" i="1" s="1"/>
  <c r="G2220" i="1" s="1" a="1"/>
  <c r="G2220" i="1" s="1"/>
  <c r="H2217" i="1" a="1"/>
  <c r="H2217" i="1" s="1"/>
  <c r="H2218" i="1" s="1" a="1"/>
  <c r="H2218" i="1" s="1"/>
  <c r="I2216" i="1" a="1"/>
  <c r="I2216" i="1" s="1"/>
  <c r="J2208" i="1" a="1"/>
  <c r="J2208" i="1" s="1"/>
  <c r="I2202" i="1" a="1"/>
  <c r="I2202" i="1" s="1"/>
  <c r="G2217" i="1" a="1"/>
  <c r="G2217" i="1" s="1"/>
  <c r="G2218" i="1" s="1" a="1"/>
  <c r="G2218" i="1" s="1"/>
  <c r="J2201" i="1" a="1"/>
  <c r="J2201" i="1" s="1"/>
  <c r="I2214" i="1" a="1"/>
  <c r="I2214" i="1" s="1"/>
  <c r="I2215" i="1" s="1" a="1"/>
  <c r="I2215" i="1" s="1"/>
  <c r="G2212" i="1" a="1"/>
  <c r="G2212" i="1" s="1"/>
  <c r="L2206" i="1" a="1"/>
  <c r="L2206" i="1" s="1"/>
  <c r="L2202" i="1" a="1"/>
  <c r="L2202" i="1" s="1"/>
  <c r="F2211" i="1" a="1"/>
  <c r="F2211" i="1" s="1"/>
  <c r="H2208" i="1" a="1"/>
  <c r="H2208" i="1" s="1"/>
  <c r="K2203" i="1" a="1"/>
  <c r="K2203" i="1" s="1"/>
  <c r="H2207" i="1" a="1"/>
  <c r="H2207" i="1" s="1"/>
  <c r="G2204" i="1" a="1"/>
  <c r="G2204" i="1" s="1"/>
  <c r="J2207" i="1" a="1"/>
  <c r="J2207" i="1" s="1"/>
  <c r="L2207" i="1" a="1"/>
  <c r="L2207" i="1" s="1"/>
  <c r="F2216" i="1" a="1"/>
  <c r="F2216" i="1" s="1"/>
  <c r="L2208" i="1" a="1"/>
  <c r="L2208" i="1" s="1"/>
  <c r="G2207" i="1" a="1"/>
  <c r="G2207" i="1" s="1"/>
  <c r="H2206" i="1" a="1"/>
  <c r="H2206" i="1" s="1"/>
  <c r="H2204" i="1" a="1"/>
  <c r="H2204" i="1" s="1"/>
  <c r="J2200" i="1" a="1"/>
  <c r="J2200" i="1" s="1"/>
  <c r="G2208" i="1" a="1"/>
  <c r="G2208" i="1" s="1"/>
  <c r="G2203" i="1" a="1"/>
  <c r="G2203" i="1" s="1"/>
  <c r="I2207" i="1" a="1"/>
  <c r="I2207" i="1" s="1"/>
  <c r="F2208" i="1" a="1"/>
  <c r="F2208" i="1" s="1"/>
  <c r="K2201" i="1" a="1"/>
  <c r="K2201" i="1" s="1"/>
  <c r="K2202" i="1" a="1"/>
  <c r="K2202" i="1" s="1"/>
  <c r="H2203" i="1" a="1"/>
  <c r="H2203" i="1" s="1"/>
  <c r="L2204" i="1" a="1"/>
  <c r="L2204" i="1" s="1"/>
  <c r="K2205" i="1" a="1"/>
  <c r="K2205" i="1" s="1"/>
  <c r="I2206" i="1" a="1"/>
  <c r="I2206" i="1" s="1"/>
  <c r="I2203" i="1" a="1"/>
  <c r="I2203" i="1" s="1"/>
  <c r="J2203" i="1" a="1"/>
  <c r="J2203" i="1" s="1"/>
  <c r="L2201" i="1" a="1"/>
  <c r="L2201" i="1" s="1"/>
  <c r="I2205" i="1" a="1"/>
  <c r="I2205" i="1" s="1"/>
  <c r="F2207" i="1" a="1"/>
  <c r="F2207" i="1" s="1"/>
  <c r="L2200" i="1" a="1"/>
  <c r="L2200" i="1" s="1"/>
  <c r="J2209" i="1" a="1"/>
  <c r="J2209" i="1" s="1"/>
  <c r="F2201" i="1" a="1"/>
  <c r="F2201" i="1" s="1"/>
  <c r="L2205" i="1" a="1"/>
  <c r="L2205" i="1" s="1"/>
  <c r="G2206" i="1" a="1"/>
  <c r="G2206" i="1" s="1"/>
  <c r="G2201" i="1" a="1"/>
  <c r="G2201" i="1" s="1"/>
  <c r="K2206" i="1" a="1"/>
  <c r="K2206" i="1" s="1"/>
  <c r="F2204" i="1" a="1"/>
  <c r="F2204" i="1" s="1"/>
  <c r="H2205" i="1" a="1"/>
  <c r="H2205" i="1" s="1"/>
  <c r="J2202" i="1" a="1"/>
  <c r="J2202" i="1" s="1"/>
  <c r="L2203" i="1" a="1"/>
  <c r="L2203" i="1" s="1"/>
  <c r="G2205" i="1" a="1"/>
  <c r="G2205" i="1" s="1"/>
  <c r="K2207" i="1" a="1"/>
  <c r="K2207" i="1" s="1"/>
  <c r="J2205" i="1" a="1"/>
  <c r="J2205" i="1" s="1"/>
  <c r="F2205" i="1" a="1"/>
  <c r="F2205" i="1" s="1"/>
  <c r="K2204" i="1" a="1"/>
  <c r="K2204" i="1" s="1"/>
  <c r="G2202" i="1" a="1"/>
  <c r="G2202" i="1" s="1"/>
  <c r="F2197" i="1" a="1"/>
  <c r="F2197" i="1" s="1"/>
  <c r="J2204" i="1" a="1"/>
  <c r="J2204" i="1" s="1"/>
  <c r="H2201" i="1" a="1"/>
  <c r="H2201" i="1" s="1"/>
  <c r="I2209" i="1" a="1"/>
  <c r="I2209" i="1" s="1"/>
  <c r="H2192" i="1" a="1"/>
  <c r="H2192" i="1" s="1"/>
  <c r="H2209" i="1" a="1"/>
  <c r="H2209" i="1" s="1"/>
  <c r="F2202" i="1" a="1"/>
  <c r="F2202" i="1" s="1"/>
  <c r="J2194" i="1" a="1"/>
  <c r="J2194" i="1" s="1"/>
  <c r="K2200" i="1" a="1"/>
  <c r="K2200" i="1" s="1"/>
  <c r="L2191" i="1" a="1"/>
  <c r="L2191" i="1" s="1"/>
  <c r="J2196" i="1" a="1"/>
  <c r="J2196" i="1" s="1"/>
  <c r="H2197" i="1" a="1"/>
  <c r="H2197" i="1" s="1"/>
  <c r="H2196" i="1" a="1"/>
  <c r="H2196" i="1" s="1"/>
  <c r="I2196" i="1" a="1"/>
  <c r="I2196" i="1" s="1"/>
  <c r="F2209" i="1" a="1"/>
  <c r="F2209" i="1" s="1"/>
  <c r="L2196" i="1" a="1"/>
  <c r="L2196" i="1" s="1"/>
  <c r="J2193" i="1" a="1"/>
  <c r="J2193" i="1" s="1"/>
  <c r="J2206" i="1" a="1"/>
  <c r="J2206" i="1" s="1"/>
  <c r="K2196" i="1" a="1"/>
  <c r="K2196" i="1" s="1"/>
  <c r="J2195" i="1" a="1"/>
  <c r="J2195" i="1" s="1"/>
  <c r="G2209" i="1" a="1"/>
  <c r="G2209" i="1" s="1"/>
  <c r="H2194" i="1" a="1"/>
  <c r="H2194" i="1" s="1"/>
  <c r="J2192" i="1" a="1"/>
  <c r="J2192" i="1" s="1"/>
  <c r="L2192" i="1" a="1"/>
  <c r="L2192" i="1" s="1"/>
  <c r="I2195" i="1" a="1"/>
  <c r="I2195" i="1" s="1"/>
  <c r="I2204" i="1" a="1"/>
  <c r="I2204" i="1" s="1"/>
  <c r="K2193" i="1" a="1"/>
  <c r="K2193" i="1" s="1"/>
  <c r="I2201" i="1" a="1"/>
  <c r="I2201" i="1" s="1"/>
  <c r="I2192" i="1" a="1"/>
  <c r="I2192" i="1" s="1"/>
  <c r="G2197" i="1" a="1"/>
  <c r="G2197" i="1" s="1"/>
  <c r="K2199" i="1" a="1"/>
  <c r="K2199" i="1" s="1"/>
  <c r="K2191" i="1" a="1"/>
  <c r="K2191" i="1" s="1"/>
  <c r="L2194" i="1" a="1"/>
  <c r="L2194" i="1" s="1"/>
  <c r="I2200" i="1" a="1"/>
  <c r="I2200" i="1" s="1"/>
  <c r="J2199" i="1" a="1"/>
  <c r="J2199" i="1" s="1"/>
  <c r="G2195" i="1" a="1"/>
  <c r="G2195" i="1" s="1"/>
  <c r="K2197" i="1" a="1"/>
  <c r="K2197" i="1" s="1"/>
  <c r="I2198" i="1" a="1"/>
  <c r="I2198" i="1" s="1"/>
  <c r="K2195" i="1" a="1"/>
  <c r="K2195" i="1" s="1"/>
  <c r="I2197" i="1" a="1"/>
  <c r="I2197" i="1" s="1"/>
  <c r="H2199" i="1" a="1"/>
  <c r="H2199" i="1" s="1"/>
  <c r="K2192" i="1" a="1"/>
  <c r="K2192" i="1" s="1"/>
  <c r="F2198" i="1" a="1"/>
  <c r="F2198" i="1" s="1"/>
  <c r="F2196" i="1" a="1"/>
  <c r="F2196" i="1" s="1"/>
  <c r="G2196" i="1" a="1"/>
  <c r="G2196" i="1" s="1"/>
  <c r="F2200" i="1" a="1"/>
  <c r="F2200" i="1" s="1"/>
  <c r="G2194" i="1" a="1"/>
  <c r="G2194" i="1" s="1"/>
  <c r="G2199" i="1" a="1"/>
  <c r="G2199" i="1" s="1"/>
  <c r="K2194" i="1" a="1"/>
  <c r="K2194" i="1" s="1"/>
  <c r="G2200" i="1" a="1"/>
  <c r="G2200" i="1" s="1"/>
  <c r="K2198" i="1" a="1"/>
  <c r="K2198" i="1" s="1"/>
  <c r="J2197" i="1" a="1"/>
  <c r="J2197" i="1" s="1"/>
  <c r="I2193" i="1" a="1"/>
  <c r="I2193" i="1" s="1"/>
  <c r="L2193" i="1" a="1"/>
  <c r="L2193" i="1" s="1"/>
  <c r="F2192" i="1" a="1"/>
  <c r="F2192" i="1" s="1"/>
  <c r="H2200" i="1" a="1"/>
  <c r="H2200" i="1" s="1"/>
  <c r="F2193" i="1" a="1"/>
  <c r="F2193" i="1" s="1"/>
  <c r="G2193" i="1" a="1"/>
  <c r="G2193" i="1" s="1"/>
  <c r="F2195" i="1" a="1"/>
  <c r="F2195" i="1" s="1"/>
  <c r="I2194" i="1" a="1"/>
  <c r="I2194" i="1" s="1"/>
  <c r="L2184" i="1" a="1"/>
  <c r="L2184" i="1" s="1"/>
  <c r="L2185" i="1" a="1"/>
  <c r="L2185" i="1" s="1"/>
  <c r="K2187" i="1" a="1"/>
  <c r="K2187" i="1" s="1"/>
  <c r="J2198" i="1" a="1"/>
  <c r="J2198" i="1" s="1"/>
  <c r="F2199" i="1" a="1"/>
  <c r="F2199" i="1" s="1"/>
  <c r="J2182" i="1" a="1"/>
  <c r="J2182" i="1" s="1"/>
  <c r="F2190" i="1" a="1"/>
  <c r="F2190" i="1" s="1"/>
  <c r="H2198" i="1" a="1"/>
  <c r="H2198" i="1" s="1"/>
  <c r="G2192" i="1" a="1"/>
  <c r="G2192" i="1" s="1"/>
  <c r="J2188" i="1" a="1"/>
  <c r="J2188" i="1" s="1"/>
  <c r="I2190" i="1" a="1"/>
  <c r="I2190" i="1" s="1"/>
  <c r="L2195" i="1" a="1"/>
  <c r="L2195" i="1" s="1"/>
  <c r="H2195" i="1" a="1"/>
  <c r="H2195" i="1" s="1"/>
  <c r="G2198" i="1" a="1"/>
  <c r="G2198" i="1" s="1"/>
  <c r="J2187" i="1" a="1"/>
  <c r="J2187" i="1" s="1"/>
  <c r="F2185" i="1" a="1"/>
  <c r="F2185" i="1" s="1"/>
  <c r="K2184" i="1" a="1"/>
  <c r="K2184" i="1" s="1"/>
  <c r="H2187" i="1" a="1"/>
  <c r="H2187" i="1" s="1"/>
  <c r="I2187" i="1" a="1"/>
  <c r="I2187" i="1" s="1"/>
  <c r="F2188" i="1" a="1"/>
  <c r="F2188" i="1" s="1"/>
  <c r="L2183" i="1" a="1"/>
  <c r="L2183" i="1" s="1"/>
  <c r="L2199" i="1" a="1"/>
  <c r="L2199" i="1" s="1"/>
  <c r="L2198" i="1" a="1"/>
  <c r="L2198" i="1" s="1"/>
  <c r="L2197" i="1" a="1"/>
  <c r="L2197" i="1" s="1"/>
  <c r="I2199" i="1" a="1"/>
  <c r="I2199" i="1" s="1"/>
  <c r="H2193" i="1" a="1"/>
  <c r="H2193" i="1" s="1"/>
  <c r="K2182" i="1" a="1"/>
  <c r="K2182" i="1" s="1"/>
  <c r="F2194" i="1" a="1"/>
  <c r="F2194" i="1" s="1"/>
  <c r="F2183" i="1" a="1"/>
  <c r="F2183" i="1" s="1"/>
  <c r="I2188" i="1" a="1"/>
  <c r="I2188" i="1" s="1"/>
  <c r="L2181" i="1" a="1"/>
  <c r="L2181" i="1" s="1"/>
  <c r="J2183" i="1" a="1"/>
  <c r="J2183" i="1" s="1"/>
  <c r="H2184" i="1" a="1"/>
  <c r="H2184" i="1" s="1"/>
  <c r="J2184" i="1" a="1"/>
  <c r="J2184" i="1" s="1"/>
  <c r="L2188" i="1" a="1"/>
  <c r="L2188" i="1" s="1"/>
  <c r="G2182" i="1" a="1"/>
  <c r="G2182" i="1" s="1"/>
  <c r="I2191" i="1" a="1"/>
  <c r="I2191" i="1" s="1"/>
  <c r="K2183" i="1" a="1"/>
  <c r="K2183" i="1" s="1"/>
  <c r="K2188" i="1" a="1"/>
  <c r="K2188" i="1" s="1"/>
  <c r="G2186" i="1" a="1"/>
  <c r="G2186" i="1" s="1"/>
  <c r="G2187" i="1" a="1"/>
  <c r="G2187" i="1" s="1"/>
  <c r="I2185" i="1" a="1"/>
  <c r="I2185" i="1" s="1"/>
  <c r="G2190" i="1" a="1"/>
  <c r="G2190" i="1" s="1"/>
  <c r="L2186" i="1" a="1"/>
  <c r="L2186" i="1" s="1"/>
  <c r="H2191" i="1" a="1"/>
  <c r="H2191" i="1" s="1"/>
  <c r="I2182" i="1" a="1"/>
  <c r="I2182" i="1" s="1"/>
  <c r="H2188" i="1" a="1"/>
  <c r="H2188" i="1" s="1"/>
  <c r="F2184" i="1" a="1"/>
  <c r="F2184" i="1" s="1"/>
  <c r="L2187" i="1" a="1"/>
  <c r="L2187" i="1" s="1"/>
  <c r="F2186" i="1" a="1"/>
  <c r="F2186" i="1" s="1"/>
  <c r="K2186" i="1" a="1"/>
  <c r="K2186" i="1" s="1"/>
  <c r="J2185" i="1" a="1"/>
  <c r="J2185" i="1" s="1"/>
  <c r="G2191" i="1" a="1"/>
  <c r="G2191" i="1" s="1"/>
  <c r="I2183" i="1" a="1"/>
  <c r="I2183" i="1" s="1"/>
  <c r="I2184" i="1" a="1"/>
  <c r="I2184" i="1" s="1"/>
  <c r="H2190" i="1" a="1"/>
  <c r="H2190" i="1" s="1"/>
  <c r="J2186" i="1" a="1"/>
  <c r="J2186" i="1" s="1"/>
  <c r="F2182" i="1" a="1"/>
  <c r="F2182" i="1" s="1"/>
  <c r="J2191" i="1" a="1"/>
  <c r="J2191" i="1" s="1"/>
  <c r="K2185" i="1" a="1"/>
  <c r="K2185" i="1" s="1"/>
  <c r="G2188" i="1" a="1"/>
  <c r="G2188" i="1" s="1"/>
  <c r="L2182" i="1" a="1"/>
  <c r="L2182" i="1" s="1"/>
  <c r="G2183" i="1" a="1"/>
  <c r="G2183" i="1" s="1"/>
  <c r="G2185" i="1" a="1"/>
  <c r="G2185" i="1" s="1"/>
  <c r="K2175" i="1" a="1"/>
  <c r="K2175" i="1" s="1"/>
  <c r="I2177" i="1" a="1"/>
  <c r="I2177" i="1" s="1"/>
  <c r="K2190" i="1" a="1"/>
  <c r="K2190" i="1" s="1"/>
  <c r="L2190" i="1" a="1"/>
  <c r="L2190" i="1" s="1"/>
  <c r="F2187" i="1" a="1"/>
  <c r="F2187" i="1" s="1"/>
  <c r="I2186" i="1" a="1"/>
  <c r="I2186" i="1" s="1"/>
  <c r="G2176" i="1" a="1"/>
  <c r="G2176" i="1" s="1"/>
  <c r="H2185" i="1" a="1"/>
  <c r="H2185" i="1" s="1"/>
  <c r="K2176" i="1" a="1"/>
  <c r="K2176" i="1" s="1"/>
  <c r="J2176" i="1" a="1"/>
  <c r="J2176" i="1" s="1"/>
  <c r="K2177" i="1" a="1"/>
  <c r="K2177" i="1" s="1"/>
  <c r="H2182" i="1" a="1"/>
  <c r="H2182" i="1" s="1"/>
  <c r="G2184" i="1" a="1"/>
  <c r="G2184" i="1" s="1"/>
  <c r="I2173" i="1" a="1"/>
  <c r="I2173" i="1" s="1"/>
  <c r="H2186" i="1" a="1"/>
  <c r="H2186" i="1" s="1"/>
  <c r="H2175" i="1" a="1"/>
  <c r="H2175" i="1" s="1"/>
  <c r="H2176" i="1" a="1"/>
  <c r="H2176" i="1" s="1"/>
  <c r="F2173" i="1" a="1"/>
  <c r="F2173" i="1" s="1"/>
  <c r="G2177" i="1" a="1"/>
  <c r="G2177" i="1" s="1"/>
  <c r="G2173" i="1" a="1"/>
  <c r="G2173" i="1" s="1"/>
  <c r="H2173" i="1" a="1"/>
  <c r="H2173" i="1" s="1"/>
  <c r="L2172" i="1" a="1"/>
  <c r="L2172" i="1" s="1"/>
  <c r="L2173" i="1" a="1"/>
  <c r="L2173" i="1" s="1"/>
  <c r="H2178" i="1" a="1"/>
  <c r="H2178" i="1" s="1"/>
  <c r="F2191" i="1" a="1"/>
  <c r="F2191" i="1" s="1"/>
  <c r="K2174" i="1" a="1"/>
  <c r="K2174" i="1" s="1"/>
  <c r="J2190" i="1" a="1"/>
  <c r="J2190" i="1" s="1"/>
  <c r="F2175" i="1" a="1"/>
  <c r="F2175" i="1" s="1"/>
  <c r="H2174" i="1" a="1"/>
  <c r="H2174" i="1" s="1"/>
  <c r="F2177" i="1" a="1"/>
  <c r="F2177" i="1" s="1"/>
  <c r="G2175" i="1" a="1"/>
  <c r="G2175" i="1" s="1"/>
  <c r="H2183" i="1" a="1"/>
  <c r="H2183" i="1" s="1"/>
  <c r="K2179" i="1" a="1"/>
  <c r="K2179" i="1" s="1"/>
  <c r="H2181" i="1" a="1"/>
  <c r="H2181" i="1" s="1"/>
  <c r="J2180" i="1" a="1"/>
  <c r="J2180" i="1" s="1"/>
  <c r="F2181" i="1" a="1"/>
  <c r="F2181" i="1" s="1"/>
  <c r="F2180" i="1" a="1"/>
  <c r="F2180" i="1" s="1"/>
  <c r="L2179" i="1" a="1"/>
  <c r="L2179" i="1" s="1"/>
  <c r="J2181" i="1" a="1"/>
  <c r="J2181" i="1" s="1"/>
  <c r="G2178" i="1" a="1"/>
  <c r="G2178" i="1" s="1"/>
  <c r="J2173" i="1" a="1"/>
  <c r="J2173" i="1" s="1"/>
  <c r="G2174" i="1" a="1"/>
  <c r="G2174" i="1" s="1"/>
  <c r="H2180" i="1" a="1"/>
  <c r="H2180" i="1" s="1"/>
  <c r="L2175" i="1" a="1"/>
  <c r="L2175" i="1" s="1"/>
  <c r="K2181" i="1" a="1"/>
  <c r="K2181" i="1" s="1"/>
  <c r="L2176" i="1" a="1"/>
  <c r="L2176" i="1" s="1"/>
  <c r="F2179" i="1" a="1"/>
  <c r="F2179" i="1" s="1"/>
  <c r="L2174" i="1" a="1"/>
  <c r="L2174" i="1" s="1"/>
  <c r="G2181" i="1" a="1"/>
  <c r="G2181" i="1" s="1"/>
  <c r="K2180" i="1" a="1"/>
  <c r="K2180" i="1" s="1"/>
  <c r="I2180" i="1" a="1"/>
  <c r="I2180" i="1" s="1"/>
  <c r="L2180" i="1" a="1"/>
  <c r="L2180" i="1" s="1"/>
  <c r="J2178" i="1" a="1"/>
  <c r="J2178" i="1" s="1"/>
  <c r="I2179" i="1" a="1"/>
  <c r="I2179" i="1" s="1"/>
  <c r="H2179" i="1" a="1"/>
  <c r="H2179" i="1" s="1"/>
  <c r="K2172" i="1" a="1"/>
  <c r="K2172" i="1" s="1"/>
  <c r="J2174" i="1" a="1"/>
  <c r="J2174" i="1" s="1"/>
  <c r="J2175" i="1" a="1"/>
  <c r="J2175" i="1" s="1"/>
  <c r="F2176" i="1" a="1"/>
  <c r="F2176" i="1" s="1"/>
  <c r="K2173" i="1" a="1"/>
  <c r="K2173" i="1" s="1"/>
  <c r="I2181" i="1" a="1"/>
  <c r="I2181" i="1" s="1"/>
  <c r="I2174" i="1" a="1"/>
  <c r="I2174" i="1" s="1"/>
  <c r="F2174" i="1" a="1"/>
  <c r="F2174" i="1" s="1"/>
  <c r="G2180" i="1" a="1"/>
  <c r="G2180" i="1" s="1"/>
  <c r="H2177" i="1" a="1"/>
  <c r="H2177" i="1" s="1"/>
  <c r="J2179" i="1" a="1"/>
  <c r="J2179" i="1" s="1"/>
  <c r="I2172" i="1" a="1"/>
  <c r="I2172" i="1" s="1"/>
  <c r="J2177" i="1" a="1"/>
  <c r="J2177" i="1" s="1"/>
  <c r="G2172" i="1" a="1"/>
  <c r="G2172" i="1" s="1"/>
  <c r="K2170" i="1" a="1"/>
  <c r="K2170" i="1" s="1"/>
  <c r="G2179" i="1" a="1"/>
  <c r="G2179" i="1" s="1"/>
  <c r="K2166" i="1" a="1"/>
  <c r="K2166" i="1" s="1"/>
  <c r="I2175" i="1" a="1"/>
  <c r="I2175" i="1" s="1"/>
  <c r="J2172" i="1" a="1"/>
  <c r="J2172" i="1" s="1"/>
  <c r="F2168" i="1" a="1"/>
  <c r="F2168" i="1" s="1"/>
  <c r="G2168" i="1" a="1"/>
  <c r="G2168" i="1" s="1"/>
  <c r="K2178" i="1" a="1"/>
  <c r="K2178" i="1" s="1"/>
  <c r="I2176" i="1" a="1"/>
  <c r="I2176" i="1" s="1"/>
  <c r="G2171" i="1" a="1"/>
  <c r="G2171" i="1" s="1"/>
  <c r="L2178" i="1" a="1"/>
  <c r="L2178" i="1" s="1"/>
  <c r="I2178" i="1" a="1"/>
  <c r="I2178" i="1" s="1"/>
  <c r="F2178" i="1" a="1"/>
  <c r="F2178" i="1" s="1"/>
  <c r="H2169" i="1" a="1"/>
  <c r="H2169" i="1" s="1"/>
  <c r="H2172" i="1" a="1"/>
  <c r="H2172" i="1" s="1"/>
  <c r="H2168" i="1" a="1"/>
  <c r="H2168" i="1" s="1"/>
  <c r="F2169" i="1" a="1"/>
  <c r="F2169" i="1" s="1"/>
  <c r="L2177" i="1" a="1"/>
  <c r="L2177" i="1" s="1"/>
  <c r="I2169" i="1" a="1"/>
  <c r="I2169" i="1" s="1"/>
  <c r="I2171" i="1" a="1"/>
  <c r="I2171" i="1" s="1"/>
  <c r="H2166" i="1" a="1"/>
  <c r="H2166" i="1" s="1"/>
  <c r="F2172" i="1" a="1"/>
  <c r="F2172" i="1" s="1"/>
  <c r="H2170" i="1" a="1"/>
  <c r="H2170" i="1" s="1"/>
  <c r="H2164" i="1" a="1"/>
  <c r="H2164" i="1" s="1"/>
  <c r="L2163" i="1" a="1"/>
  <c r="L2163" i="1" s="1"/>
  <c r="L2170" i="1" a="1"/>
  <c r="L2170" i="1" s="1"/>
  <c r="J2171" i="1" a="1"/>
  <c r="J2171" i="1" s="1"/>
  <c r="L2171" i="1" a="1"/>
  <c r="L2171" i="1" s="1"/>
  <c r="F2167" i="1" a="1"/>
  <c r="F2167" i="1" s="1"/>
  <c r="K2171" i="1" a="1"/>
  <c r="K2171" i="1" s="1"/>
  <c r="K2167" i="1" a="1"/>
  <c r="K2167" i="1" s="1"/>
  <c r="F2166" i="1" a="1"/>
  <c r="F2166" i="1" s="1"/>
  <c r="J2166" i="1" a="1"/>
  <c r="J2166" i="1" s="1"/>
  <c r="I2164" i="1" a="1"/>
  <c r="I2164" i="1" s="1"/>
  <c r="G2169" i="1" a="1"/>
  <c r="G2169" i="1" s="1"/>
  <c r="G2166" i="1" a="1"/>
  <c r="G2166" i="1" s="1"/>
  <c r="I2167" i="1" a="1"/>
  <c r="I2167" i="1" s="1"/>
  <c r="I2166" i="1" a="1"/>
  <c r="I2166" i="1" s="1"/>
  <c r="J2169" i="1" a="1"/>
  <c r="J2169" i="1" s="1"/>
  <c r="L2164" i="1" a="1"/>
  <c r="L2164" i="1" s="1"/>
  <c r="J2168" i="1" a="1"/>
  <c r="J2168" i="1" s="1"/>
  <c r="G2163" i="1" a="1"/>
  <c r="G2163" i="1" s="1"/>
  <c r="F2170" i="1" a="1"/>
  <c r="F2170" i="1" s="1"/>
  <c r="I2170" i="1" a="1"/>
  <c r="I2170" i="1" s="1"/>
  <c r="K2164" i="1" a="1"/>
  <c r="K2164" i="1" s="1"/>
  <c r="F2171" i="1" a="1"/>
  <c r="F2171" i="1" s="1"/>
  <c r="G2164" i="1" a="1"/>
  <c r="G2164" i="1" s="1"/>
  <c r="H2167" i="1" a="1"/>
  <c r="H2167" i="1" s="1"/>
  <c r="L2168" i="1" a="1"/>
  <c r="L2168" i="1" s="1"/>
  <c r="J2163" i="1" a="1"/>
  <c r="J2163" i="1" s="1"/>
  <c r="H2171" i="1" a="1"/>
  <c r="H2171" i="1" s="1"/>
  <c r="J2170" i="1" a="1"/>
  <c r="J2170" i="1" s="1"/>
  <c r="J2167" i="1" a="1"/>
  <c r="J2167" i="1" s="1"/>
  <c r="H2163" i="1" a="1"/>
  <c r="H2163" i="1" s="1"/>
  <c r="K2168" i="1" a="1"/>
  <c r="K2168" i="1" s="1"/>
  <c r="L2167" i="1" a="1"/>
  <c r="L2167" i="1" s="1"/>
  <c r="L2169" i="1" a="1"/>
  <c r="L2169" i="1" s="1"/>
  <c r="G2167" i="1" a="1"/>
  <c r="G2167" i="1" s="1"/>
  <c r="K2169" i="1" a="1"/>
  <c r="K2169" i="1" s="1"/>
  <c r="K2163" i="1" a="1"/>
  <c r="K2163" i="1" s="1"/>
  <c r="F2164" i="1" a="1"/>
  <c r="F2164" i="1" s="1"/>
  <c r="J2154" i="1" a="1"/>
  <c r="J2154" i="1" s="1"/>
  <c r="G2158" i="1" a="1"/>
  <c r="G2158" i="1" s="1"/>
  <c r="K2158" i="1" a="1"/>
  <c r="K2158" i="1" s="1"/>
  <c r="J2164" i="1" a="1"/>
  <c r="J2164" i="1" s="1"/>
  <c r="I2163" i="1" a="1"/>
  <c r="I2163" i="1" s="1"/>
  <c r="F2155" i="1" a="1"/>
  <c r="F2155" i="1" s="1"/>
  <c r="H2157" i="1" a="1"/>
  <c r="H2157" i="1" s="1"/>
  <c r="K2155" i="1" a="1"/>
  <c r="K2155" i="1" s="1"/>
  <c r="F2160" i="1" a="1"/>
  <c r="F2160" i="1" s="1"/>
  <c r="F2163" i="1" a="1"/>
  <c r="F2163" i="1" s="1"/>
  <c r="F2157" i="1" a="1"/>
  <c r="F2157" i="1" s="1"/>
  <c r="I2160" i="1" a="1"/>
  <c r="I2160" i="1" s="1"/>
  <c r="K2157" i="1" a="1"/>
  <c r="K2157" i="1" s="1"/>
  <c r="I2156" i="1" a="1"/>
  <c r="I2156" i="1" s="1"/>
  <c r="L2166" i="1" a="1"/>
  <c r="L2166" i="1" s="1"/>
  <c r="J2158" i="1" a="1"/>
  <c r="J2158" i="1" s="1"/>
  <c r="F2158" i="1" a="1"/>
  <c r="F2158" i="1" s="1"/>
  <c r="I2158" i="1" a="1"/>
  <c r="I2158" i="1" s="1"/>
  <c r="J2159" i="1" a="1"/>
  <c r="J2159" i="1" s="1"/>
  <c r="G2170" i="1" a="1"/>
  <c r="G2170" i="1" s="1"/>
  <c r="I2168" i="1" a="1"/>
  <c r="I2168" i="1" s="1"/>
  <c r="J2157" i="1" a="1"/>
  <c r="J2157" i="1" s="1"/>
  <c r="F2162" i="1" a="1"/>
  <c r="F2162" i="1" s="1"/>
  <c r="G2156" i="1" a="1"/>
  <c r="G2156" i="1" s="1"/>
  <c r="K2161" i="1" a="1"/>
  <c r="K2161" i="1" s="1"/>
  <c r="G2161" i="1" a="1"/>
  <c r="G2161" i="1" s="1"/>
  <c r="L2157" i="1" a="1"/>
  <c r="L2157" i="1" s="1"/>
  <c r="G2160" i="1" a="1"/>
  <c r="G2160" i="1"/>
  <c r="F2156" i="1" a="1"/>
  <c r="F2156" i="1" s="1"/>
  <c r="J2155" i="1" a="1"/>
  <c r="J2155" i="1" s="1"/>
  <c r="J2162" i="1" a="1"/>
  <c r="J2162" i="1" s="1"/>
  <c r="L2158" i="1" a="1"/>
  <c r="L2158" i="1" s="1"/>
  <c r="I2154" i="1" a="1"/>
  <c r="I2154" i="1" s="1"/>
  <c r="I2161" i="1" a="1"/>
  <c r="I2161" i="1" s="1"/>
  <c r="F2159" i="1" a="1"/>
  <c r="F2159" i="1" s="1"/>
  <c r="L2155" i="1" a="1"/>
  <c r="L2155" i="1" s="1"/>
  <c r="G2155" i="1" a="1"/>
  <c r="G2155" i="1" s="1"/>
  <c r="J2160" i="1" a="1"/>
  <c r="J2160" i="1" s="1"/>
  <c r="K2156" i="1" a="1"/>
  <c r="K2156" i="1" s="1"/>
  <c r="H2155" i="1" a="1"/>
  <c r="H2155" i="1" s="1"/>
  <c r="L2154" i="1" a="1"/>
  <c r="L2154" i="1" s="1"/>
  <c r="G2157" i="1" a="1"/>
  <c r="G2157" i="1" s="1"/>
  <c r="L2156" i="1" a="1"/>
  <c r="L2156" i="1" s="1"/>
  <c r="H2159" i="1" a="1"/>
  <c r="H2159" i="1" s="1"/>
  <c r="H2158" i="1" a="1"/>
  <c r="H2158" i="1" s="1"/>
  <c r="L2162" i="1" a="1"/>
  <c r="L2162" i="1" s="1"/>
  <c r="K2162" i="1" a="1"/>
  <c r="K2162" i="1" s="1"/>
  <c r="I2159" i="1" a="1"/>
  <c r="I2159" i="1" s="1"/>
  <c r="G2162" i="1" a="1"/>
  <c r="G2162" i="1" s="1"/>
  <c r="F2161" i="1" a="1"/>
  <c r="F2161" i="1" s="1"/>
  <c r="I2162" i="1" a="1"/>
  <c r="I2162" i="1" s="1"/>
  <c r="H2160" i="1" a="1"/>
  <c r="H2160" i="1" s="1"/>
  <c r="H2156" i="1" a="1"/>
  <c r="H2156" i="1" s="1"/>
  <c r="K2159" i="1" a="1"/>
  <c r="K2159" i="1" s="1"/>
  <c r="G2159" i="1" a="1"/>
  <c r="G2159" i="1" s="1"/>
  <c r="L2161" i="1" a="1"/>
  <c r="L2161" i="1" s="1"/>
  <c r="L2159" i="1" a="1"/>
  <c r="L2159" i="1" s="1"/>
  <c r="I2157" i="1" a="1"/>
  <c r="I2157" i="1" s="1"/>
  <c r="H2162" i="1" a="1"/>
  <c r="H2162" i="1" s="1"/>
  <c r="J2156" i="1" a="1"/>
  <c r="J2156" i="1" s="1"/>
  <c r="I2155" i="1" a="1"/>
  <c r="I2155" i="1" s="1"/>
  <c r="G2153" i="1" a="1"/>
  <c r="G2153" i="1" s="1"/>
  <c r="J2161" i="1" a="1"/>
  <c r="J2161" i="1" s="1"/>
  <c r="G2151" i="1" a="1"/>
  <c r="G2151" i="1" s="1"/>
  <c r="L2149" i="1" a="1"/>
  <c r="L2149" i="1" s="1"/>
  <c r="K2160" i="1" a="1"/>
  <c r="K2160" i="1" s="1"/>
  <c r="I2152" i="1" a="1"/>
  <c r="I2152" i="1" s="1"/>
  <c r="K2147" i="1" a="1"/>
  <c r="K2147" i="1" s="1"/>
  <c r="K2148" i="1" a="1"/>
  <c r="K2148" i="1" s="1"/>
  <c r="K2146" i="1" a="1"/>
  <c r="K2146" i="1" s="1"/>
  <c r="H2153" i="1" a="1"/>
  <c r="H2153" i="1" s="1"/>
  <c r="L2151" i="1" a="1"/>
  <c r="L2151" i="1" s="1"/>
  <c r="G2150" i="1" a="1"/>
  <c r="G2150" i="1" s="1"/>
  <c r="H2152" i="1" a="1"/>
  <c r="H2152" i="1" s="1"/>
  <c r="L2160" i="1" a="1"/>
  <c r="L2160" i="1" s="1"/>
  <c r="K2154" i="1" a="1"/>
  <c r="K2154" i="1" s="1"/>
  <c r="K2151" i="1" a="1"/>
  <c r="K2151" i="1" s="1"/>
  <c r="H2149" i="1" a="1"/>
  <c r="H2149" i="1" s="1"/>
  <c r="L2150" i="1" a="1"/>
  <c r="L2150" i="1" s="1"/>
  <c r="L2145" i="1" a="1"/>
  <c r="L2145" i="1" s="1"/>
  <c r="J2152" i="1" a="1"/>
  <c r="J2152" i="1" s="1"/>
  <c r="H2148" i="1" a="1"/>
  <c r="H2148" i="1" s="1"/>
  <c r="I2149" i="1" a="1"/>
  <c r="I2149" i="1" s="1"/>
  <c r="J2153" i="1" a="1"/>
  <c r="J2153" i="1" s="1"/>
  <c r="H2161" i="1" a="1"/>
  <c r="H2161" i="1" s="1"/>
  <c r="I2153" i="1" a="1"/>
  <c r="I2153" i="1" s="1"/>
  <c r="F2146" i="1" a="1"/>
  <c r="F2146" i="1" s="1"/>
  <c r="F2153" i="1" a="1"/>
  <c r="F2153" i="1" s="1"/>
  <c r="K2150" i="1" a="1"/>
  <c r="K2150" i="1" s="1"/>
  <c r="L2152" i="1" a="1"/>
  <c r="L2152" i="1" s="1"/>
  <c r="F2148" i="1" a="1"/>
  <c r="F2148" i="1" s="1"/>
  <c r="L2148" i="1" a="1"/>
  <c r="L2148" i="1" s="1"/>
  <c r="K2152" i="1" a="1"/>
  <c r="K2152" i="1" s="1"/>
  <c r="G2152" i="1" a="1"/>
  <c r="G2152" i="1" s="1"/>
  <c r="L2153" i="1" a="1"/>
  <c r="L2153" i="1" s="1"/>
  <c r="J2150" i="1" a="1"/>
  <c r="J2150" i="1" s="1"/>
  <c r="L2146" i="1" a="1"/>
  <c r="L2146" i="1" s="1"/>
  <c r="I2148" i="1" a="1"/>
  <c r="I2148" i="1" s="1"/>
  <c r="F2150" i="1" a="1"/>
  <c r="F2150" i="1" s="1"/>
  <c r="J2149" i="1" a="1"/>
  <c r="J2149" i="1" s="1"/>
  <c r="K2145" i="1" a="1"/>
  <c r="K2145" i="1" s="1"/>
  <c r="J2151" i="1" a="1"/>
  <c r="J2151" i="1" s="1"/>
  <c r="H2151" i="1" a="1"/>
  <c r="H2151" i="1" s="1"/>
  <c r="F2154" i="1" a="1"/>
  <c r="F2154" i="1" s="1"/>
  <c r="G2148" i="1" a="1"/>
  <c r="G2148" i="1" s="1"/>
  <c r="F2149" i="1" a="1"/>
  <c r="F2149" i="1" s="1"/>
  <c r="G2149" i="1" a="1"/>
  <c r="G2149" i="1" s="1"/>
  <c r="H2147" i="1" a="1"/>
  <c r="H2147" i="1" s="1"/>
  <c r="G2154" i="1" a="1"/>
  <c r="G2154" i="1" s="1"/>
  <c r="F2152" i="1" a="1"/>
  <c r="F2152" i="1" s="1"/>
  <c r="I2151" i="1" a="1"/>
  <c r="I2151" i="1" s="1"/>
  <c r="J2148" i="1" a="1"/>
  <c r="J2148" i="1" s="1"/>
  <c r="K2149" i="1" a="1"/>
  <c r="K2149" i="1" s="1"/>
  <c r="I2147" i="1" a="1"/>
  <c r="I2147" i="1" s="1"/>
  <c r="F2147" i="1" a="1"/>
  <c r="F2147" i="1" s="1"/>
  <c r="I2150" i="1" a="1"/>
  <c r="I2150" i="1" s="1"/>
  <c r="G2147" i="1" a="1"/>
  <c r="G2147" i="1" s="1"/>
  <c r="F2151" i="1" a="1"/>
  <c r="F2151" i="1" s="1"/>
  <c r="H2150" i="1" a="1"/>
  <c r="H2150" i="1" s="1"/>
  <c r="G2146" i="1" a="1"/>
  <c r="G2146" i="1" s="1"/>
  <c r="I2146" i="1" a="1"/>
  <c r="I2146" i="1" s="1"/>
  <c r="H2154" i="1" a="1"/>
  <c r="H2154" i="1" s="1"/>
  <c r="L2147" i="1" a="1"/>
  <c r="L2147" i="1" s="1"/>
  <c r="J2147" i="1" a="1"/>
  <c r="J2147" i="1" s="1"/>
  <c r="J2146" i="1" a="1"/>
  <c r="J2146" i="1" s="1"/>
  <c r="G2142" i="1" a="1"/>
  <c r="G2142" i="1" s="1"/>
  <c r="G2138" i="1" a="1"/>
  <c r="G2138" i="1" s="1"/>
  <c r="G2137" i="1" a="1"/>
  <c r="G2137" i="1" s="1"/>
  <c r="H2145" i="1" a="1"/>
  <c r="H2145" i="1" s="1"/>
  <c r="L2142" i="1" a="1"/>
  <c r="L2142" i="1" s="1"/>
  <c r="H2142" i="1" a="1"/>
  <c r="H2142" i="1" s="1"/>
  <c r="K2142" i="1" a="1"/>
  <c r="K2142" i="1" s="1"/>
  <c r="I2137" i="1" a="1"/>
  <c r="I2137" i="1" s="1"/>
  <c r="K2143" i="1" a="1"/>
  <c r="K2143" i="1" s="1"/>
  <c r="I2145" i="1" a="1"/>
  <c r="I2145" i="1" s="1"/>
  <c r="J2140" i="1" a="1"/>
  <c r="J2140" i="1" s="1"/>
  <c r="G2139" i="1" a="1"/>
  <c r="G2139" i="1" s="1"/>
  <c r="J2138" i="1" a="1"/>
  <c r="J2138" i="1" s="1"/>
  <c r="H2139" i="1" a="1"/>
  <c r="H2139" i="1" s="1"/>
  <c r="G2141" i="1" a="1"/>
  <c r="G2141" i="1" s="1"/>
  <c r="H2138" i="1" a="1"/>
  <c r="H2138" i="1" s="1"/>
  <c r="K2139" i="1" a="1"/>
  <c r="K2139" i="1" s="1"/>
  <c r="J2145" i="1" a="1"/>
  <c r="J2145" i="1" s="1"/>
  <c r="I2138" i="1" a="1"/>
  <c r="I2138" i="1" s="1"/>
  <c r="H2143" i="1" a="1"/>
  <c r="H2143" i="1" s="1"/>
  <c r="H2140" i="1" a="1"/>
  <c r="H2140" i="1" s="1"/>
  <c r="H2146" i="1" a="1"/>
  <c r="H2146" i="1" s="1"/>
  <c r="F2140" i="1" a="1"/>
  <c r="F2140" i="1" s="1"/>
  <c r="F2144" i="1" a="1"/>
  <c r="F2144" i="1" s="1"/>
  <c r="K2153" i="1" a="1"/>
  <c r="K2153" i="1" s="1"/>
  <c r="I2140" i="1" a="1"/>
  <c r="I2140" i="1" s="1"/>
  <c r="J2136" i="1" a="1"/>
  <c r="J2136" i="1" s="1"/>
  <c r="F2142" i="1" a="1"/>
  <c r="F2142" i="1" s="1"/>
  <c r="L2139" i="1" a="1"/>
  <c r="L2139" i="1" s="1"/>
  <c r="L2141" i="1" a="1"/>
  <c r="L2141" i="1" s="1"/>
  <c r="G2140" i="1" a="1"/>
  <c r="G2140" i="1" s="1"/>
  <c r="I2141" i="1" a="1"/>
  <c r="I2141" i="1" s="1"/>
  <c r="F2138" i="1" a="1"/>
  <c r="F2138" i="1" s="1"/>
  <c r="L2140" i="1" a="1"/>
  <c r="L2140" i="1" s="1"/>
  <c r="K2137" i="1" a="1"/>
  <c r="K2137" i="1" s="1"/>
  <c r="G2143" i="1" a="1"/>
  <c r="G2143" i="1" s="1"/>
  <c r="F2137" i="1" a="1"/>
  <c r="F2137" i="1" s="1"/>
  <c r="K2144" i="1" a="1"/>
  <c r="K2144" i="1" s="1"/>
  <c r="F2143" i="1" a="1"/>
  <c r="F2143" i="1" s="1"/>
  <c r="L2136" i="1" a="1"/>
  <c r="L2136" i="1" s="1"/>
  <c r="H2137" i="1" a="1"/>
  <c r="H2137" i="1" s="1"/>
  <c r="K2136" i="1" a="1"/>
  <c r="K2136" i="1" s="1"/>
  <c r="G2145" i="1" a="1"/>
  <c r="G2145" i="1" s="1"/>
  <c r="L2144" i="1" a="1"/>
  <c r="L2144" i="1" s="1"/>
  <c r="F2141" i="1" a="1"/>
  <c r="F2141" i="1" s="1"/>
  <c r="H2141" i="1" a="1"/>
  <c r="H2141" i="1" s="1"/>
  <c r="G2144" i="1" a="1"/>
  <c r="G2144" i="1" s="1"/>
  <c r="J2137" i="1" a="1"/>
  <c r="J2137" i="1" s="1"/>
  <c r="J2144" i="1" a="1"/>
  <c r="J2144" i="1" s="1"/>
  <c r="J2139" i="1" a="1"/>
  <c r="J2139" i="1" s="1"/>
  <c r="F2145" i="1" a="1"/>
  <c r="F2145" i="1" s="1"/>
  <c r="F2139" i="1" a="1"/>
  <c r="F2139" i="1" s="1"/>
  <c r="I2144" i="1" a="1"/>
  <c r="I2144" i="1" s="1"/>
  <c r="L2143" i="1" a="1"/>
  <c r="L2143" i="1" s="1"/>
  <c r="J2141" i="1" a="1"/>
  <c r="J2141" i="1" s="1"/>
  <c r="K2138" i="1" a="1"/>
  <c r="K2138" i="1" s="1"/>
  <c r="J2143" i="1" a="1"/>
  <c r="J2143" i="1" s="1"/>
  <c r="K2141" i="1" a="1"/>
  <c r="K2141" i="1" s="1"/>
  <c r="I2139" i="1" a="1"/>
  <c r="I2139" i="1" s="1"/>
  <c r="J2142" i="1" a="1"/>
  <c r="J2142" i="1" s="1"/>
  <c r="K2140" i="1" a="1"/>
  <c r="K2140" i="1" s="1"/>
  <c r="I2143" i="1" a="1"/>
  <c r="I2143" i="1" s="1"/>
  <c r="L2137" i="1" a="1"/>
  <c r="L2137" i="1" s="1"/>
  <c r="I2142" i="1" a="1"/>
  <c r="I2142" i="1" s="1"/>
  <c r="L2138" i="1" a="1"/>
  <c r="L2138" i="1" s="1"/>
  <c r="H2135" i="1" a="1"/>
  <c r="H2135" i="1" s="1"/>
  <c r="I2133" i="1" a="1"/>
  <c r="I2133" i="1" s="1"/>
  <c r="H2144" i="1" a="1"/>
  <c r="H2144" i="1" s="1"/>
  <c r="F2131" i="1" a="1"/>
  <c r="F2131" i="1" s="1"/>
  <c r="G2131" i="1" a="1"/>
  <c r="G2131" i="1" s="1"/>
  <c r="F2132" i="1" a="1"/>
  <c r="F2132" i="1" s="1"/>
  <c r="K2129" i="1" a="1"/>
  <c r="K2129" i="1" s="1"/>
  <c r="J2129" i="1" a="1"/>
  <c r="J2129" i="1" s="1"/>
  <c r="I2136" i="1" a="1"/>
  <c r="I2136" i="1" s="1"/>
  <c r="J2130" i="1" a="1"/>
  <c r="J2130" i="1" s="1"/>
  <c r="G2130" i="1" a="1"/>
  <c r="G2130" i="1" s="1"/>
  <c r="L2133" i="1" a="1"/>
  <c r="L2133" i="1" s="1"/>
  <c r="F2134" i="1" a="1"/>
  <c r="F2134" i="1" s="1"/>
  <c r="L2129" i="1" a="1"/>
  <c r="L2129" i="1" s="1"/>
  <c r="J2127" i="1" a="1"/>
  <c r="J2127" i="1" s="1"/>
  <c r="I2128" i="1" a="1"/>
  <c r="I2128" i="1" s="1"/>
  <c r="J2132" i="1" a="1"/>
  <c r="J2132" i="1" s="1"/>
  <c r="L2128" i="1" a="1"/>
  <c r="L2128" i="1" s="1"/>
  <c r="I2132" i="1" a="1"/>
  <c r="I2132" i="1" s="1"/>
  <c r="K2131" i="1" a="1"/>
  <c r="K2131" i="1" s="1"/>
  <c r="K2128" i="1" a="1"/>
  <c r="K2128" i="1" s="1"/>
  <c r="F2128" i="1" a="1"/>
  <c r="F2128" i="1" s="1"/>
  <c r="G2129" i="1" a="1"/>
  <c r="G2129" i="1" s="1"/>
  <c r="K2127" i="1" a="1"/>
  <c r="K2127" i="1" s="1"/>
  <c r="I2129" i="1" a="1"/>
  <c r="I2129" i="1" s="1"/>
  <c r="L2131" i="1" a="1"/>
  <c r="L2131" i="1" s="1"/>
  <c r="F2136" i="1" a="1"/>
  <c r="F2136" i="1" s="1"/>
  <c r="G2136" i="1" a="1"/>
  <c r="G2136" i="1" s="1"/>
  <c r="H2136" i="1" a="1"/>
  <c r="H2136" i="1" s="1"/>
  <c r="L2127" i="1" a="1"/>
  <c r="L2127" i="1" s="1"/>
  <c r="I2127" i="1" a="1"/>
  <c r="I2127" i="1" s="1"/>
  <c r="F2130" i="1" a="1"/>
  <c r="F2130" i="1" s="1"/>
  <c r="J2131" i="1" a="1"/>
  <c r="J2131" i="1" s="1"/>
  <c r="H2128" i="1" a="1"/>
  <c r="H2128" i="1" s="1"/>
  <c r="H2133" i="1" a="1"/>
  <c r="H2133" i="1" s="1"/>
  <c r="J2134" i="1" a="1"/>
  <c r="J2134" i="1" s="1"/>
  <c r="K2133" i="1" a="1"/>
  <c r="K2133" i="1" s="1"/>
  <c r="I2134" i="1" a="1"/>
  <c r="I2134" i="1" s="1"/>
  <c r="G2133" i="1" a="1"/>
  <c r="G2133" i="1" s="1"/>
  <c r="F2133" i="1" a="1"/>
  <c r="F2133" i="1" s="1"/>
  <c r="H2129" i="1" a="1"/>
  <c r="H2129" i="1" s="1"/>
  <c r="L2130" i="1" a="1"/>
  <c r="L2130" i="1" s="1"/>
  <c r="J2135" i="1" a="1"/>
  <c r="J2135" i="1" s="1"/>
  <c r="L2135" i="1" a="1"/>
  <c r="L2135" i="1" s="1"/>
  <c r="K2132" i="1" a="1"/>
  <c r="K2132" i="1" s="1"/>
  <c r="K2134" i="1" a="1"/>
  <c r="K2134" i="1" s="1"/>
  <c r="G2135" i="1" a="1"/>
  <c r="G2135" i="1" s="1"/>
  <c r="G2132" i="1" a="1"/>
  <c r="G2132" i="1" s="1"/>
  <c r="I2135" i="1" a="1"/>
  <c r="I2135" i="1" s="1"/>
  <c r="H2130" i="1" a="1"/>
  <c r="H2130" i="1" s="1"/>
  <c r="L2132" i="1" a="1"/>
  <c r="L2132" i="1" s="1"/>
  <c r="I2131" i="1" a="1"/>
  <c r="I2131" i="1" s="1"/>
  <c r="H2131" i="1" a="1"/>
  <c r="H2131" i="1" s="1"/>
  <c r="I2130" i="1" a="1"/>
  <c r="I2130" i="1" s="1"/>
  <c r="F2129" i="1" a="1"/>
  <c r="F2129" i="1" s="1"/>
  <c r="K2135" i="1" a="1"/>
  <c r="K2135" i="1" s="1"/>
  <c r="L2134" i="1" a="1"/>
  <c r="L2134" i="1" s="1"/>
  <c r="H2132" i="1" a="1"/>
  <c r="H2132" i="1" s="1"/>
  <c r="J2133" i="1" a="1"/>
  <c r="J2133" i="1" s="1"/>
  <c r="K2130" i="1" a="1"/>
  <c r="K2130" i="1" s="1"/>
  <c r="F2135" i="1" a="1"/>
  <c r="F2135" i="1" s="1"/>
  <c r="G2128" i="1" a="1"/>
  <c r="G2128" i="1" s="1"/>
  <c r="J2128" i="1" a="1"/>
  <c r="J2128" i="1" s="1"/>
  <c r="I2126" i="1" a="1"/>
  <c r="I2126" i="1" s="1"/>
  <c r="L2126" i="1" a="1"/>
  <c r="L2126" i="1" s="1"/>
  <c r="I2119" i="1" a="1"/>
  <c r="I2119" i="1" s="1"/>
  <c r="F2119" i="1" a="1"/>
  <c r="F2119" i="1" s="1"/>
  <c r="K2126" i="1" a="1"/>
  <c r="K2126" i="1" s="1"/>
  <c r="L2124" i="1" a="1"/>
  <c r="L2124" i="1" s="1"/>
  <c r="F2126" i="1" a="1"/>
  <c r="F2126" i="1" s="1"/>
  <c r="G2121" i="1" a="1"/>
  <c r="G2121" i="1" s="1"/>
  <c r="K2120" i="1" a="1"/>
  <c r="K2120" i="1" s="1"/>
  <c r="L2119" i="1" a="1"/>
  <c r="L2119" i="1" s="1"/>
  <c r="H2127" i="1" a="1"/>
  <c r="H2127" i="1" s="1"/>
  <c r="F2127" i="1" a="1"/>
  <c r="F2127" i="1" s="1"/>
  <c r="G2126" i="1" a="1"/>
  <c r="G2126" i="1" s="1"/>
  <c r="K2125" i="1" a="1"/>
  <c r="K2125" i="1" s="1"/>
  <c r="H2122" i="1" a="1"/>
  <c r="H2122" i="1" s="1"/>
  <c r="L2125" i="1" a="1"/>
  <c r="L2125" i="1" s="1"/>
  <c r="H2120" i="1" a="1"/>
  <c r="H2120" i="1" s="1"/>
  <c r="K2119" i="1" a="1"/>
  <c r="K2119" i="1" s="1"/>
  <c r="K2123" i="1" a="1"/>
  <c r="K2123" i="1" s="1"/>
  <c r="G2134" i="1" a="1"/>
  <c r="G2134" i="1" s="1"/>
  <c r="H2134" i="1" a="1"/>
  <c r="H2134" i="1" s="1"/>
  <c r="H2126" i="1" a="1"/>
  <c r="H2126" i="1" s="1"/>
  <c r="I2118" i="1" a="1"/>
  <c r="I2118" i="1" s="1"/>
  <c r="I2122" i="1" a="1"/>
  <c r="I2122" i="1" s="1"/>
  <c r="J2126" i="1" a="1"/>
  <c r="J2126" i="1" s="1"/>
  <c r="F2122" i="1" a="1"/>
  <c r="F2122" i="1" s="1"/>
  <c r="J2119" i="1" a="1"/>
  <c r="J2119" i="1" s="1"/>
  <c r="H2119" i="1" a="1"/>
  <c r="H2119" i="1" s="1"/>
  <c r="L2121" i="1" a="1"/>
  <c r="L2121" i="1" s="1"/>
  <c r="L2122" i="1" a="1"/>
  <c r="L2122" i="1" s="1"/>
  <c r="J2121" i="1" a="1"/>
  <c r="J2121" i="1" s="1"/>
  <c r="G2127" i="1" a="1"/>
  <c r="G2127" i="1" s="1"/>
  <c r="G2120" i="1" a="1"/>
  <c r="G2120" i="1" s="1"/>
  <c r="G2123" i="1" a="1"/>
  <c r="G2123" i="1" s="1"/>
  <c r="J2123" i="1" a="1"/>
  <c r="J2123" i="1" s="1"/>
  <c r="H2124" i="1" a="1"/>
  <c r="H2124" i="1" s="1"/>
  <c r="J2124" i="1" a="1"/>
  <c r="J2124" i="1" s="1"/>
  <c r="H2121" i="1" a="1"/>
  <c r="H2121" i="1" s="1"/>
  <c r="F2124" i="1" a="1"/>
  <c r="F2124" i="1" s="1"/>
  <c r="G2124" i="1" a="1"/>
  <c r="G2124" i="1" s="1"/>
  <c r="L2123" i="1" a="1"/>
  <c r="L2123" i="1" s="1"/>
  <c r="F2125" i="1" a="1"/>
  <c r="F2125" i="1" s="1"/>
  <c r="K2124" i="1" a="1"/>
  <c r="K2124" i="1" s="1"/>
  <c r="I2121" i="1" a="1"/>
  <c r="I2121" i="1" s="1"/>
  <c r="G2122" i="1" a="1"/>
  <c r="G2122" i="1" s="1"/>
  <c r="H2125" i="1" a="1"/>
  <c r="H2125" i="1" s="1"/>
  <c r="H2123" i="1" a="1"/>
  <c r="H2123" i="1" s="1"/>
  <c r="J2120" i="1" a="1"/>
  <c r="J2120" i="1" s="1"/>
  <c r="K2118" i="1" a="1"/>
  <c r="K2118" i="1" s="1"/>
  <c r="K2122" i="1" a="1"/>
  <c r="K2122" i="1" s="1"/>
  <c r="I2125" i="1" a="1"/>
  <c r="I2125" i="1" s="1"/>
  <c r="I2124" i="1" a="1"/>
  <c r="I2124" i="1" s="1"/>
  <c r="L2120" i="1" a="1"/>
  <c r="L2120" i="1" s="1"/>
  <c r="F2120" i="1" a="1"/>
  <c r="F2120" i="1" s="1"/>
  <c r="J2118" i="1" a="1"/>
  <c r="J2118" i="1" s="1"/>
  <c r="J2125" i="1" a="1"/>
  <c r="J2125" i="1" s="1"/>
  <c r="L2118" i="1" a="1"/>
  <c r="L2118" i="1" s="1"/>
  <c r="F2123" i="1" a="1"/>
  <c r="F2123" i="1" s="1"/>
  <c r="G2119" i="1" a="1"/>
  <c r="G2119" i="1" s="1"/>
  <c r="G2125" i="1" a="1"/>
  <c r="G2125" i="1" s="1"/>
  <c r="I2123" i="1" a="1"/>
  <c r="I2123" i="1" s="1"/>
  <c r="H2118" i="1" a="1"/>
  <c r="H2118" i="1" s="1"/>
  <c r="F2121" i="1" a="1"/>
  <c r="F2121" i="1" s="1"/>
  <c r="J2122" i="1" a="1"/>
  <c r="J2122" i="1" s="1"/>
  <c r="L2116" i="1" a="1"/>
  <c r="L2116" i="1" s="1"/>
  <c r="I2115" i="1" a="1"/>
  <c r="I2115" i="1" s="1"/>
  <c r="F2118" i="1" a="1"/>
  <c r="F2118" i="1" s="1"/>
  <c r="K2121" i="1" a="1"/>
  <c r="K2121" i="1" s="1"/>
  <c r="G2116" i="1" a="1"/>
  <c r="G2116" i="1" s="1"/>
  <c r="L2115" i="1" a="1"/>
  <c r="L2115" i="1" s="1"/>
  <c r="I2120" i="1" a="1"/>
  <c r="I2120" i="1" s="1"/>
  <c r="J2115" i="1" a="1"/>
  <c r="J2115" i="1" s="1"/>
  <c r="I2116" i="1" a="1"/>
  <c r="I2116" i="1" s="1"/>
  <c r="J2116" i="1" a="1"/>
  <c r="J2116" i="1" s="1"/>
  <c r="J2117" i="1" a="1"/>
  <c r="J2117" i="1" s="1"/>
  <c r="K2115" i="1" a="1"/>
  <c r="K2115" i="1" s="1"/>
  <c r="H2115" i="1" a="1"/>
  <c r="H2115" i="1" s="1"/>
  <c r="G2118" i="1" a="1"/>
  <c r="G2118" i="1" s="1"/>
  <c r="H2117" i="1" a="1"/>
  <c r="H2117" i="1" s="1"/>
  <c r="F2013" i="1" a="1"/>
  <c r="F2013" i="1" s="1"/>
  <c r="F2014" i="1" s="1" a="1"/>
  <c r="F2014" i="1" s="1"/>
  <c r="K2116" i="1" a="1"/>
  <c r="K2116" i="1" s="1"/>
  <c r="G2117" i="1" a="1"/>
  <c r="G2117" i="1" s="1"/>
  <c r="H2013" i="1" a="1"/>
  <c r="H2013" i="1" s="1"/>
  <c r="H2014" i="1" s="1" a="1"/>
  <c r="H2014" i="1" s="1"/>
  <c r="F2117" i="1" a="1"/>
  <c r="F2117" i="1" s="1"/>
  <c r="G2115" i="1" a="1"/>
  <c r="G2115" i="1" s="1"/>
  <c r="L2117" i="1" a="1"/>
  <c r="L2117" i="1" s="1"/>
  <c r="H2116" i="1" a="1"/>
  <c r="H2116" i="1" s="1"/>
  <c r="K2117" i="1" a="1"/>
  <c r="K2117" i="1" s="1"/>
  <c r="I2117" i="1" a="1"/>
  <c r="I2117" i="1" s="1"/>
  <c r="F2115" i="1" a="1"/>
  <c r="F2115" i="1" s="1"/>
  <c r="J2016" i="1" a="1"/>
  <c r="J2016" i="1" s="1"/>
  <c r="J2017" i="1" s="1" a="1"/>
  <c r="J2017" i="1" s="1"/>
  <c r="F2116" i="1" a="1"/>
  <c r="F2116" i="1" s="1"/>
  <c r="G2016" i="1" a="1"/>
  <c r="G2016" i="1" s="1"/>
  <c r="G2017" i="1" s="1" a="1"/>
  <c r="G2017" i="1" s="1"/>
  <c r="H2018" i="1" a="1"/>
  <c r="H2018" i="1" s="1"/>
  <c r="H2019" i="1" s="1" a="1"/>
  <c r="H2019" i="1" s="1"/>
  <c r="I2011" i="1" a="1"/>
  <c r="I2011" i="1" s="1"/>
  <c r="F2016" i="1" a="1"/>
  <c r="F2016" i="1" s="1"/>
  <c r="F2017" i="1" s="1" a="1"/>
  <c r="F2017" i="1" s="1"/>
  <c r="G2013" i="1" a="1"/>
  <c r="G2013" i="1" s="1"/>
  <c r="G2014" i="1" s="1" a="1"/>
  <c r="G2014" i="1" s="1"/>
  <c r="F2018" i="1" a="1"/>
  <c r="F2018" i="1" s="1"/>
  <c r="F2019" i="1" s="1" a="1"/>
  <c r="F2019" i="1" s="1"/>
  <c r="L2011" i="1" a="1"/>
  <c r="L2011" i="1" s="1"/>
  <c r="L2018" i="1" a="1"/>
  <c r="L2018" i="1" s="1"/>
  <c r="L2019" i="1" s="1" a="1"/>
  <c r="L2019" i="1" s="1"/>
  <c r="K2013" i="1" a="1"/>
  <c r="K2013" i="1" s="1"/>
  <c r="K2014" i="1" s="1" a="1"/>
  <c r="K2014" i="1" s="1"/>
  <c r="J2013" i="1" a="1"/>
  <c r="J2013" i="1" s="1"/>
  <c r="J2014" i="1" s="1" a="1"/>
  <c r="J2014" i="1" s="1"/>
  <c r="I2018" i="1" a="1"/>
  <c r="I2018" i="1" s="1"/>
  <c r="I2019" i="1" s="1" a="1"/>
  <c r="I2019" i="1" s="1"/>
  <c r="K2016" i="1" a="1"/>
  <c r="K2016" i="1" s="1"/>
  <c r="K2017" i="1" s="1" a="1"/>
  <c r="K2017" i="1" s="1"/>
  <c r="J2018" i="1" a="1"/>
  <c r="J2018" i="1" s="1"/>
  <c r="J2019" i="1" s="1" a="1"/>
  <c r="J2019" i="1" s="1"/>
  <c r="H2016" i="1" a="1"/>
  <c r="H2016" i="1" s="1"/>
  <c r="H2017" i="1" s="1" a="1"/>
  <c r="H2017" i="1" s="1"/>
  <c r="I2016" i="1" a="1"/>
  <c r="I2016" i="1" s="1"/>
  <c r="I2017" i="1" s="1" a="1"/>
  <c r="I2017" i="1" s="1"/>
  <c r="K2018" i="1" a="1"/>
  <c r="K2018" i="1" s="1"/>
  <c r="K2019" i="1" s="1" a="1"/>
  <c r="K2019" i="1" s="1"/>
  <c r="F2020" i="1" a="1"/>
  <c r="F2020" i="1" s="1"/>
  <c r="L2013" i="1" a="1"/>
  <c r="L2013" i="1" s="1"/>
  <c r="L2014" i="1" s="1" a="1"/>
  <c r="L2014" i="1" s="1"/>
  <c r="J2006" i="1" a="1"/>
  <c r="J2006" i="1" s="1"/>
  <c r="J2007" i="1" s="1" a="1"/>
  <c r="J2007" i="1" s="1"/>
  <c r="K2011" i="1" a="1"/>
  <c r="K2011" i="1" s="1"/>
  <c r="L2010" i="1" a="1"/>
  <c r="L2010" i="1" s="1"/>
  <c r="F2008" i="1" a="1"/>
  <c r="F2008" i="1" s="1"/>
  <c r="F2009" i="1" s="1" a="1"/>
  <c r="F2009" i="1" s="1"/>
  <c r="G2018" i="1" a="1"/>
  <c r="G2018" i="1" s="1"/>
  <c r="G2019" i="1" s="1" a="1"/>
  <c r="G2019" i="1" s="1"/>
  <c r="J2011" i="1" a="1"/>
  <c r="J2011" i="1" s="1"/>
  <c r="L2016" i="1" a="1"/>
  <c r="L2016" i="1" s="1"/>
  <c r="L2017" i="1" s="1" a="1"/>
  <c r="L2017" i="1" s="1"/>
  <c r="F2011" i="1" a="1"/>
  <c r="F2011" i="1" s="1"/>
  <c r="H2011" i="1" a="1"/>
  <c r="H2011" i="1" s="1"/>
  <c r="F2003" i="1" a="1"/>
  <c r="F2003" i="1" s="1"/>
  <c r="F2004" i="1" s="1" a="1"/>
  <c r="F2004" i="1" s="1"/>
  <c r="G2011" i="1" a="1"/>
  <c r="G2011" i="1" s="1"/>
  <c r="K2003" i="1" a="1"/>
  <c r="K2003" i="1" s="1"/>
  <c r="K2004" i="1" s="1" a="1"/>
  <c r="K2004" i="1" s="1"/>
  <c r="K2008" i="1" a="1"/>
  <c r="K2008" i="1" s="1"/>
  <c r="K2009" i="1" s="1" a="1"/>
  <c r="K2009" i="1" s="1"/>
  <c r="I2013" i="1" a="1"/>
  <c r="I2013" i="1" s="1"/>
  <c r="I2014" i="1" s="1" a="1"/>
  <c r="I2014" i="1" s="1"/>
  <c r="G2006" i="1" a="1"/>
  <c r="G2006" i="1" s="1"/>
  <c r="G2007" i="1" s="1" a="1"/>
  <c r="G2007" i="1" s="1"/>
  <c r="L2001" i="1" a="1"/>
  <c r="L2001" i="1" s="1"/>
  <c r="K2010" i="1" a="1"/>
  <c r="K2010" i="1" s="1"/>
  <c r="H2003" i="1" a="1"/>
  <c r="H2003" i="1" s="1"/>
  <c r="H2004" i="1" s="1" a="1"/>
  <c r="H2004" i="1" s="1"/>
  <c r="G2008" i="1" a="1"/>
  <c r="G2008" i="1" s="1"/>
  <c r="G2009" i="1" s="1" a="1"/>
  <c r="G2009" i="1" s="1"/>
  <c r="H2008" i="1" a="1"/>
  <c r="H2008" i="1" s="1"/>
  <c r="H2009" i="1" s="1" a="1"/>
  <c r="H2009" i="1" s="1"/>
  <c r="F2006" i="1" a="1"/>
  <c r="F2006" i="1" s="1"/>
  <c r="F2007" i="1" s="1" a="1"/>
  <c r="F2007" i="1" s="1"/>
  <c r="J2005" i="1" a="1"/>
  <c r="J2005" i="1" s="1"/>
  <c r="H2006" i="1" a="1"/>
  <c r="H2006" i="1" s="1"/>
  <c r="H2007" i="1" s="1" a="1"/>
  <c r="H2007" i="1" s="1"/>
  <c r="I2010" i="1" a="1"/>
  <c r="I2010" i="1" s="1"/>
  <c r="L2005" i="1" a="1"/>
  <c r="L2005" i="1" s="1"/>
  <c r="I2006" i="1" a="1"/>
  <c r="I2006" i="1" s="1"/>
  <c r="I2007" i="1" s="1" a="1"/>
  <c r="I2007" i="1" s="1"/>
  <c r="G2010" i="1" a="1"/>
  <c r="G2010" i="1" s="1"/>
  <c r="G2003" i="1" a="1"/>
  <c r="G2003" i="1" s="1"/>
  <c r="G2004" i="1" s="1" a="1"/>
  <c r="G2004" i="1" s="1"/>
  <c r="I2005" i="1" a="1"/>
  <c r="I2005" i="1" s="1"/>
  <c r="H2010" i="1" a="1"/>
  <c r="H2010" i="1" s="1"/>
  <c r="G2005" i="1" a="1"/>
  <c r="G2005" i="1" s="1"/>
  <c r="I2003" i="1" a="1"/>
  <c r="I2003" i="1" s="1"/>
  <c r="I2004" i="1" s="1" a="1"/>
  <c r="I2004" i="1" s="1"/>
  <c r="H2005" i="1" a="1"/>
  <c r="H2005" i="1" s="1"/>
  <c r="L2008" i="1" a="1"/>
  <c r="L2008" i="1" s="1"/>
  <c r="L2009" i="1" s="1" a="1"/>
  <c r="L2009" i="1" s="1"/>
  <c r="J2008" i="1" a="1"/>
  <c r="J2008" i="1" s="1"/>
  <c r="J2009" i="1" s="1" a="1"/>
  <c r="J2009" i="1" s="1"/>
  <c r="K2005" i="1" a="1"/>
  <c r="K2005" i="1" s="1"/>
  <c r="J2010" i="1" a="1"/>
  <c r="J2010" i="1" s="1"/>
  <c r="L1995" i="1" a="1"/>
  <c r="L1995" i="1" s="1"/>
  <c r="K1994" i="1" a="1"/>
  <c r="K1994" i="1" s="1"/>
  <c r="G1998" i="1" a="1"/>
  <c r="G1998" i="1" s="1"/>
  <c r="I2008" i="1" a="1"/>
  <c r="I2008" i="1" s="1"/>
  <c r="I2009" i="1" s="1" a="1"/>
  <c r="I2009" i="1" s="1"/>
  <c r="F2010" i="1" a="1"/>
  <c r="F2010" i="1" s="1"/>
  <c r="F2000" i="1" a="1"/>
  <c r="F2000" i="1" s="1"/>
  <c r="L2006" i="1" a="1"/>
  <c r="L2006" i="1" s="1"/>
  <c r="L2007" i="1" s="1" a="1"/>
  <c r="L2007" i="1" s="1"/>
  <c r="H2001" i="1" a="1"/>
  <c r="H2001" i="1" s="1"/>
  <c r="F2005" i="1" a="1"/>
  <c r="F2005" i="1" s="1"/>
  <c r="G1999" i="1" a="1"/>
  <c r="G1999" i="1" s="1"/>
  <c r="F1999" i="1" a="1"/>
  <c r="F1999" i="1" s="1"/>
  <c r="L2003" i="1" a="1"/>
  <c r="L2003" i="1" s="1"/>
  <c r="L2004" i="1" s="1" a="1"/>
  <c r="L2004" i="1" s="1"/>
  <c r="L2000" i="1" a="1"/>
  <c r="L2000" i="1" s="1"/>
  <c r="K1992" i="1" a="1"/>
  <c r="K1992" i="1" s="1"/>
  <c r="J1994" i="1" a="1"/>
  <c r="J1994" i="1" s="1"/>
  <c r="J2003" i="1" a="1"/>
  <c r="J2003" i="1" s="1"/>
  <c r="J2004" i="1" s="1" a="1"/>
  <c r="J2004" i="1" s="1"/>
  <c r="H1994" i="1" a="1"/>
  <c r="H1994" i="1" s="1"/>
  <c r="G2001" i="1" a="1"/>
  <c r="G2001" i="1" s="1"/>
  <c r="L1992" i="1" a="1"/>
  <c r="L1992" i="1" s="1"/>
  <c r="J2000" i="1" a="1"/>
  <c r="J2000" i="1" s="1"/>
  <c r="K2006" i="1" a="1"/>
  <c r="K2006" i="1" s="1"/>
  <c r="K2007" i="1" s="1" a="1"/>
  <c r="K2007" i="1" s="1"/>
  <c r="G2000" i="1" a="1"/>
  <c r="G2000" i="1" s="1"/>
  <c r="G1993" i="1" a="1"/>
  <c r="G1993" i="1" s="1"/>
  <c r="L1997" i="1" a="1"/>
  <c r="L1997" i="1" s="1"/>
  <c r="J1997" i="1" a="1"/>
  <c r="J1997" i="1" s="1"/>
  <c r="K2000" i="1" a="1"/>
  <c r="K2000" i="1" s="1"/>
  <c r="I2001" i="1" a="1"/>
  <c r="I2001" i="1" s="1"/>
  <c r="L1999" i="1" a="1"/>
  <c r="L1999" i="1" s="1"/>
  <c r="I2000" i="1" a="1"/>
  <c r="I2000" i="1" s="1"/>
  <c r="H1993" i="1" a="1"/>
  <c r="H1993" i="1" s="1"/>
  <c r="F1994" i="1" a="1"/>
  <c r="F1994" i="1" s="1"/>
  <c r="H2000" i="1" a="1"/>
  <c r="H2000" i="1" s="1"/>
  <c r="J1999" i="1" a="1"/>
  <c r="J1999" i="1" s="1"/>
  <c r="F1996" i="1" a="1"/>
  <c r="F1996" i="1" s="1"/>
  <c r="K1998" i="1" a="1"/>
  <c r="K1998" i="1" s="1"/>
  <c r="L1994" i="1" a="1"/>
  <c r="L1994" i="1" s="1"/>
  <c r="I1996" i="1" a="1"/>
  <c r="I1996" i="1" s="1"/>
  <c r="K1999" i="1" a="1"/>
  <c r="K1999" i="1" s="1"/>
  <c r="I1997" i="1" a="1"/>
  <c r="I1997" i="1" s="1"/>
  <c r="I1993" i="1" a="1"/>
  <c r="I1993" i="1" s="1"/>
  <c r="K1996" i="1" a="1"/>
  <c r="K1996" i="1" s="1"/>
  <c r="K1993" i="1" a="1"/>
  <c r="K1993" i="1" s="1"/>
  <c r="H1998" i="1" a="1"/>
  <c r="H1998" i="1" s="1"/>
  <c r="F1995" i="1" a="1"/>
  <c r="F1995" i="1" s="1"/>
  <c r="H1996" i="1" a="1"/>
  <c r="H1996" i="1" s="1"/>
  <c r="I1998" i="1" a="1"/>
  <c r="I1998" i="1" s="1"/>
  <c r="J1996" i="1" a="1"/>
  <c r="J1996" i="1" s="1"/>
  <c r="G1995" i="1" a="1"/>
  <c r="G1995" i="1" s="1"/>
  <c r="L1996" i="1" a="1"/>
  <c r="L1996" i="1" s="1"/>
  <c r="H1997" i="1" a="1"/>
  <c r="H1997" i="1" s="1"/>
  <c r="I1999" i="1" a="1"/>
  <c r="I1999" i="1" s="1"/>
  <c r="I1995" i="1" a="1"/>
  <c r="I1995" i="1" s="1"/>
  <c r="G1994" i="1" a="1"/>
  <c r="G1994" i="1" s="1"/>
  <c r="F1997" i="1" a="1"/>
  <c r="F1997" i="1" s="1"/>
  <c r="J1993" i="1" a="1"/>
  <c r="J1993" i="1" s="1"/>
  <c r="H1999" i="1" a="1"/>
  <c r="H1999" i="1" s="1"/>
  <c r="F1998" i="1" a="1"/>
  <c r="F1998" i="1" s="1"/>
  <c r="L1993" i="1" a="1"/>
  <c r="L1993" i="1" s="1"/>
  <c r="J1998" i="1" a="1"/>
  <c r="J1998" i="1" s="1"/>
  <c r="K1997" i="1" a="1"/>
  <c r="K1997" i="1" s="1"/>
  <c r="G1997" i="1" a="1"/>
  <c r="G1997" i="1" s="1"/>
  <c r="I1991" i="1" a="1"/>
  <c r="I1991" i="1" s="1"/>
  <c r="L1991" i="1" a="1"/>
  <c r="L1991" i="1" s="1"/>
  <c r="K1995" i="1" a="1"/>
  <c r="K1995" i="1" s="1"/>
  <c r="G1996" i="1" a="1"/>
  <c r="G1996" i="1" s="1"/>
  <c r="L1998" i="1" a="1"/>
  <c r="L1998" i="1" s="1"/>
  <c r="L1989" i="1" a="1"/>
  <c r="L1989" i="1" s="1"/>
  <c r="J1995" i="1" a="1"/>
  <c r="J1995" i="1" s="1"/>
  <c r="G1992" i="1" a="1"/>
  <c r="G1992" i="1" s="1"/>
  <c r="F2001" i="1" a="1"/>
  <c r="F2001" i="1" s="1"/>
  <c r="F1993" i="1" a="1"/>
  <c r="F1993" i="1" s="1"/>
  <c r="H1995" i="1" a="1"/>
  <c r="H1995" i="1" s="1"/>
  <c r="I1994" i="1" a="1"/>
  <c r="I1994" i="1" s="1"/>
  <c r="K2001" i="1" a="1"/>
  <c r="K2001" i="1" s="1"/>
  <c r="L1990" i="1" a="1"/>
  <c r="L1990" i="1" s="1"/>
  <c r="I1989" i="1" a="1"/>
  <c r="I1989" i="1" s="1"/>
  <c r="F1992" i="1" a="1"/>
  <c r="F1992" i="1" s="1"/>
  <c r="J1990" i="1" a="1"/>
  <c r="J1990" i="1" s="1"/>
  <c r="I1990" i="1" a="1"/>
  <c r="I1990" i="1" s="1"/>
  <c r="J2001" i="1" a="1"/>
  <c r="J2001" i="1" s="1"/>
  <c r="H1984" i="1" a="1"/>
  <c r="H1984" i="1" s="1"/>
  <c r="J1984" i="1" a="1"/>
  <c r="J1984" i="1" s="1"/>
  <c r="J1991" i="1" a="1"/>
  <c r="J1991" i="1" s="1"/>
  <c r="J1989" i="1" a="1"/>
  <c r="J1989" i="1" s="1"/>
  <c r="F1990" i="1" a="1"/>
  <c r="F1990" i="1" s="1"/>
  <c r="K1990" i="1" a="1"/>
  <c r="K1990" i="1" s="1"/>
  <c r="H1989" i="1" a="1"/>
  <c r="H1989" i="1" s="1"/>
  <c r="F1991" i="1" a="1"/>
  <c r="F1991" i="1" s="1"/>
  <c r="F1989" i="1" a="1"/>
  <c r="F1989" i="1" s="1"/>
  <c r="J1988" i="1" a="1"/>
  <c r="J1988" i="1" s="1"/>
  <c r="I1988" i="1" a="1"/>
  <c r="I1988" i="1" s="1"/>
  <c r="J1983" i="1" a="1"/>
  <c r="J1983" i="1" s="1"/>
  <c r="F1988" i="1" a="1"/>
  <c r="F1988" i="1" s="1"/>
  <c r="F1984" i="1" a="1"/>
  <c r="F1984" i="1" s="1"/>
  <c r="K1991" i="1" a="1"/>
  <c r="K1991" i="1" s="1"/>
  <c r="L1983" i="1" a="1"/>
  <c r="L1983" i="1" s="1"/>
  <c r="K1984" i="1" a="1"/>
  <c r="K1984" i="1" s="1"/>
  <c r="G1989" i="1" a="1"/>
  <c r="G1989" i="1" s="1"/>
  <c r="H1988" i="1" a="1"/>
  <c r="H1988" i="1" s="1"/>
  <c r="L1988" i="1" a="1"/>
  <c r="L1988" i="1" s="1"/>
  <c r="I1984" i="1" a="1"/>
  <c r="I1984" i="1" s="1"/>
  <c r="L1984" i="1" a="1"/>
  <c r="L1984" i="1" s="1"/>
  <c r="K1983" i="1" a="1"/>
  <c r="K1983" i="1" s="1"/>
  <c r="K1988" i="1" a="1"/>
  <c r="K1988" i="1" s="1"/>
  <c r="G1988" i="1" a="1"/>
  <c r="G1988" i="1" s="1"/>
  <c r="K1145" i="1" a="1"/>
  <c r="K1145" i="1" s="1"/>
  <c r="L1144" i="1" a="1"/>
  <c r="L1144" i="1" s="1"/>
  <c r="J1147" i="1" a="1"/>
  <c r="J1147" i="1" s="1"/>
  <c r="H1502" i="1" a="1"/>
  <c r="H1502" i="1" s="1"/>
  <c r="I1154" i="1" a="1"/>
  <c r="I1154" i="1" s="1"/>
  <c r="J1506" i="1" a="1"/>
  <c r="J1506" i="1" s="1"/>
  <c r="F1145" i="1" a="1"/>
  <c r="F1145" i="1" s="1"/>
  <c r="J1145" i="1" a="1"/>
  <c r="J1145" i="1" s="1"/>
  <c r="K1148" i="1" a="1"/>
  <c r="K1148" i="1" s="1"/>
  <c r="I1145" i="1" a="1"/>
  <c r="I1145" i="1" s="1"/>
  <c r="K1147" i="1" a="1"/>
  <c r="K1147" i="1" s="1"/>
  <c r="L1145" i="1" a="1"/>
  <c r="L1145" i="1" s="1"/>
  <c r="K1150" i="1" a="1"/>
  <c r="K1150" i="1" s="1"/>
  <c r="F1146" i="1" a="1"/>
  <c r="F1146" i="1" s="1"/>
  <c r="F1153" i="1" a="1"/>
  <c r="F1153" i="1" s="1"/>
  <c r="F1150" i="1" a="1"/>
  <c r="F1150" i="1" s="1"/>
  <c r="I1156" i="1" a="1"/>
  <c r="I1156" i="1" s="1"/>
  <c r="L1154" i="1" a="1"/>
  <c r="L1154" i="1" s="1"/>
  <c r="I1146" i="1" a="1"/>
  <c r="I1146" i="1" s="1"/>
  <c r="G1147" i="1" a="1"/>
  <c r="G1147" i="1" s="1"/>
  <c r="I1148" i="1" a="1"/>
  <c r="I1148" i="1" s="1"/>
  <c r="L1147" i="1" a="1"/>
  <c r="L1147" i="1" s="1"/>
  <c r="K1146" i="1" a="1"/>
  <c r="K1146" i="1" s="1"/>
  <c r="L1146" i="1" a="1"/>
  <c r="L1146" i="1" s="1"/>
  <c r="F1148" i="1" a="1"/>
  <c r="F1148" i="1" s="1"/>
  <c r="J1148" i="1" a="1"/>
  <c r="J1148" i="1" s="1"/>
  <c r="H1148" i="1" a="1"/>
  <c r="H1148" i="1" s="1"/>
  <c r="F1147" i="1" a="1"/>
  <c r="F1147" i="1" s="1"/>
  <c r="H1145" i="1" a="1"/>
  <c r="H1145" i="1" s="1"/>
  <c r="G1148" i="1" a="1"/>
  <c r="G1148" i="1" s="1"/>
  <c r="H1153" i="1" a="1"/>
  <c r="H1153" i="1" s="1"/>
  <c r="L1139" i="1" a="1"/>
  <c r="L1139" i="1" s="1"/>
  <c r="G1141" i="1" a="1"/>
  <c r="G1141" i="1" s="1"/>
  <c r="F1141" i="1" a="1"/>
  <c r="F1141" i="1" s="1"/>
  <c r="K1139" i="1" a="1"/>
  <c r="K1139" i="1" s="1"/>
  <c r="J1139" i="1" a="1"/>
  <c r="J1139" i="1" s="1"/>
  <c r="I1140" i="1" a="1"/>
  <c r="I1140" i="1" s="1"/>
  <c r="H1139" i="1" a="1"/>
  <c r="H1139" i="1" s="1"/>
  <c r="F1143" i="1" a="1"/>
  <c r="F1143" i="1" s="1"/>
  <c r="L1140" i="1" a="1"/>
  <c r="L1140" i="1" s="1"/>
  <c r="H1143" i="1" a="1"/>
  <c r="H1143" i="1" s="1"/>
  <c r="L1143" i="1" a="1"/>
  <c r="L1143" i="1" s="1"/>
  <c r="H1138" i="1" a="1"/>
  <c r="H1138" i="1" s="1"/>
  <c r="I1138" i="1" a="1"/>
  <c r="I1138" i="1" s="1"/>
  <c r="I1147" i="1" a="1"/>
  <c r="I1147" i="1" s="1"/>
  <c r="F1139" i="1" a="1"/>
  <c r="F1139" i="1" s="1"/>
  <c r="G1146" i="1" a="1"/>
  <c r="G1146" i="1" s="1"/>
  <c r="J1144" i="1" a="1"/>
  <c r="J1144" i="1" s="1"/>
  <c r="H1146" i="1" a="1"/>
  <c r="H1146" i="1" s="1"/>
  <c r="G1138" i="1" a="1"/>
  <c r="G1138" i="1" s="1"/>
  <c r="G1142" i="1" a="1"/>
  <c r="G1142" i="1" s="1"/>
  <c r="I1141" i="1" a="1"/>
  <c r="I1141" i="1" s="1"/>
  <c r="I1142" i="1" a="1"/>
  <c r="I1142" i="1" s="1"/>
  <c r="K1140" i="1" a="1"/>
  <c r="K1140" i="1" s="1"/>
  <c r="L1138" i="1" a="1"/>
  <c r="L1138" i="1" s="1"/>
  <c r="J1143" i="1" a="1"/>
  <c r="J1143" i="1" s="1"/>
  <c r="H1141" i="1" a="1"/>
  <c r="H1141" i="1" s="1"/>
  <c r="H1147" i="1" a="1"/>
  <c r="H1147" i="1" s="1"/>
  <c r="G1140" i="1" a="1"/>
  <c r="G1140" i="1" s="1"/>
  <c r="G1143" i="1" a="1"/>
  <c r="G1143" i="1" s="1"/>
  <c r="J1146" i="1" a="1"/>
  <c r="J1146" i="1" s="1"/>
  <c r="K1141" i="1" a="1"/>
  <c r="K1141" i="1" s="1"/>
  <c r="G1145" i="1" a="1"/>
  <c r="G1145" i="1" s="1"/>
  <c r="G1217" i="1" a="1"/>
  <c r="G1217" i="1" s="1"/>
  <c r="H1215" i="1" a="1"/>
  <c r="H1215" i="1" s="1"/>
  <c r="L1216" i="1" a="1"/>
  <c r="L1216" i="1" s="1"/>
  <c r="I1144" i="1" a="1"/>
  <c r="I1144" i="1" s="1"/>
  <c r="I1139" i="1" a="1"/>
  <c r="I1139" i="1" s="1"/>
  <c r="I1143" i="1" a="1"/>
  <c r="I1143" i="1" s="1"/>
  <c r="J1142" i="1" a="1"/>
  <c r="J1142" i="1" s="1"/>
  <c r="L1141" i="1" a="1"/>
  <c r="L1141" i="1" s="1"/>
  <c r="H1142" i="1" a="1"/>
  <c r="H1142" i="1" s="1"/>
  <c r="G1139" i="1" a="1"/>
  <c r="G1139" i="1" s="1"/>
  <c r="F1142" i="1" a="1"/>
  <c r="F1142" i="1" s="1"/>
  <c r="F1138" i="1" a="1"/>
  <c r="F1138" i="1" s="1"/>
  <c r="G1215" i="1" a="1"/>
  <c r="G1215" i="1" s="1"/>
  <c r="J1138" i="1" a="1"/>
  <c r="J1138" i="1" s="1"/>
  <c r="L1215" i="1" a="1"/>
  <c r="L1215" i="1" s="1"/>
  <c r="K1138" i="1" a="1"/>
  <c r="K1138" i="1" s="1"/>
  <c r="K1144" i="1" a="1"/>
  <c r="K1144" i="1" s="1"/>
  <c r="F1217" i="1" a="1"/>
  <c r="F1217" i="1" s="1"/>
  <c r="J1141" i="1" a="1"/>
  <c r="J1141" i="1" s="1"/>
  <c r="F1144" i="1" a="1"/>
  <c r="F1144" i="1" s="1"/>
  <c r="K1143" i="1" a="1"/>
  <c r="K1143" i="1" s="1"/>
  <c r="K1142" i="1" a="1"/>
  <c r="K1142" i="1" s="1"/>
  <c r="J1214" i="1" a="1"/>
  <c r="J1214" i="1" s="1"/>
  <c r="H1144" i="1" a="1"/>
  <c r="H1144" i="1" s="1"/>
  <c r="F1140" i="1" a="1"/>
  <c r="F1140" i="1" s="1"/>
  <c r="J1140" i="1" a="1"/>
  <c r="J1140" i="1" s="1"/>
  <c r="H1140" i="1" a="1"/>
  <c r="H1140" i="1" s="1"/>
  <c r="H1214" i="1" a="1"/>
  <c r="H1214" i="1" s="1"/>
  <c r="G1214" i="1" a="1"/>
  <c r="G1214" i="1" s="1"/>
  <c r="G1144" i="1" a="1"/>
  <c r="G1144" i="1" s="1"/>
  <c r="I1214" i="1" a="1"/>
  <c r="I1214" i="1" s="1"/>
  <c r="L1142" i="1" a="1"/>
  <c r="L1142" i="1" s="1"/>
  <c r="K1214" i="1" a="1"/>
  <c r="K1214" i="1" s="1"/>
  <c r="I1212" i="1" a="1"/>
  <c r="I1212" i="1" s="1"/>
  <c r="I1210" i="1" a="1"/>
  <c r="I1210" i="1" s="1"/>
  <c r="J1216" i="1" a="1"/>
  <c r="J1216" i="1" s="1"/>
  <c r="K1212" i="1" a="1"/>
  <c r="K1212" i="1" s="1"/>
  <c r="L1212" i="1" a="1"/>
  <c r="L1212" i="1" s="1"/>
  <c r="F1214" i="1" a="1"/>
  <c r="F1214" i="1" s="1"/>
  <c r="H1216" i="1" a="1"/>
  <c r="H1216" i="1" s="1"/>
  <c r="I1216" i="1" a="1"/>
  <c r="I1216" i="1" s="1"/>
  <c r="K1216" i="1" a="1"/>
  <c r="K1216" i="1" s="1"/>
  <c r="L1214" i="1" a="1"/>
  <c r="L1214" i="1" s="1"/>
  <c r="L1210" i="1" a="1"/>
  <c r="L1210" i="1" s="1"/>
  <c r="L1211" i="1" a="1"/>
  <c r="L1211" i="1" s="1"/>
  <c r="I1211" i="1" a="1"/>
  <c r="I1211" i="1" s="1"/>
  <c r="J1210" i="1" a="1"/>
  <c r="J1210" i="1" s="1"/>
  <c r="J1215" i="1" a="1"/>
  <c r="J1215" i="1" s="1"/>
  <c r="K1210" i="1" a="1"/>
  <c r="K1210" i="1" s="1"/>
  <c r="J1211" i="1" a="1"/>
  <c r="J1211" i="1" s="1"/>
  <c r="G1216" i="1" a="1"/>
  <c r="G1216" i="1" s="1"/>
  <c r="F1216" i="1" a="1"/>
  <c r="F1216" i="1" s="1"/>
  <c r="F1215" i="1" a="1"/>
  <c r="F1215" i="1" s="1"/>
  <c r="J1212" i="1" a="1"/>
  <c r="J1212" i="1" s="1"/>
  <c r="F1211" i="1" a="1"/>
  <c r="F1211" i="1" s="1"/>
  <c r="K1211" i="1" a="1"/>
  <c r="K1211" i="1" s="1"/>
  <c r="G1212" i="1" a="1"/>
  <c r="G1212" i="1" s="1"/>
  <c r="G1210" i="1" a="1"/>
  <c r="G1210" i="1" s="1"/>
  <c r="K1215" i="1" a="1"/>
  <c r="K1215" i="1" s="1"/>
  <c r="I1215" i="1" a="1"/>
  <c r="I1215" i="1" s="1"/>
  <c r="H1211" i="1" a="1"/>
  <c r="H1211" i="1" s="1"/>
  <c r="G1211" i="1" a="1"/>
  <c r="G1211" i="1" s="1"/>
  <c r="F1212" i="1" a="1"/>
  <c r="F1212" i="1" s="1"/>
  <c r="H1212" i="1" a="1"/>
  <c r="H1212" i="1" s="1"/>
  <c r="H1208" i="1" a="1"/>
  <c r="H1208" i="1" s="1"/>
  <c r="L1202" i="1" a="1"/>
  <c r="L1202" i="1" s="1"/>
  <c r="F1209" i="1" a="1"/>
  <c r="F1209" i="1" s="1"/>
  <c r="H1210" i="1" a="1"/>
  <c r="H1210" i="1" s="1"/>
  <c r="L1208" i="1" a="1"/>
  <c r="L1208" i="1" s="1"/>
  <c r="H1209" i="1" a="1"/>
  <c r="H1209" i="1" s="1"/>
  <c r="J1208" i="1" a="1"/>
  <c r="J1208" i="1" s="1"/>
  <c r="K1208" i="1" a="1"/>
  <c r="K1208" i="1" s="1"/>
  <c r="F1210" i="1" a="1"/>
  <c r="F1210" i="1" s="1"/>
  <c r="L1209" i="1" a="1"/>
  <c r="L1209" i="1" s="1"/>
  <c r="I1208" i="1" a="1"/>
  <c r="I1208" i="1" s="1"/>
  <c r="J1209" i="1" a="1"/>
  <c r="J1209" i="1" s="1"/>
  <c r="K1209" i="1" a="1"/>
  <c r="K1209" i="1" s="1"/>
  <c r="L1200" i="1" a="1"/>
  <c r="L1200" i="1" s="1"/>
  <c r="H1197" i="1" a="1"/>
  <c r="H1197" i="1" s="1"/>
  <c r="G1197" i="1" a="1"/>
  <c r="G1197" i="1" s="1"/>
  <c r="J1201" i="1" a="1"/>
  <c r="J1201" i="1" s="1"/>
  <c r="I1209" i="1" a="1"/>
  <c r="I1209" i="1" s="1"/>
  <c r="H1196" i="1" a="1"/>
  <c r="H1196" i="1" s="1"/>
  <c r="H1198" i="1" a="1"/>
  <c r="H1198" i="1" s="1"/>
  <c r="G1208" i="1" a="1"/>
  <c r="G1208" i="1" s="1"/>
  <c r="G1209" i="1" a="1"/>
  <c r="G1209" i="1" s="1"/>
  <c r="F1208" i="1" a="1"/>
  <c r="F1208" i="1" s="1"/>
  <c r="I1200" i="1" a="1"/>
  <c r="I1200" i="1" s="1"/>
  <c r="K1200" i="1" a="1"/>
  <c r="K1200" i="1" s="1"/>
  <c r="L1196" i="1" a="1"/>
  <c r="L1196" i="1" s="1"/>
  <c r="L1195" i="1" a="1"/>
  <c r="L1195" i="1" s="1"/>
  <c r="I1197" i="1" a="1"/>
  <c r="I1197" i="1" s="1"/>
  <c r="G1198" i="1" a="1"/>
  <c r="G1198" i="1" s="1"/>
  <c r="F1201" i="1" a="1"/>
  <c r="F1201" i="1" s="1"/>
  <c r="K1199" i="1" a="1"/>
  <c r="K1199" i="1" s="1"/>
  <c r="K1196" i="1" a="1"/>
  <c r="K1196" i="1" s="1"/>
  <c r="J1198" i="1" a="1"/>
  <c r="J1198" i="1" s="1"/>
  <c r="F1199" i="1" a="1"/>
  <c r="F1199" i="1" s="1"/>
  <c r="I1201" i="1" a="1"/>
  <c r="I1201" i="1" s="1"/>
  <c r="L1198" i="1" a="1"/>
  <c r="L1198" i="1" s="1"/>
  <c r="G1199" i="1" a="1"/>
  <c r="G1199" i="1" s="1"/>
  <c r="K1198" i="1" a="1"/>
  <c r="K1198" i="1" s="1"/>
  <c r="K1197" i="1" a="1"/>
  <c r="K1197" i="1" s="1"/>
  <c r="L1197" i="1" a="1"/>
  <c r="L1197" i="1" s="1"/>
  <c r="F1202" i="1" a="1"/>
  <c r="F1202" i="1" s="1"/>
  <c r="I1198" i="1" a="1"/>
  <c r="I1198" i="1" s="1"/>
  <c r="F1196" i="1" a="1"/>
  <c r="F1196" i="1" s="1"/>
  <c r="H1200" i="1" a="1"/>
  <c r="H1200" i="1" s="1"/>
  <c r="J1197" i="1" a="1"/>
  <c r="J1197" i="1" s="1"/>
  <c r="F1198" i="1" a="1"/>
  <c r="F1198" i="1" s="1"/>
  <c r="J1199" i="1" a="1"/>
  <c r="J1199" i="1" s="1"/>
  <c r="I1199" i="1" a="1"/>
  <c r="I1199" i="1" s="1"/>
  <c r="I1202" i="1" a="1"/>
  <c r="I1202" i="1" s="1"/>
  <c r="F1200" i="1" a="1"/>
  <c r="F1200" i="1" s="1"/>
  <c r="K1202" i="1" a="1"/>
  <c r="K1202" i="1" s="1"/>
  <c r="J1202" i="1" a="1"/>
  <c r="J1202" i="1" s="1"/>
  <c r="K1201" i="1" a="1"/>
  <c r="K1201" i="1" s="1"/>
  <c r="G1201" i="1" a="1"/>
  <c r="G1201" i="1" s="1"/>
  <c r="G1200" i="1" a="1"/>
  <c r="G1200" i="1" s="1"/>
  <c r="L1199" i="1" a="1"/>
  <c r="L1199" i="1" s="1"/>
  <c r="J1200" i="1" a="1"/>
  <c r="J1200" i="1" s="1"/>
  <c r="F1197" i="1" a="1"/>
  <c r="F1197" i="1" s="1"/>
  <c r="G1202" i="1" a="1"/>
  <c r="G1202" i="1" s="1"/>
  <c r="H1201" i="1" a="1"/>
  <c r="H1201" i="1" s="1"/>
  <c r="H1202" i="1" a="1"/>
  <c r="H1202" i="1" s="1"/>
  <c r="J1196" i="1" a="1"/>
  <c r="J1196" i="1" s="1"/>
  <c r="G1196" i="1" a="1"/>
  <c r="G1196" i="1" s="1"/>
  <c r="I1196" i="1" a="1"/>
  <c r="I1196" i="1" s="1"/>
  <c r="J1195" i="1" a="1"/>
  <c r="J1195" i="1" s="1"/>
  <c r="I1188" i="1" a="1"/>
  <c r="I1188" i="1" s="1"/>
  <c r="I1190" i="1" a="1"/>
  <c r="I1190" i="1" s="1"/>
  <c r="H1193" i="1" a="1"/>
  <c r="H1193" i="1" s="1"/>
  <c r="L1191" i="1" a="1"/>
  <c r="L1191" i="1" s="1"/>
  <c r="F1194" i="1" a="1"/>
  <c r="F1194" i="1" s="1"/>
  <c r="H1188" i="1" a="1"/>
  <c r="H1188" i="1" s="1"/>
  <c r="K1190" i="1" a="1"/>
  <c r="K1190" i="1" s="1"/>
  <c r="K1193" i="1" a="1"/>
  <c r="K1193" i="1" s="1"/>
  <c r="K1191" i="1" a="1"/>
  <c r="K1191" i="1" s="1"/>
  <c r="F1191" i="1" a="1"/>
  <c r="F1191" i="1" s="1"/>
  <c r="F1192" i="1" a="1"/>
  <c r="F1192" i="1" s="1"/>
  <c r="L1188" i="1" a="1"/>
  <c r="L1188" i="1" s="1"/>
  <c r="L1190" i="1" a="1"/>
  <c r="L1190" i="1" s="1"/>
  <c r="I1194" i="1" a="1"/>
  <c r="I1194" i="1" s="1"/>
  <c r="G1189" i="1" a="1"/>
  <c r="G1189" i="1" s="1"/>
  <c r="H1195" i="1" a="1"/>
  <c r="H1195" i="1" s="1"/>
  <c r="K1195" i="1" a="1"/>
  <c r="K1195" i="1" s="1"/>
  <c r="F1193" i="1" a="1"/>
  <c r="F1193" i="1" s="1"/>
  <c r="H1189" i="1" a="1"/>
  <c r="H1189" i="1" s="1"/>
  <c r="G1194" i="1" a="1"/>
  <c r="G1194" i="1" s="1"/>
  <c r="J1190" i="1" a="1"/>
  <c r="J1190" i="1" s="1"/>
  <c r="I1195" i="1" a="1"/>
  <c r="I1195" i="1" s="1"/>
  <c r="H1199" i="1" a="1"/>
  <c r="H1199" i="1" s="1"/>
  <c r="L1201" i="1" a="1"/>
  <c r="L1201" i="1" s="1"/>
  <c r="L1192" i="1" a="1"/>
  <c r="L1192" i="1" s="1"/>
  <c r="I1193" i="1" a="1"/>
  <c r="I1193" i="1" s="1"/>
  <c r="K1189" i="1" a="1"/>
  <c r="K1189" i="1" s="1"/>
  <c r="F1188" i="1" a="1"/>
  <c r="F1188" i="1" s="1"/>
  <c r="K1194" i="1" a="1"/>
  <c r="K1194" i="1" s="1"/>
  <c r="F1190" i="1" a="1"/>
  <c r="F1190" i="1" s="1"/>
  <c r="H1190" i="1" a="1"/>
  <c r="H1190" i="1" s="1"/>
  <c r="G1190" i="1" a="1"/>
  <c r="G1190" i="1" s="1"/>
  <c r="K1185" i="1" a="1"/>
  <c r="K1185" i="1" s="1"/>
  <c r="L1193" i="1" a="1"/>
  <c r="L1193" i="1" s="1"/>
  <c r="F1179" i="1" a="1"/>
  <c r="F1179" i="1" s="1"/>
  <c r="J1193" i="1" a="1"/>
  <c r="J1193" i="1" s="1"/>
  <c r="J1188" i="1" a="1"/>
  <c r="J1188" i="1" s="1"/>
  <c r="G1191" i="1" a="1"/>
  <c r="G1191" i="1" s="1"/>
  <c r="I1187" i="1" a="1"/>
  <c r="I1187" i="1" s="1"/>
  <c r="J1194" i="1" a="1"/>
  <c r="J1194" i="1" s="1"/>
  <c r="L1185" i="1" a="1"/>
  <c r="L1185" i="1" s="1"/>
  <c r="L1177" i="1" a="1"/>
  <c r="L1177" i="1" s="1"/>
  <c r="G1188" i="1" a="1"/>
  <c r="G1188" i="1" s="1"/>
  <c r="H1194" i="1" a="1"/>
  <c r="H1194" i="1" s="1"/>
  <c r="L1194" i="1" a="1"/>
  <c r="L1194" i="1" s="1"/>
  <c r="F1195" i="1" a="1"/>
  <c r="F1195" i="1" s="1"/>
  <c r="F1189" i="1" a="1"/>
  <c r="F1189" i="1" s="1"/>
  <c r="H1191" i="1" a="1"/>
  <c r="H1191" i="1" s="1"/>
  <c r="H1187" i="1" a="1"/>
  <c r="H1187" i="1" s="1"/>
  <c r="J1191" i="1" a="1"/>
  <c r="J1191" i="1" s="1"/>
  <c r="H1192" i="1" a="1"/>
  <c r="H1192" i="1" s="1"/>
  <c r="L1187" i="1" a="1"/>
  <c r="L1187" i="1" s="1"/>
  <c r="K1188" i="1" a="1"/>
  <c r="K1188" i="1" s="1"/>
  <c r="G1193" i="1" a="1"/>
  <c r="G1193" i="1" s="1"/>
  <c r="L1189" i="1" a="1"/>
  <c r="L1189" i="1" s="1"/>
  <c r="J1192" i="1" a="1"/>
  <c r="J1192" i="1" s="1"/>
  <c r="I1191" i="1" a="1"/>
  <c r="I1191" i="1" s="1"/>
  <c r="K1192" i="1" a="1"/>
  <c r="K1192" i="1" s="1"/>
  <c r="J1189" i="1" a="1"/>
  <c r="J1189" i="1" s="1"/>
  <c r="G1192" i="1" a="1"/>
  <c r="G1192" i="1" s="1"/>
  <c r="I1189" i="1" a="1"/>
  <c r="I1189" i="1" s="1"/>
  <c r="I1192" i="1" a="1"/>
  <c r="I1192" i="1" s="1"/>
  <c r="G1195" i="1" a="1"/>
  <c r="G1195" i="1" s="1"/>
  <c r="H1179" i="1" a="1"/>
  <c r="H1179" i="1" s="1"/>
  <c r="F1178" i="1" a="1"/>
  <c r="F1178" i="1" s="1"/>
  <c r="L1176" i="1" a="1"/>
  <c r="L1176" i="1" s="1"/>
  <c r="H1178" i="1" a="1"/>
  <c r="H1178" i="1" s="1"/>
  <c r="G1185" i="1" a="1"/>
  <c r="G1185" i="1" s="1"/>
  <c r="J1178" i="1" a="1"/>
  <c r="J1178" i="1" s="1"/>
  <c r="G1178" i="1" a="1"/>
  <c r="G1178" i="1" s="1"/>
  <c r="G1186" i="1" a="1"/>
  <c r="G1186" i="1" s="1"/>
  <c r="I1179" i="1" a="1"/>
  <c r="I1179" i="1" s="1"/>
  <c r="K1177" i="1" a="1"/>
  <c r="K1177" i="1" s="1"/>
  <c r="H1177" i="1" a="1"/>
  <c r="H1177" i="1" s="1"/>
  <c r="I1185" i="1" a="1"/>
  <c r="I1185" i="1" s="1"/>
  <c r="I1177" i="1" a="1"/>
  <c r="I1177" i="1" s="1"/>
  <c r="G1179" i="1" a="1"/>
  <c r="G1179" i="1" s="1"/>
  <c r="J1185" i="1" a="1"/>
  <c r="J1185" i="1" s="1"/>
  <c r="J1179" i="1" a="1"/>
  <c r="J1179" i="1" s="1"/>
  <c r="K1178" i="1" a="1"/>
  <c r="K1178" i="1" s="1"/>
  <c r="L1178" i="1" a="1"/>
  <c r="L1178" i="1" s="1"/>
  <c r="H1186" i="1" a="1"/>
  <c r="H1186" i="1" s="1"/>
  <c r="F1186" i="1" a="1"/>
  <c r="F1186" i="1" s="1"/>
  <c r="K1187" i="1" a="1"/>
  <c r="K1187" i="1" s="1"/>
  <c r="J1177" i="1" a="1"/>
  <c r="J1177" i="1" s="1"/>
  <c r="I1178" i="1" a="1"/>
  <c r="I1178" i="1" s="1"/>
  <c r="G1177" i="1" a="1"/>
  <c r="G1177" i="1" s="1"/>
  <c r="K1179" i="1" a="1"/>
  <c r="K1179" i="1" s="1"/>
  <c r="L1186" i="1" a="1"/>
  <c r="L1186" i="1" s="1"/>
  <c r="F1177" i="1" a="1"/>
  <c r="F1177" i="1" s="1"/>
  <c r="H1185" i="1" a="1"/>
  <c r="H1185" i="1" s="1"/>
  <c r="K1186" i="1" a="1"/>
  <c r="K1186" i="1" s="1"/>
  <c r="J1186" i="1" a="1"/>
  <c r="J1186" i="1" s="1"/>
  <c r="L1179" i="1" a="1"/>
  <c r="L1179" i="1" s="1"/>
  <c r="G1187" i="1" a="1"/>
  <c r="G1187" i="1" s="1"/>
  <c r="L1245" i="1" a="1"/>
  <c r="L1245" i="1" s="1"/>
  <c r="F1246" i="1" a="1"/>
  <c r="F1246" i="1" s="1"/>
  <c r="I1245" i="1" a="1"/>
  <c r="I1245" i="1" s="1"/>
  <c r="F1244" i="1" a="1"/>
  <c r="F1244" i="1" s="1"/>
  <c r="K1247" i="1" a="1"/>
  <c r="K1247" i="1" s="1"/>
  <c r="F1187" i="1" a="1"/>
  <c r="F1187" i="1" s="1"/>
  <c r="F1245" i="1" a="1"/>
  <c r="F1245" i="1" s="1"/>
  <c r="J1244" i="1" a="1"/>
  <c r="J1244" i="1" s="1"/>
  <c r="K1244" i="1" a="1"/>
  <c r="K1244" i="1" s="1"/>
  <c r="H1243" i="1" a="1"/>
  <c r="H1243" i="1" s="1"/>
  <c r="H1245" i="1" a="1"/>
  <c r="H1245" i="1" s="1"/>
  <c r="G1247" i="1" a="1"/>
  <c r="G1247" i="1" s="1"/>
  <c r="G1245" i="1" a="1"/>
  <c r="G1245" i="1" s="1"/>
  <c r="L1243" i="1" a="1"/>
  <c r="L1243" i="1" s="1"/>
  <c r="G1246" i="1" a="1"/>
  <c r="G1246" i="1" s="1"/>
  <c r="J1187" i="1" a="1"/>
  <c r="J1187" i="1" s="1"/>
  <c r="F1185" i="1" a="1"/>
  <c r="F1185" i="1" s="1"/>
  <c r="J1246" i="1" a="1"/>
  <c r="J1246" i="1" s="1"/>
  <c r="I1247" i="1" a="1"/>
  <c r="I1247" i="1" s="1"/>
  <c r="I1186" i="1" a="1"/>
  <c r="I1186" i="1" s="1"/>
  <c r="K1245" i="1" a="1"/>
  <c r="K1245" i="1" s="1"/>
  <c r="K1246" i="1" a="1"/>
  <c r="K1246" i="1" s="1"/>
  <c r="J1247" i="1" a="1"/>
  <c r="J1247" i="1" s="1"/>
  <c r="J1243" i="1" a="1"/>
  <c r="J1243" i="1" s="1"/>
  <c r="I1243" i="1" a="1"/>
  <c r="I1243" i="1" s="1"/>
  <c r="I1244" i="1" a="1"/>
  <c r="I1244" i="1" s="1"/>
  <c r="I1246" i="1" a="1"/>
  <c r="I1246" i="1" s="1"/>
  <c r="H1247" i="1" a="1"/>
  <c r="H1247" i="1" s="1"/>
  <c r="L1246" i="1" a="1"/>
  <c r="L1246" i="1" s="1"/>
  <c r="G1244" i="1" a="1"/>
  <c r="G1244" i="1" s="1"/>
  <c r="H1244" i="1" a="1"/>
  <c r="H1244" i="1" s="1"/>
  <c r="J1245" i="1" a="1"/>
  <c r="J1245" i="1" s="1"/>
  <c r="L1236" i="1" a="1"/>
  <c r="L1236" i="1" s="1"/>
  <c r="L1237" i="1" a="1"/>
  <c r="L1237" i="1" s="1"/>
  <c r="K1243" i="1" a="1"/>
  <c r="K1243" i="1" s="1"/>
  <c r="L1244" i="1" a="1"/>
  <c r="L1244" i="1" s="1"/>
  <c r="K1239" i="1" a="1"/>
  <c r="K1239" i="1" s="1"/>
  <c r="H1235" i="1" a="1"/>
  <c r="H1235" i="1" s="1"/>
  <c r="J1238" i="1" a="1"/>
  <c r="J1238" i="1" s="1"/>
  <c r="I1238" i="1" a="1"/>
  <c r="I1238" i="1" s="1"/>
  <c r="K1240" i="1" a="1"/>
  <c r="K1240" i="1" s="1"/>
  <c r="J1239" i="1" a="1"/>
  <c r="J1239" i="1" s="1"/>
  <c r="K1238" i="1" a="1"/>
  <c r="K1238" i="1" s="1"/>
  <c r="F1247" i="1" a="1"/>
  <c r="F1247" i="1" s="1"/>
  <c r="J1234" i="1" a="1"/>
  <c r="J1234" i="1" s="1"/>
  <c r="L1239" i="1" a="1"/>
  <c r="L1239" i="1" s="1"/>
  <c r="I1236" i="1" a="1"/>
  <c r="I1236" i="1" s="1"/>
  <c r="G1234" i="1" a="1"/>
  <c r="G1234" i="1" s="1"/>
  <c r="G1239" i="1" a="1"/>
  <c r="G1239" i="1" s="1"/>
  <c r="I1234" i="1" a="1"/>
  <c r="I1234" i="1" s="1"/>
  <c r="I1235" i="1" a="1"/>
  <c r="I1235" i="1" s="1"/>
  <c r="J1237" i="1" a="1"/>
  <c r="J1237" i="1" s="1"/>
  <c r="F1237" i="1" a="1"/>
  <c r="F1237" i="1" s="1"/>
  <c r="G1236" i="1" a="1"/>
  <c r="G1236" i="1" s="1"/>
  <c r="H1238" i="1" a="1"/>
  <c r="H1238" i="1" s="1"/>
  <c r="J1236" i="1" a="1"/>
  <c r="J1236" i="1" s="1"/>
  <c r="K1235" i="1" a="1"/>
  <c r="K1235" i="1" s="1"/>
  <c r="H1246" i="1" a="1"/>
  <c r="H1246" i="1" s="1"/>
  <c r="I1237" i="1" a="1"/>
  <c r="I1237" i="1" s="1"/>
  <c r="F1236" i="1" a="1"/>
  <c r="F1236" i="1" s="1"/>
  <c r="K1234" i="1" a="1"/>
  <c r="K1234" i="1" s="1"/>
  <c r="G1238" i="1" a="1"/>
  <c r="G1238" i="1" s="1"/>
  <c r="F1235" i="1" a="1"/>
  <c r="F1235" i="1" s="1"/>
  <c r="F1240" i="1" a="1"/>
  <c r="F1240" i="1" s="1"/>
  <c r="F1238" i="1" a="1"/>
  <c r="F1238" i="1" s="1"/>
  <c r="L1234" i="1" a="1"/>
  <c r="L1234" i="1" s="1"/>
  <c r="J1241" i="1" a="1"/>
  <c r="J1241" i="1" s="1"/>
  <c r="L1241" i="1" a="1"/>
  <c r="L1241" i="1" s="1"/>
  <c r="J1240" i="1" a="1"/>
  <c r="J1240" i="1" s="1"/>
  <c r="I1242" i="1" a="1"/>
  <c r="I1242" i="1" s="1"/>
  <c r="G1235" i="1" a="1"/>
  <c r="G1235" i="1" s="1"/>
  <c r="F1242" i="1" a="1"/>
  <c r="F1242" i="1" s="1"/>
  <c r="K1236" i="1" a="1"/>
  <c r="K1236" i="1" s="1"/>
  <c r="G1243" i="1" a="1"/>
  <c r="G1243" i="1" s="1"/>
  <c r="K1242" i="1" a="1"/>
  <c r="K1242" i="1" s="1"/>
  <c r="H1239" i="1" a="1"/>
  <c r="H1239" i="1" s="1"/>
  <c r="I1239" i="1" a="1"/>
  <c r="I1239" i="1" s="1"/>
  <c r="G1241" i="1" a="1"/>
  <c r="G1241" i="1" s="1"/>
  <c r="J1235" i="1" a="1"/>
  <c r="J1235" i="1" s="1"/>
  <c r="H1237" i="1" a="1"/>
  <c r="H1237" i="1" s="1"/>
  <c r="L1235" i="1" a="1"/>
  <c r="L1235" i="1" s="1"/>
  <c r="J1242" i="1" a="1"/>
  <c r="J1242" i="1" s="1"/>
  <c r="L1238" i="1" a="1"/>
  <c r="L1238" i="1" s="1"/>
  <c r="F1239" i="1" a="1"/>
  <c r="F1239" i="1" s="1"/>
  <c r="K1241" i="1" a="1"/>
  <c r="K1241" i="1" s="1"/>
  <c r="K1237" i="1" a="1"/>
  <c r="K1237" i="1" s="1"/>
  <c r="F1243" i="1" a="1"/>
  <c r="F1243" i="1" s="1"/>
  <c r="L1240" i="1" a="1"/>
  <c r="L1240" i="1" s="1"/>
  <c r="I1241" i="1" a="1"/>
  <c r="I1241" i="1" s="1"/>
  <c r="H1242" i="1" a="1"/>
  <c r="H1242" i="1" s="1"/>
  <c r="G1240" i="1" a="1"/>
  <c r="G1240" i="1" s="1"/>
  <c r="L1242" i="1" a="1"/>
  <c r="L1242" i="1" s="1"/>
  <c r="H1236" i="1" a="1"/>
  <c r="H1236" i="1" s="1"/>
  <c r="H1234" i="1" a="1"/>
  <c r="H1234" i="1" s="1"/>
  <c r="G1242" i="1" a="1"/>
  <c r="G1242" i="1" s="1"/>
  <c r="K1230" i="1" a="1"/>
  <c r="K1230" i="1" s="1"/>
  <c r="J1228" i="1" a="1"/>
  <c r="J1228" i="1" s="1"/>
  <c r="H1226" i="1" a="1"/>
  <c r="H1226" i="1" s="1"/>
  <c r="H1241" i="1" a="1"/>
  <c r="H1241" i="1" s="1"/>
  <c r="G1237" i="1" a="1"/>
  <c r="G1237" i="1" s="1"/>
  <c r="L1228" i="1" a="1"/>
  <c r="L1228" i="1" s="1"/>
  <c r="L1227" i="1" a="1"/>
  <c r="L1227" i="1" s="1"/>
  <c r="I1240" i="1" a="1"/>
  <c r="I1240" i="1" s="1"/>
  <c r="H1240" i="1" a="1"/>
  <c r="H1240" i="1" s="1"/>
  <c r="G1233" i="1" a="1"/>
  <c r="G1233" i="1" s="1"/>
  <c r="H1230" i="1" a="1"/>
  <c r="H1230" i="1" s="1"/>
  <c r="K1228" i="1" a="1"/>
  <c r="K1228" i="1" s="1"/>
  <c r="I1227" i="1" a="1"/>
  <c r="I1227" i="1" s="1"/>
  <c r="F1232" i="1" a="1"/>
  <c r="F1232" i="1" s="1"/>
  <c r="L1230" i="1" a="1"/>
  <c r="L1230" i="1" s="1"/>
  <c r="F1241" i="1" a="1"/>
  <c r="F1241" i="1" s="1"/>
  <c r="H1229" i="1" a="1"/>
  <c r="H1229" i="1" s="1"/>
  <c r="J1230" i="1" a="1"/>
  <c r="J1230" i="1" s="1"/>
  <c r="F1229" i="1" a="1"/>
  <c r="F1229" i="1" s="1"/>
  <c r="F1231" i="1" a="1"/>
  <c r="F1231" i="1" s="1"/>
  <c r="I1233" i="1" a="1"/>
  <c r="I1233" i="1" s="1"/>
  <c r="I1228" i="1" a="1"/>
  <c r="I1228" i="1" s="1"/>
  <c r="H1232" i="1" a="1"/>
  <c r="H1232" i="1" s="1"/>
  <c r="J1229" i="1" a="1"/>
  <c r="J1229" i="1" s="1"/>
  <c r="G1232" i="1" a="1"/>
  <c r="G1232" i="1" s="1"/>
  <c r="J1227" i="1" a="1"/>
  <c r="J1227" i="1" s="1"/>
  <c r="L1231" i="1" a="1"/>
  <c r="L1231" i="1" s="1"/>
  <c r="L1229" i="1" a="1"/>
  <c r="L1229" i="1" s="1"/>
  <c r="F1228" i="1" a="1"/>
  <c r="F1228" i="1" s="1"/>
  <c r="F1226" i="1" a="1"/>
  <c r="F1226" i="1" s="1"/>
  <c r="H1227" i="1" a="1"/>
  <c r="H1227" i="1" s="1"/>
  <c r="K1226" i="1" a="1"/>
  <c r="K1226" i="1" s="1"/>
  <c r="I1232" i="1" a="1"/>
  <c r="I1232" i="1" s="1"/>
  <c r="L1232" i="1" a="1"/>
  <c r="L1232" i="1" s="1"/>
  <c r="K1229" i="1" a="1"/>
  <c r="K1229" i="1" s="1"/>
  <c r="H1228" i="1" a="1"/>
  <c r="H1228" i="1" s="1"/>
  <c r="K1231" i="1" a="1"/>
  <c r="K1231" i="1" s="1"/>
  <c r="I1229" i="1" a="1"/>
  <c r="I1229" i="1" s="1"/>
  <c r="L1222" i="1" a="1"/>
  <c r="L1222" i="1" s="1"/>
  <c r="K1227" i="1" a="1"/>
  <c r="K1227" i="1" s="1"/>
  <c r="L1226" i="1" a="1"/>
  <c r="L1226" i="1" s="1"/>
  <c r="F1227" i="1" a="1"/>
  <c r="F1227" i="1" s="1"/>
  <c r="J1233" i="1" a="1"/>
  <c r="J1233" i="1" s="1"/>
  <c r="F1234" i="1" a="1"/>
  <c r="F1234" i="1" s="1"/>
  <c r="J1231" i="1" a="1"/>
  <c r="J1231" i="1" s="1"/>
  <c r="G1229" i="1" a="1"/>
  <c r="G1229" i="1" s="1"/>
  <c r="H1233" i="1" a="1"/>
  <c r="H1233" i="1" s="1"/>
  <c r="K1233" i="1" a="1"/>
  <c r="K1233" i="1" s="1"/>
  <c r="L1225" i="1" a="1"/>
  <c r="L1225" i="1" s="1"/>
  <c r="H1231" i="1" a="1"/>
  <c r="H1231" i="1" s="1"/>
  <c r="K1232" i="1" a="1"/>
  <c r="K1232" i="1" s="1"/>
  <c r="I1231" i="1" a="1"/>
  <c r="I1231" i="1" s="1"/>
  <c r="I1226" i="1" a="1"/>
  <c r="I1226" i="1" s="1"/>
  <c r="G1226" i="1" a="1"/>
  <c r="G1226" i="1" s="1"/>
  <c r="F1230" i="1" a="1"/>
  <c r="F1230" i="1" s="1"/>
  <c r="G1230" i="1" a="1"/>
  <c r="G1230" i="1" s="1"/>
  <c r="G1228" i="1" a="1"/>
  <c r="G1228" i="1" s="1"/>
  <c r="J1232" i="1" a="1"/>
  <c r="J1232" i="1" s="1"/>
  <c r="I1230" i="1" a="1"/>
  <c r="I1230" i="1" s="1"/>
  <c r="J1226" i="1" a="1"/>
  <c r="J1226" i="1" s="1"/>
  <c r="F1233" i="1" a="1"/>
  <c r="F1233" i="1" s="1"/>
  <c r="G1227" i="1" a="1"/>
  <c r="G1227" i="1" s="1"/>
  <c r="G1231" i="1" a="1"/>
  <c r="G1231" i="1" s="1"/>
  <c r="L1233" i="1" a="1"/>
  <c r="L1233" i="1" s="1"/>
  <c r="J1225" i="1" a="1"/>
  <c r="J1225" i="1" s="1"/>
  <c r="K1220" i="1" a="1"/>
  <c r="K1220" i="1" s="1"/>
  <c r="I1222" i="1" a="1"/>
  <c r="I1222" i="1" s="1"/>
  <c r="K1221" i="1" a="1"/>
  <c r="K1221" i="1" s="1"/>
  <c r="I1221" i="1" a="1"/>
  <c r="I1221" i="1" s="1"/>
  <c r="H1222" i="1" a="1"/>
  <c r="H1222" i="1" s="1"/>
  <c r="J1221" i="1" a="1"/>
  <c r="J1221" i="1" s="1"/>
  <c r="G1224" i="1" a="1"/>
  <c r="G1224" i="1" s="1"/>
  <c r="L1221" i="1" a="1"/>
  <c r="L1221" i="1" s="1"/>
  <c r="L1219" i="1" a="1"/>
  <c r="L1219" i="1" s="1"/>
  <c r="F1224" i="1" a="1"/>
  <c r="F1224" i="1" s="1"/>
  <c r="G1223" i="1" a="1"/>
  <c r="G1223" i="1" s="1"/>
  <c r="J1219" i="1" a="1"/>
  <c r="J1219" i="1" s="1"/>
  <c r="G1221" i="1" a="1"/>
  <c r="G1221" i="1" s="1"/>
  <c r="G1220" i="1" a="1"/>
  <c r="G1220" i="1" s="1"/>
  <c r="L1220" i="1" a="1"/>
  <c r="L1220" i="1" s="1"/>
  <c r="J1222" i="1" a="1"/>
  <c r="J1222" i="1" s="1"/>
  <c r="I1224" i="1" a="1"/>
  <c r="I1224" i="1" s="1"/>
  <c r="F1221" i="1" a="1"/>
  <c r="F1221" i="1" s="1"/>
  <c r="H1224" i="1" a="1"/>
  <c r="H1224" i="1" s="1"/>
  <c r="G1222" i="1" a="1"/>
  <c r="G1222" i="1" s="1"/>
  <c r="K1219" i="1" a="1"/>
  <c r="K1219" i="1" s="1"/>
  <c r="H1220" i="1" a="1"/>
  <c r="H1220" i="1" s="1"/>
  <c r="I1225" i="1" a="1"/>
  <c r="I1225" i="1" s="1"/>
  <c r="F1223" i="1" a="1"/>
  <c r="F1223" i="1" s="1"/>
  <c r="H1221" i="1" a="1"/>
  <c r="H1221" i="1" s="1"/>
  <c r="H1223" i="1" a="1"/>
  <c r="H1223" i="1" s="1"/>
  <c r="K1225" i="1" a="1"/>
  <c r="K1225" i="1" s="1"/>
  <c r="F1222" i="1" a="1"/>
  <c r="F1222" i="1" s="1"/>
  <c r="J1223" i="1" a="1"/>
  <c r="J1223" i="1" s="1"/>
  <c r="I1220" i="1" a="1"/>
  <c r="I1220" i="1" s="1"/>
  <c r="L1223" i="1" a="1"/>
  <c r="L1223" i="1" s="1"/>
  <c r="J1217" i="1" a="1"/>
  <c r="J1217" i="1" s="1"/>
  <c r="G1219" i="1" a="1"/>
  <c r="G1219" i="1" s="1"/>
  <c r="J1325" i="1" a="1"/>
  <c r="J1325" i="1" s="1"/>
  <c r="K1326" i="1" a="1"/>
  <c r="K1326" i="1" s="1"/>
  <c r="L1217" i="1" a="1"/>
  <c r="L1217" i="1" s="1"/>
  <c r="G1326" i="1" a="1"/>
  <c r="G1326" i="1" s="1"/>
  <c r="H1217" i="1" a="1"/>
  <c r="H1217" i="1" s="1"/>
  <c r="H1219" i="1" a="1"/>
  <c r="H1219" i="1" s="1"/>
  <c r="I1217" i="1" a="1"/>
  <c r="I1217" i="1" s="1"/>
  <c r="L1326" i="1" a="1"/>
  <c r="L1326" i="1" s="1"/>
  <c r="K1222" i="1" a="1"/>
  <c r="K1222" i="1" s="1"/>
  <c r="H1218" i="1" a="1"/>
  <c r="H1218" i="1" s="1"/>
  <c r="K1218" i="1" a="1"/>
  <c r="K1218" i="1" s="1"/>
  <c r="F1225" i="1" a="1"/>
  <c r="F1225" i="1" s="1"/>
  <c r="I1219" i="1" a="1"/>
  <c r="I1219" i="1" s="1"/>
  <c r="J1220" i="1" a="1"/>
  <c r="J1220" i="1" s="1"/>
  <c r="H1225" i="1" a="1"/>
  <c r="H1225" i="1" s="1"/>
  <c r="F1219" i="1" a="1"/>
  <c r="F1219" i="1" s="1"/>
  <c r="L1218" i="1" a="1"/>
  <c r="L1218" i="1" s="1"/>
  <c r="G1225" i="1" a="1"/>
  <c r="G1225" i="1" s="1"/>
  <c r="J1218" i="1" a="1"/>
  <c r="J1218" i="1" s="1"/>
  <c r="K1217" i="1" a="1"/>
  <c r="K1217" i="1" s="1"/>
  <c r="G1218" i="1" a="1"/>
  <c r="G1218" i="1" s="1"/>
  <c r="L1224" i="1" a="1"/>
  <c r="L1224" i="1" s="1"/>
  <c r="I1218" i="1" a="1"/>
  <c r="I1218" i="1" s="1"/>
  <c r="K1224" i="1" a="1"/>
  <c r="K1224" i="1" s="1"/>
  <c r="I1223" i="1" a="1"/>
  <c r="I1223" i="1" s="1"/>
  <c r="F1218" i="1" a="1"/>
  <c r="F1218" i="1" s="1"/>
  <c r="J1224" i="1" a="1"/>
  <c r="J1224" i="1" s="1"/>
  <c r="G1325" i="1" a="1"/>
  <c r="G1325" i="1" s="1"/>
  <c r="K1223" i="1" a="1"/>
  <c r="K1223" i="1" s="1"/>
  <c r="F1220" i="1" a="1"/>
  <c r="F1220" i="1" s="1"/>
  <c r="L1320" i="1" a="1"/>
  <c r="L1320" i="1" s="1"/>
  <c r="G1324" i="1" a="1"/>
  <c r="G1324" i="1" s="1"/>
  <c r="L1317" i="1" a="1"/>
  <c r="L1317" i="1" s="1"/>
  <c r="G1323" i="1" a="1"/>
  <c r="G1323" i="1" s="1"/>
  <c r="L1319" i="1" a="1"/>
  <c r="L1319" i="1" s="1"/>
  <c r="I1320" i="1" a="1"/>
  <c r="I1320" i="1" s="1"/>
  <c r="F1325" i="1" a="1"/>
  <c r="F1325" i="1" s="1"/>
  <c r="H1325" i="1" a="1"/>
  <c r="H1325" i="1" s="1"/>
  <c r="F1326" i="1" a="1"/>
  <c r="F1326" i="1" s="1"/>
  <c r="K1320" i="1" a="1"/>
  <c r="K1320" i="1" s="1"/>
  <c r="L1318" i="1" a="1"/>
  <c r="L1318" i="1" s="1"/>
  <c r="K1325" i="1" a="1"/>
  <c r="K1325" i="1" s="1"/>
  <c r="H1323" i="1" a="1"/>
  <c r="H1323" i="1" s="1"/>
  <c r="J1323" i="1" a="1"/>
  <c r="J1323" i="1" s="1"/>
  <c r="J1321" i="1" a="1"/>
  <c r="J1321" i="1" s="1"/>
  <c r="I1326" i="1" a="1"/>
  <c r="I1326" i="1" s="1"/>
  <c r="I1323" i="1" a="1"/>
  <c r="I1323" i="1" s="1"/>
  <c r="J1317" i="1" a="1"/>
  <c r="J1317" i="1" s="1"/>
  <c r="L1323" i="1" a="1"/>
  <c r="L1323" i="1" s="1"/>
  <c r="L1324" i="1" a="1"/>
  <c r="L1324" i="1" s="1"/>
  <c r="K1318" i="1" a="1"/>
  <c r="K1318" i="1" s="1"/>
  <c r="K1324" i="1" a="1"/>
  <c r="K1324" i="1" s="1"/>
  <c r="J1326" i="1" a="1"/>
  <c r="J1326" i="1" s="1"/>
  <c r="J1319" i="1" a="1"/>
  <c r="J1319" i="1" s="1"/>
  <c r="F1320" i="1" a="1"/>
  <c r="F1320" i="1" s="1"/>
  <c r="K1323" i="1" a="1"/>
  <c r="K1323" i="1" s="1"/>
  <c r="H1320" i="1" a="1"/>
  <c r="H1320" i="1" s="1"/>
  <c r="G1320" i="1" a="1"/>
  <c r="G1320" i="1" s="1"/>
  <c r="I1325" i="1" a="1"/>
  <c r="I1325" i="1" s="1"/>
  <c r="K1319" i="1" a="1"/>
  <c r="K1319" i="1" s="1"/>
  <c r="L1325" i="1" a="1"/>
  <c r="L1325" i="1" s="1"/>
  <c r="H1326" i="1" a="1"/>
  <c r="H1326" i="1" s="1"/>
  <c r="I1324" i="1" a="1"/>
  <c r="I1324" i="1" s="1"/>
  <c r="I1318" i="1" a="1"/>
  <c r="I1318" i="1" s="1"/>
  <c r="J1324" i="1" a="1"/>
  <c r="J1324" i="1" s="1"/>
  <c r="G1321" i="1" a="1"/>
  <c r="G1321" i="1" s="1"/>
  <c r="F1323" i="1" a="1"/>
  <c r="F1323" i="1" s="1"/>
  <c r="G1318" i="1" a="1"/>
  <c r="G1318" i="1" s="1"/>
  <c r="G1319" i="1" a="1"/>
  <c r="G1319" i="1" s="1"/>
  <c r="F1261" i="1" a="1"/>
  <c r="F1261" i="1" s="1"/>
  <c r="J1318" i="1" a="1"/>
  <c r="J1318" i="1" s="1"/>
  <c r="I1317" i="1" a="1"/>
  <c r="I1317" i="1" s="1"/>
  <c r="I1321" i="1" a="1"/>
  <c r="I1321" i="1" s="1"/>
  <c r="F1263" i="1" a="1"/>
  <c r="F1263" i="1" s="1"/>
  <c r="L1262" i="1" a="1"/>
  <c r="L1262" i="1" s="1"/>
  <c r="H1319" i="1" a="1"/>
  <c r="H1319" i="1" s="1"/>
  <c r="F1318" i="1" a="1"/>
  <c r="F1318" i="1" s="1"/>
  <c r="H1317" i="1" a="1"/>
  <c r="H1317" i="1" s="1"/>
  <c r="L1321" i="1" a="1"/>
  <c r="L1321" i="1" s="1"/>
  <c r="H1321" i="1" a="1"/>
  <c r="H1321" i="1" s="1"/>
  <c r="K1321" i="1" a="1"/>
  <c r="K1321" i="1" s="1"/>
  <c r="J1320" i="1" a="1"/>
  <c r="J1320" i="1" s="1"/>
  <c r="K1317" i="1" a="1"/>
  <c r="K1317" i="1" s="1"/>
  <c r="F1324" i="1" a="1"/>
  <c r="F1324" i="1" s="1"/>
  <c r="L1261" i="1" a="1"/>
  <c r="L1261" i="1" s="1"/>
  <c r="H1324" i="1" a="1"/>
  <c r="H1324" i="1" s="1"/>
  <c r="K1262" i="1" a="1"/>
  <c r="K1262" i="1" s="1"/>
  <c r="F1321" i="1" a="1"/>
  <c r="F1321" i="1" s="1"/>
  <c r="F1319" i="1" a="1"/>
  <c r="F1319" i="1" s="1"/>
  <c r="H1318" i="1" a="1"/>
  <c r="H1318" i="1" s="1"/>
  <c r="G1317" i="1" a="1"/>
  <c r="G1317" i="1" s="1"/>
  <c r="J1261" i="1" a="1"/>
  <c r="J1261" i="1" s="1"/>
  <c r="I1319" i="1" a="1"/>
  <c r="I1319" i="1" s="1"/>
  <c r="F1317" i="1" a="1"/>
  <c r="F1317" i="1" s="1"/>
  <c r="L1260" i="1" a="1"/>
  <c r="L1260" i="1" s="1"/>
  <c r="L1259" i="1" a="1"/>
  <c r="L1259" i="1" s="1"/>
  <c r="I1263" i="1" a="1"/>
  <c r="I1263" i="1" s="1"/>
  <c r="K1263" i="1" a="1"/>
  <c r="K1263" i="1" s="1"/>
  <c r="K1259" i="1" a="1"/>
  <c r="K1259" i="1" s="1"/>
  <c r="G1261" i="1" a="1"/>
  <c r="G1261" i="1" s="1"/>
  <c r="I1262" i="1" a="1"/>
  <c r="I1262" i="1" s="1"/>
  <c r="H1262" i="1" a="1"/>
  <c r="H1262" i="1" s="1"/>
  <c r="H1261" i="1" a="1"/>
  <c r="H1261" i="1" s="1"/>
  <c r="I1260" i="1" a="1"/>
  <c r="I1260" i="1" s="1"/>
  <c r="H1263" i="1" a="1"/>
  <c r="H1263" i="1" s="1"/>
  <c r="K1261" i="1" a="1"/>
  <c r="K1261" i="1" s="1"/>
  <c r="K1258" i="1" a="1"/>
  <c r="K1258" i="1" s="1"/>
  <c r="G1262" i="1" a="1"/>
  <c r="G1262" i="1" s="1"/>
  <c r="F1262" i="1" a="1"/>
  <c r="F1262" i="1" s="1"/>
  <c r="I1259" i="1" a="1"/>
  <c r="I1259" i="1" s="1"/>
  <c r="L1263" i="1" a="1"/>
  <c r="L1263" i="1" s="1"/>
  <c r="G1259" i="1" a="1"/>
  <c r="G1259" i="1" s="1"/>
  <c r="J1263" i="1" a="1"/>
  <c r="J1263" i="1" s="1"/>
  <c r="F1258" i="1" a="1"/>
  <c r="F1258" i="1" s="1"/>
  <c r="F1259" i="1" a="1"/>
  <c r="F1259" i="1" s="1"/>
  <c r="H1260" i="1" a="1"/>
  <c r="H1260" i="1" s="1"/>
  <c r="J1260" i="1" a="1"/>
  <c r="J1260" i="1" s="1"/>
  <c r="G1258" i="1" a="1"/>
  <c r="G1258" i="1" s="1"/>
  <c r="J1262" i="1" a="1"/>
  <c r="J1262" i="1" s="1"/>
  <c r="H1259" i="1" a="1"/>
  <c r="H1259" i="1" s="1"/>
  <c r="H1258" i="1" a="1"/>
  <c r="H1258" i="1" s="1"/>
  <c r="G1260" i="1" a="1"/>
  <c r="G1260" i="1" s="1"/>
  <c r="G1263" i="1" a="1"/>
  <c r="G1263" i="1" s="1"/>
  <c r="K1260" i="1" a="1"/>
  <c r="K1260" i="1" s="1"/>
  <c r="I1261" i="1" a="1"/>
  <c r="I1261" i="1" s="1"/>
  <c r="J1259" i="1" a="1"/>
  <c r="J1259" i="1" s="1"/>
  <c r="H1248" i="1" a="1"/>
  <c r="H1248" i="1" s="1"/>
  <c r="I1256" i="1" a="1"/>
  <c r="I1256" i="1" s="1"/>
  <c r="I1257" i="1" a="1"/>
  <c r="I1257" i="1" s="1"/>
  <c r="K1256" i="1" a="1"/>
  <c r="K1256" i="1" s="1"/>
  <c r="F1250" i="1" a="1"/>
  <c r="F1250" i="1" s="1"/>
  <c r="F1249" i="1" a="1"/>
  <c r="F1249" i="1" s="1"/>
  <c r="G1250" i="1" a="1"/>
  <c r="G1250" i="1" s="1"/>
  <c r="F1256" i="1" a="1"/>
  <c r="F1256" i="1" s="1"/>
  <c r="K1249" i="1" a="1"/>
  <c r="K1249" i="1" s="1"/>
  <c r="I1249" i="1" a="1"/>
  <c r="I1249" i="1" s="1"/>
  <c r="H1250" i="1" a="1"/>
  <c r="H1250" i="1" s="1"/>
  <c r="F1260" i="1" a="1"/>
  <c r="F1260" i="1" s="1"/>
  <c r="L1258" i="1" a="1"/>
  <c r="L1258" i="1" s="1"/>
  <c r="H1256" i="1" a="1"/>
  <c r="H1256" i="1" s="1"/>
  <c r="J1257" i="1" a="1"/>
  <c r="J1257" i="1" s="1"/>
  <c r="H1255" i="1" a="1"/>
  <c r="H1255" i="1" s="1"/>
  <c r="L1257" i="1" a="1"/>
  <c r="L1257" i="1" s="1"/>
  <c r="K1257" i="1" a="1"/>
  <c r="K1257" i="1" s="1"/>
  <c r="L1256" i="1" a="1"/>
  <c r="L1256" i="1" s="1"/>
  <c r="L1249" i="1" a="1"/>
  <c r="L1249" i="1" s="1"/>
  <c r="I1258" i="1" a="1"/>
  <c r="I1258" i="1" s="1"/>
  <c r="G1249" i="1" a="1"/>
  <c r="G1249" i="1" s="1"/>
  <c r="F1251" i="1" a="1"/>
  <c r="F1251" i="1" s="1"/>
  <c r="I1254" i="1" a="1"/>
  <c r="I1254" i="1" s="1"/>
  <c r="J1258" i="1" a="1"/>
  <c r="J1258" i="1" s="1"/>
  <c r="G1252" i="1" a="1"/>
  <c r="G1252" i="1" s="1"/>
  <c r="H1257" i="1" a="1"/>
  <c r="H1257" i="1" s="1"/>
  <c r="L1255" i="1" a="1"/>
  <c r="L1255" i="1" s="1"/>
  <c r="J1256" i="1" a="1"/>
  <c r="J1256" i="1" s="1"/>
  <c r="G1257" i="1" a="1"/>
  <c r="G1257" i="1" s="1"/>
  <c r="F1257" i="1" a="1"/>
  <c r="F1257" i="1" s="1"/>
  <c r="H1249" i="1" a="1"/>
  <c r="H1249" i="1" s="1"/>
  <c r="L1247" i="1" a="1"/>
  <c r="L1247" i="1" s="1"/>
  <c r="G1248" i="1" a="1"/>
  <c r="G1248" i="1" s="1"/>
  <c r="L1253" i="1" a="1"/>
  <c r="L1253" i="1" s="1"/>
  <c r="K1255" i="1" a="1"/>
  <c r="K1255" i="1" s="1"/>
  <c r="L1254" i="1" a="1"/>
  <c r="L1254" i="1" s="1"/>
  <c r="F1248" i="1" a="1"/>
  <c r="F1248" i="1" s="1"/>
  <c r="J1254" i="1" a="1"/>
  <c r="J1254" i="1" s="1"/>
  <c r="H1251" i="1" a="1"/>
  <c r="H1251" i="1" s="1"/>
  <c r="F1255" i="1" a="1"/>
  <c r="F1255" i="1" s="1"/>
  <c r="H1252" i="1" a="1"/>
  <c r="H1252" i="1" s="1"/>
  <c r="I1255" i="1" a="1"/>
  <c r="I1255" i="1" s="1"/>
  <c r="G1254" i="1" a="1"/>
  <c r="G1254" i="1" s="1"/>
  <c r="J1255" i="1" a="1"/>
  <c r="J1255" i="1" s="1"/>
  <c r="G1255" i="1" a="1"/>
  <c r="G1255" i="1" s="1"/>
  <c r="H1254" i="1" a="1"/>
  <c r="H1254" i="1" s="1"/>
  <c r="K1253" i="1" a="1"/>
  <c r="K1253" i="1" s="1"/>
  <c r="L1252" i="1" a="1"/>
  <c r="L1252" i="1" s="1"/>
  <c r="J1250" i="1" a="1"/>
  <c r="J1250" i="1" s="1"/>
  <c r="J1253" i="1" a="1"/>
  <c r="J1253" i="1" s="1"/>
  <c r="G1253" i="1" a="1"/>
  <c r="G1253" i="1" s="1"/>
  <c r="F1252" i="1" a="1"/>
  <c r="F1252" i="1" s="1"/>
  <c r="H1253" i="1" a="1"/>
  <c r="H1253" i="1" s="1"/>
  <c r="K1250" i="1" a="1"/>
  <c r="K1250" i="1" s="1"/>
  <c r="J1248" i="1" a="1"/>
  <c r="J1248" i="1" s="1"/>
  <c r="K1254" i="1" a="1"/>
  <c r="K1254" i="1" s="1"/>
  <c r="I1253" i="1" a="1"/>
  <c r="I1253" i="1" s="1"/>
  <c r="G1256" i="1" a="1"/>
  <c r="G1256" i="1" s="1"/>
  <c r="K1251" i="1" a="1"/>
  <c r="K1251" i="1" s="1"/>
  <c r="F1254" i="1" a="1"/>
  <c r="F1254" i="1" s="1"/>
  <c r="J1249" i="1" a="1"/>
  <c r="J1249" i="1" s="1"/>
  <c r="I1248" i="1" a="1"/>
  <c r="I1248" i="1" s="1"/>
  <c r="J1251" i="1" a="1"/>
  <c r="J1251" i="1" s="1"/>
  <c r="G1647" i="1" a="1"/>
  <c r="G1647" i="1" s="1"/>
  <c r="H1646" i="1" a="1"/>
  <c r="H1646" i="1" s="1"/>
  <c r="F1253" i="1" a="1"/>
  <c r="F1253" i="1" s="1"/>
  <c r="I1250" i="1" a="1"/>
  <c r="I1250" i="1" s="1"/>
  <c r="K1252" i="1" a="1"/>
  <c r="K1252" i="1" s="1"/>
  <c r="G1251" i="1" a="1"/>
  <c r="G1251" i="1" s="1"/>
  <c r="L1643" i="1" a="1"/>
  <c r="L1643" i="1" s="1"/>
  <c r="J1252" i="1" a="1"/>
  <c r="J1252" i="1" s="1"/>
  <c r="L1251" i="1" a="1"/>
  <c r="L1251" i="1" s="1"/>
  <c r="L1250" i="1" a="1"/>
  <c r="L1250" i="1" s="1"/>
  <c r="J1642" i="1" a="1"/>
  <c r="J1642" i="1" s="1"/>
  <c r="F1643" i="1" a="1"/>
  <c r="F1643" i="1" s="1"/>
  <c r="J1646" i="1" a="1"/>
  <c r="J1646" i="1" s="1"/>
  <c r="L1248" i="1" a="1"/>
  <c r="L1248" i="1" s="1"/>
  <c r="G1642" i="1" a="1"/>
  <c r="G1642" i="1" s="1"/>
  <c r="I1252" i="1" a="1"/>
  <c r="I1252" i="1" s="1"/>
  <c r="G1643" i="1" a="1"/>
  <c r="G1643" i="1" s="1"/>
  <c r="J1643" i="1" a="1"/>
  <c r="J1643" i="1" s="1"/>
  <c r="K1647" i="1" a="1"/>
  <c r="K1647" i="1" s="1"/>
  <c r="I1251" i="1" a="1"/>
  <c r="I1251" i="1" s="1"/>
  <c r="F1642" i="1" a="1"/>
  <c r="F1642" i="1" s="1"/>
  <c r="K1248" i="1" a="1"/>
  <c r="K1248" i="1" s="1"/>
  <c r="H1647" i="1" a="1"/>
  <c r="H1647" i="1" s="1"/>
  <c r="F1647" i="1" a="1"/>
  <c r="F1647" i="1" s="1"/>
  <c r="I1643" i="1" a="1"/>
  <c r="I1643" i="1" s="1"/>
  <c r="K1643" i="1" a="1"/>
  <c r="K1643" i="1" s="1"/>
  <c r="L1647" i="1" a="1"/>
  <c r="L1647" i="1" s="1"/>
  <c r="L1646" i="1" a="1"/>
  <c r="L1646" i="1" s="1"/>
  <c r="K1646" i="1" a="1"/>
  <c r="K1646" i="1" s="1"/>
  <c r="F1646" i="1" a="1"/>
  <c r="F1646" i="1" s="1"/>
  <c r="I1642" i="1" a="1"/>
  <c r="I1642" i="1" s="1"/>
  <c r="I1647" i="1" a="1"/>
  <c r="I1647" i="1" s="1"/>
  <c r="G1667" i="1" a="1"/>
  <c r="G1667" i="1" s="1"/>
  <c r="H1643" i="1" a="1"/>
  <c r="H1643" i="1" s="1"/>
  <c r="L1662" i="1" a="1"/>
  <c r="L1662" i="1" s="1"/>
  <c r="J1647" i="1" a="1"/>
  <c r="J1647" i="1" s="1"/>
  <c r="J1668" i="1" a="1"/>
  <c r="J1668" i="1" s="1"/>
  <c r="J1661" i="1" a="1"/>
  <c r="J1661" i="1" s="1"/>
  <c r="F1668" i="1" a="1"/>
  <c r="F1668" i="1" s="1"/>
  <c r="L1667" i="1" a="1"/>
  <c r="L1667" i="1" s="1"/>
  <c r="K1668" i="1" a="1"/>
  <c r="K1668" i="1" s="1"/>
  <c r="L1669" i="1" a="1"/>
  <c r="L1669" i="1" s="1"/>
  <c r="G1668" i="1" a="1"/>
  <c r="G1668" i="1" s="1"/>
  <c r="H1668" i="1" a="1"/>
  <c r="H1668" i="1" s="1"/>
  <c r="J1669" i="1" a="1"/>
  <c r="J1669" i="1" s="1"/>
  <c r="K1642" i="1" a="1"/>
  <c r="K1642" i="1" s="1"/>
  <c r="H1660" i="1" a="1"/>
  <c r="H1660" i="1" s="1"/>
  <c r="H1661" i="1" a="1"/>
  <c r="H1661" i="1" s="1"/>
  <c r="H1669" i="1" a="1"/>
  <c r="H1669" i="1" s="1"/>
  <c r="K1669" i="1" a="1"/>
  <c r="K1669" i="1" s="1"/>
  <c r="F1670" i="1" a="1"/>
  <c r="F1670" i="1" s="1"/>
  <c r="G1661" i="1" a="1"/>
  <c r="G1661" i="1" s="1"/>
  <c r="L1661" i="1" a="1"/>
  <c r="L1661" i="1" s="1"/>
  <c r="G1660" i="1" a="1"/>
  <c r="G1660" i="1" s="1"/>
  <c r="I1668" i="1" a="1"/>
  <c r="I1668" i="1" s="1"/>
  <c r="G1669" i="1" a="1"/>
  <c r="G1669" i="1" s="1"/>
  <c r="L1660" i="1" a="1"/>
  <c r="L1660" i="1" s="1"/>
  <c r="L1642" i="1" a="1"/>
  <c r="L1642" i="1" s="1"/>
  <c r="F1669" i="1" a="1"/>
  <c r="F1669" i="1" s="1"/>
  <c r="I1669" i="1" a="1"/>
  <c r="I1669" i="1" s="1"/>
  <c r="G1646" i="1" a="1"/>
  <c r="G1646" i="1" s="1"/>
  <c r="I1646" i="1" a="1"/>
  <c r="I1646" i="1" s="1"/>
  <c r="H1667" i="1" a="1"/>
  <c r="H1667" i="1" s="1"/>
  <c r="H1642" i="1" a="1"/>
  <c r="H1642" i="1" s="1"/>
  <c r="K1660" i="1" a="1"/>
  <c r="K1660" i="1" s="1"/>
  <c r="F1629" i="1" a="1"/>
  <c r="F1629" i="1" s="1"/>
  <c r="H1662" i="1" a="1"/>
  <c r="H1662" i="1" s="1"/>
  <c r="H1625" i="1" a="1"/>
  <c r="H1625" i="1" s="1"/>
  <c r="J1662" i="1" a="1"/>
  <c r="J1662" i="1" s="1"/>
  <c r="K1667" i="1" a="1"/>
  <c r="K1667" i="1" s="1"/>
  <c r="I1667" i="1" a="1"/>
  <c r="I1667" i="1" s="1"/>
  <c r="L1668" i="1" a="1"/>
  <c r="L1668" i="1" s="1"/>
  <c r="G1654" i="1" a="1"/>
  <c r="G1654" i="1" s="1"/>
  <c r="H1654" i="1" a="1"/>
  <c r="H1654" i="1" s="1"/>
  <c r="I1654" i="1" a="1"/>
  <c r="I1654" i="1" s="1"/>
  <c r="H1629" i="1" a="1"/>
  <c r="H1629" i="1" s="1"/>
  <c r="G1662" i="1" a="1"/>
  <c r="G1662" i="1" s="1"/>
  <c r="J1654" i="1" a="1"/>
  <c r="J1654" i="1" s="1"/>
  <c r="K1661" i="1" a="1"/>
  <c r="K1661" i="1" s="1"/>
  <c r="J1627" i="1" a="1"/>
  <c r="J1627" i="1" s="1"/>
  <c r="I1662" i="1" a="1"/>
  <c r="I1662" i="1" s="1"/>
  <c r="G1629" i="1" a="1"/>
  <c r="G1629" i="1" s="1"/>
  <c r="I1660" i="1" a="1"/>
  <c r="I1660" i="1" s="1"/>
  <c r="L1624" i="1" a="1"/>
  <c r="L1624" i="1" s="1"/>
  <c r="J1667" i="1" a="1"/>
  <c r="J1667" i="1"/>
  <c r="K1662" i="1" a="1"/>
  <c r="K1662" i="1" s="1"/>
  <c r="I1661" i="1" a="1"/>
  <c r="I1661" i="1" s="1"/>
  <c r="J1660" i="1" a="1"/>
  <c r="J1660" i="1" s="1"/>
  <c r="F1662" i="1" a="1"/>
  <c r="F1662" i="1" s="1"/>
  <c r="G1625" i="1" a="1"/>
  <c r="G1625" i="1" s="1"/>
  <c r="L1654" i="1" a="1"/>
  <c r="L1654" i="1" s="1"/>
  <c r="F1660" i="1" a="1"/>
  <c r="F1660" i="1" s="1"/>
  <c r="F1667" i="1" a="1"/>
  <c r="F1667" i="1" s="1"/>
  <c r="F1654" i="1" a="1"/>
  <c r="F1654" i="1" s="1"/>
  <c r="F1661" i="1" a="1"/>
  <c r="F1661" i="1" s="1"/>
  <c r="K1654" i="1" a="1"/>
  <c r="K1654" i="1" s="1"/>
  <c r="L1626" i="1" a="1"/>
  <c r="L1626" i="1" s="1"/>
  <c r="L1629" i="1" a="1"/>
  <c r="L1629" i="1" s="1"/>
  <c r="L1627" i="1" a="1"/>
  <c r="L1627" i="1" s="1"/>
  <c r="G1628" i="1" a="1"/>
  <c r="G1628" i="1" s="1"/>
  <c r="F1625" i="1" a="1"/>
  <c r="F1625" i="1" s="1"/>
  <c r="J1629" i="1" a="1"/>
  <c r="J1629" i="1" s="1"/>
  <c r="J1624" i="1" a="1"/>
  <c r="J1624" i="1" s="1"/>
  <c r="J1628" i="1" a="1"/>
  <c r="J1628" i="1" s="1"/>
  <c r="L1628" i="1" a="1"/>
  <c r="L1628" i="1" s="1"/>
  <c r="I1624" i="1" a="1"/>
  <c r="I1624" i="1" s="1"/>
  <c r="I1629" i="1" a="1"/>
  <c r="I1629" i="1" s="1"/>
  <c r="H1626" i="1" a="1"/>
  <c r="H1626" i="1" s="1"/>
  <c r="K1625" i="1" a="1"/>
  <c r="K1625" i="1" s="1"/>
  <c r="I1626" i="1" a="1"/>
  <c r="I1626" i="1" s="1"/>
  <c r="L1625" i="1" a="1"/>
  <c r="L1625" i="1" s="1"/>
  <c r="K1626" i="1" a="1"/>
  <c r="K1626" i="1" s="1"/>
  <c r="I1627" i="1" a="1"/>
  <c r="I1627" i="1" s="1"/>
  <c r="F1626" i="1" a="1"/>
  <c r="F1626" i="1" s="1"/>
  <c r="F1627" i="1" a="1"/>
  <c r="F1627" i="1" s="1"/>
  <c r="I1628" i="1" a="1"/>
  <c r="I1628" i="1" s="1"/>
  <c r="K1624" i="1" a="1"/>
  <c r="K1624" i="1" s="1"/>
  <c r="I1625" i="1" a="1"/>
  <c r="I1625" i="1" s="1"/>
  <c r="G1627" i="1" a="1"/>
  <c r="G1627" i="1" s="1"/>
  <c r="F1624" i="1" a="1"/>
  <c r="F1624" i="1" s="1"/>
  <c r="H1624" i="1" a="1"/>
  <c r="H1624" i="1" s="1"/>
  <c r="K1629" i="1" a="1"/>
  <c r="K1629" i="1" s="1"/>
  <c r="H1627" i="1" a="1"/>
  <c r="H1627" i="1" s="1"/>
  <c r="F1628" i="1" a="1"/>
  <c r="F1628" i="1" s="1"/>
  <c r="K1627" i="1" a="1"/>
  <c r="K1627" i="1" s="1"/>
  <c r="K1628" i="1" a="1"/>
  <c r="K1628" i="1" s="1"/>
  <c r="J1625" i="1" a="1"/>
  <c r="J1625" i="1" s="1"/>
  <c r="G1626" i="1" a="1"/>
  <c r="G1626" i="1" s="1"/>
  <c r="F1623" i="1" a="1"/>
  <c r="F1623" i="1" s="1"/>
  <c r="G1611" i="1" a="1"/>
  <c r="G1611" i="1" s="1"/>
  <c r="H1613" i="1" a="1"/>
  <c r="H1613" i="1" s="1"/>
  <c r="J1626" i="1" a="1"/>
  <c r="J1626" i="1" s="1"/>
  <c r="G1624" i="1" a="1"/>
  <c r="G1624" i="1" s="1"/>
  <c r="F1611" i="1" a="1"/>
  <c r="F1611" i="1" s="1"/>
  <c r="G1613" i="1" a="1"/>
  <c r="G1613" i="1" s="1"/>
  <c r="F1613" i="1" a="1"/>
  <c r="F1613" i="1" s="1"/>
  <c r="G1623" i="1" a="1"/>
  <c r="G1623" i="1" s="1"/>
  <c r="L1613" i="1" a="1"/>
  <c r="L1613" i="1" s="1"/>
  <c r="H1612" i="1" a="1"/>
  <c r="H1612" i="1" s="1"/>
  <c r="G1622" i="1" a="1"/>
  <c r="G1622" i="1" s="1"/>
  <c r="K1622" i="1" a="1"/>
  <c r="K1622" i="1" s="1"/>
  <c r="G1621" i="1" a="1"/>
  <c r="G1621" i="1" s="1"/>
  <c r="I1621" i="1" a="1"/>
  <c r="I1621" i="1" s="1"/>
  <c r="L1612" i="1" a="1"/>
  <c r="L1612" i="1" s="1"/>
  <c r="H1622" i="1" a="1"/>
  <c r="H1622" i="1" s="1"/>
  <c r="L1622" i="1" a="1"/>
  <c r="L1622" i="1" s="1"/>
  <c r="G1619" i="1" a="1"/>
  <c r="G1619" i="1" s="1"/>
  <c r="I1612" i="1" a="1"/>
  <c r="I1612" i="1" s="1"/>
  <c r="J1613" i="1" a="1"/>
  <c r="J1613" i="1" s="1"/>
  <c r="K1613" i="1" a="1"/>
  <c r="K1613" i="1" s="1"/>
  <c r="H1619" i="1" a="1"/>
  <c r="H1619" i="1" s="1"/>
  <c r="L1619" i="1" a="1"/>
  <c r="L1619" i="1" s="1"/>
  <c r="H1621" i="1" a="1"/>
  <c r="H1621" i="1" s="1"/>
  <c r="K1619" i="1" a="1"/>
  <c r="K1619" i="1" s="1"/>
  <c r="I1619" i="1" a="1"/>
  <c r="I1619" i="1" s="1"/>
  <c r="L1611" i="1" a="1"/>
  <c r="L1611" i="1" s="1"/>
  <c r="J1621" i="1" a="1"/>
  <c r="J1621" i="1" s="1"/>
  <c r="H1628" i="1" a="1"/>
  <c r="H1628" i="1" s="1"/>
  <c r="I1611" i="1" a="1"/>
  <c r="I1611" i="1" s="1"/>
  <c r="L1621" i="1" a="1"/>
  <c r="L1621" i="1" s="1"/>
  <c r="L1598" i="1" a="1"/>
  <c r="L1598" i="1" s="1"/>
  <c r="F1605" i="1" a="1"/>
  <c r="F1605" i="1" s="1"/>
  <c r="L1596" i="1" a="1"/>
  <c r="L1596" i="1" s="1"/>
  <c r="J1595" i="1" a="1"/>
  <c r="J1595" i="1" s="1"/>
  <c r="K1621" i="1" a="1"/>
  <c r="K1621" i="1" s="1"/>
  <c r="K1612" i="1" a="1"/>
  <c r="K1612" i="1" s="1"/>
  <c r="F1619" i="1" a="1"/>
  <c r="F1619" i="1" s="1"/>
  <c r="G1605" i="1" a="1"/>
  <c r="G1605" i="1" s="1"/>
  <c r="H1596" i="1" a="1"/>
  <c r="H1596" i="1" s="1"/>
  <c r="K1598" i="1" a="1"/>
  <c r="K1598" i="1" s="1"/>
  <c r="K1611" i="1" a="1"/>
  <c r="K1611" i="1" s="1"/>
  <c r="J1605" i="1" a="1"/>
  <c r="J1605" i="1" s="1"/>
  <c r="G1612" i="1" a="1"/>
  <c r="G1612" i="1" s="1"/>
  <c r="J1611" i="1" a="1"/>
  <c r="J1611" i="1" s="1"/>
  <c r="F1621" i="1" a="1"/>
  <c r="F1621" i="1" s="1"/>
  <c r="J1604" i="1" a="1"/>
  <c r="J1604" i="1" s="1"/>
  <c r="J1623" i="1" a="1"/>
  <c r="J1623" i="1" s="1"/>
  <c r="L1605" i="1" a="1"/>
  <c r="L1605" i="1" s="1"/>
  <c r="J1612" i="1" a="1"/>
  <c r="J1612" i="1" s="1"/>
  <c r="L1623" i="1" a="1"/>
  <c r="L1623" i="1" s="1"/>
  <c r="J1622" i="1" a="1"/>
  <c r="J1622" i="1" s="1"/>
  <c r="I1622" i="1" a="1"/>
  <c r="I1622" i="1" s="1"/>
  <c r="K1623" i="1" a="1"/>
  <c r="K1623" i="1" s="1"/>
  <c r="H1611" i="1" a="1"/>
  <c r="H1611" i="1" s="1"/>
  <c r="J1619" i="1" a="1"/>
  <c r="J1619" i="1" s="1"/>
  <c r="I1613" i="1" a="1"/>
  <c r="I1613" i="1" s="1"/>
  <c r="K1605" i="1" a="1"/>
  <c r="K1605" i="1" s="1"/>
  <c r="H1623" i="1" a="1"/>
  <c r="H1623" i="1" s="1"/>
  <c r="F1622" i="1" a="1"/>
  <c r="F1622" i="1" s="1"/>
  <c r="I1604" i="1" a="1"/>
  <c r="I1604" i="1" s="1"/>
  <c r="I1623" i="1" a="1"/>
  <c r="I1623" i="1" s="1"/>
  <c r="F1612" i="1" a="1"/>
  <c r="F1612" i="1" s="1"/>
  <c r="F1582" i="1" a="1"/>
  <c r="F1582" i="1" s="1"/>
  <c r="H1598" i="1" a="1"/>
  <c r="H1598" i="1" s="1"/>
  <c r="G1595" i="1" a="1"/>
  <c r="G1595" i="1" s="1"/>
  <c r="K1595" i="1" a="1"/>
  <c r="K1595" i="1" s="1"/>
  <c r="F1598" i="1" a="1"/>
  <c r="F1598" i="1" s="1"/>
  <c r="I1598" i="1" a="1"/>
  <c r="I1598" i="1" s="1"/>
  <c r="H1595" i="1" a="1"/>
  <c r="H1595" i="1" s="1"/>
  <c r="I1596" i="1" a="1"/>
  <c r="I1596" i="1" s="1"/>
  <c r="L1595" i="1" a="1"/>
  <c r="L1595" i="1" s="1"/>
  <c r="I1605" i="1" a="1"/>
  <c r="I1605" i="1" s="1"/>
  <c r="I1595" i="1" a="1"/>
  <c r="I1595" i="1" s="1"/>
  <c r="G1596" i="1" a="1"/>
  <c r="G1596" i="1" s="1"/>
  <c r="L1604" i="1" a="1"/>
  <c r="L1604" i="1" s="1"/>
  <c r="J1598" i="1" a="1"/>
  <c r="J1598" i="1" s="1"/>
  <c r="I1582" i="1" a="1"/>
  <c r="I1582" i="1" s="1"/>
  <c r="J1596" i="1" a="1"/>
  <c r="J1596" i="1" s="1"/>
  <c r="K1596" i="1" a="1"/>
  <c r="K1596" i="1" s="1"/>
  <c r="K1604" i="1" a="1"/>
  <c r="K1604" i="1" s="1"/>
  <c r="I1332" i="1" a="1"/>
  <c r="I1332" i="1" s="1"/>
  <c r="F1595" i="1" a="1"/>
  <c r="F1595" i="1" s="1"/>
  <c r="G1604" i="1" a="1"/>
  <c r="G1604" i="1" s="1"/>
  <c r="J1582" i="1" a="1"/>
  <c r="J1582" i="1" s="1"/>
  <c r="L1582" i="1" a="1"/>
  <c r="L1582" i="1" s="1"/>
  <c r="G1332" i="1" a="1"/>
  <c r="G1332" i="1" s="1"/>
  <c r="H1604" i="1" a="1"/>
  <c r="H1604" i="1" s="1"/>
  <c r="K1582" i="1" a="1"/>
  <c r="K1582" i="1" s="1"/>
  <c r="H1582" i="1" a="1"/>
  <c r="H1582" i="1" s="1"/>
  <c r="H1605" i="1" a="1"/>
  <c r="H1605" i="1" s="1"/>
  <c r="G1598" i="1" a="1"/>
  <c r="G1598" i="1" s="1"/>
  <c r="F1596" i="1" a="1"/>
  <c r="F1596" i="1" s="1"/>
  <c r="G1582" i="1" a="1"/>
  <c r="G1582" i="1" s="1"/>
  <c r="F1604" i="1" a="1"/>
  <c r="F1604" i="1" s="1"/>
  <c r="H1335" i="1" a="1"/>
  <c r="H1335" i="1" s="1"/>
  <c r="L1336" i="1" a="1"/>
  <c r="L1336" i="1" s="1"/>
  <c r="G1333" i="1" a="1"/>
  <c r="G1333" i="1" s="1"/>
  <c r="F1336" i="1" a="1"/>
  <c r="F1336" i="1" s="1"/>
  <c r="H1334" i="1" a="1"/>
  <c r="H1334" i="1" s="1"/>
  <c r="J1336" i="1" a="1"/>
  <c r="J1336" i="1" s="1"/>
  <c r="H1336" i="1" a="1"/>
  <c r="H1336" i="1" s="1"/>
  <c r="K1333" i="1" a="1"/>
  <c r="K1333" i="1" s="1"/>
  <c r="G1334" i="1" a="1"/>
  <c r="G1334" i="1" s="1"/>
  <c r="J1335" i="1" a="1"/>
  <c r="J1335" i="1" s="1"/>
  <c r="L1334" i="1" a="1"/>
  <c r="L1334" i="1" s="1"/>
  <c r="J1337" i="1" a="1"/>
  <c r="J1337" i="1" s="1"/>
  <c r="F1335" i="1" a="1"/>
  <c r="F1335" i="1" s="1"/>
  <c r="I1338" i="1" a="1"/>
  <c r="I1338" i="1" s="1"/>
  <c r="F1337" i="1" a="1"/>
  <c r="F1337" i="1" s="1"/>
  <c r="L1340" i="1" a="1"/>
  <c r="L1340" i="1" s="1"/>
  <c r="L1337" i="1" a="1"/>
  <c r="L1337" i="1" s="1"/>
  <c r="I1334" i="1" a="1"/>
  <c r="I1334" i="1" s="1"/>
  <c r="J1334" i="1" a="1"/>
  <c r="J1334" i="1" s="1"/>
  <c r="H1333" i="1" a="1"/>
  <c r="H1333" i="1" s="1"/>
  <c r="K1340" i="1" a="1"/>
  <c r="K1340" i="1" s="1"/>
  <c r="I1340" i="1" a="1"/>
  <c r="I1340" i="1" s="1"/>
  <c r="H1337" i="1" a="1"/>
  <c r="H1337" i="1" s="1"/>
  <c r="F1332" i="1" a="1"/>
  <c r="F1332" i="1" s="1"/>
  <c r="F1334" i="1" a="1"/>
  <c r="F1334" i="1" s="1"/>
  <c r="K1334" i="1" a="1"/>
  <c r="K1334" i="1" s="1"/>
  <c r="G1335" i="1" a="1"/>
  <c r="G1335" i="1" s="1"/>
  <c r="J1340" i="1" a="1"/>
  <c r="J1340" i="1" s="1"/>
  <c r="I1339" i="1" a="1"/>
  <c r="I1339" i="1" s="1"/>
  <c r="K1336" i="1" a="1"/>
  <c r="K1336" i="1" s="1"/>
  <c r="J1332" i="1" a="1"/>
  <c r="J1332" i="1" s="1"/>
  <c r="H1332" i="1" a="1"/>
  <c r="H1332" i="1" s="1"/>
  <c r="K1339" i="1" a="1"/>
  <c r="K1339" i="1" s="1"/>
  <c r="I1335" i="1" a="1"/>
  <c r="I1335" i="1" s="1"/>
  <c r="G1336" i="1" a="1"/>
  <c r="G1336" i="1" s="1"/>
  <c r="K1332" i="1" a="1"/>
  <c r="K1332" i="1" s="1"/>
  <c r="L1676" i="1" a="1"/>
  <c r="L1676" i="1" s="1"/>
  <c r="L1333" i="1" a="1"/>
  <c r="L1333" i="1" s="1"/>
  <c r="G1339" i="1" a="1"/>
  <c r="G1339" i="1" s="1"/>
  <c r="L1332" i="1" a="1"/>
  <c r="L1332" i="1" s="1"/>
  <c r="I1337" i="1" a="1"/>
  <c r="I1337" i="1" s="1"/>
  <c r="H1674" i="1" a="1"/>
  <c r="H1674" i="1" s="1"/>
  <c r="H1338" i="1" a="1"/>
  <c r="H1338" i="1" s="1"/>
  <c r="F1339" i="1" a="1"/>
  <c r="F1339" i="1" s="1"/>
  <c r="H1340" i="1" a="1"/>
  <c r="H1340" i="1" s="1"/>
  <c r="J1333" i="1" a="1"/>
  <c r="J1333" i="1" s="1"/>
  <c r="I1333" i="1" a="1"/>
  <c r="I1333" i="1" s="1"/>
  <c r="F1675" i="1" a="1"/>
  <c r="F1675" i="1" s="1"/>
  <c r="J1338" i="1" a="1"/>
  <c r="J1338" i="1" s="1"/>
  <c r="K1338" i="1" a="1"/>
  <c r="K1338" i="1" s="1"/>
  <c r="L1335" i="1" a="1"/>
  <c r="L1335" i="1" s="1"/>
  <c r="G1337" i="1" a="1"/>
  <c r="G1337" i="1" s="1"/>
  <c r="F1340" i="1" a="1"/>
  <c r="F1340" i="1" s="1"/>
  <c r="L1338" i="1" a="1"/>
  <c r="L1338" i="1" s="1"/>
  <c r="F1338" i="1" a="1"/>
  <c r="F1338" i="1" s="1"/>
  <c r="G1340" i="1" a="1"/>
  <c r="G1340" i="1" s="1"/>
  <c r="H1339" i="1" a="1"/>
  <c r="H1339" i="1" s="1"/>
  <c r="I1336" i="1" a="1"/>
  <c r="I1336" i="1" s="1"/>
  <c r="L1339" i="1" a="1"/>
  <c r="L1339" i="1" s="1"/>
  <c r="K1337" i="1" a="1"/>
  <c r="K1337" i="1" s="1"/>
  <c r="J1339" i="1" a="1"/>
  <c r="J1339" i="1" s="1"/>
  <c r="K1335" i="1" a="1"/>
  <c r="K1335" i="1" s="1"/>
  <c r="H1675" i="1" a="1"/>
  <c r="H1675" i="1" s="1"/>
  <c r="F1333" i="1" a="1"/>
  <c r="F1333" i="1" s="1"/>
  <c r="G1338" i="1" a="1"/>
  <c r="G1338" i="1" s="1"/>
  <c r="F1672" i="1" a="1"/>
  <c r="F1672" i="1" s="1"/>
  <c r="F1671" i="1" a="1"/>
  <c r="F1671" i="1" s="1"/>
  <c r="G1672" i="1" a="1"/>
  <c r="G1672" i="1" s="1"/>
  <c r="H1676" i="1" a="1"/>
  <c r="H1676" i="1" s="1"/>
  <c r="I1674" i="1" a="1"/>
  <c r="I1674" i="1" s="1"/>
  <c r="G1670" i="1" a="1"/>
  <c r="G1670" i="1" s="1"/>
  <c r="K1675" i="1" a="1"/>
  <c r="K1675" i="1" s="1"/>
  <c r="H1671" i="1" a="1"/>
  <c r="H1671" i="1" s="1"/>
  <c r="I1675" i="1" a="1"/>
  <c r="I1675" i="1" s="1"/>
  <c r="I1673" i="1" a="1"/>
  <c r="I1673" i="1" s="1"/>
  <c r="J1676" i="1" a="1"/>
  <c r="J1676" i="1" s="1"/>
  <c r="L1674" i="1" a="1"/>
  <c r="L1674" i="1" s="1"/>
  <c r="J1675" i="1" a="1"/>
  <c r="J1675" i="1" s="1"/>
  <c r="L1673" i="1" a="1"/>
  <c r="L1673" i="1" s="1"/>
  <c r="I1671" i="1" a="1"/>
  <c r="I1671" i="1" s="1"/>
  <c r="J1673" i="1" a="1"/>
  <c r="J1673" i="1" s="1"/>
  <c r="F1673" i="1" a="1"/>
  <c r="F1673" i="1" s="1"/>
  <c r="K1671" i="1" a="1"/>
  <c r="K1671" i="1" s="1"/>
  <c r="G1673" i="1" a="1"/>
  <c r="G1673" i="1" s="1"/>
  <c r="F1674" i="1" a="1"/>
  <c r="F1674" i="1" s="1"/>
  <c r="L1675" i="1" a="1"/>
  <c r="L1675" i="1" s="1"/>
  <c r="K1674" i="1" a="1"/>
  <c r="K1674" i="1" s="1"/>
  <c r="J1674" i="1" a="1"/>
  <c r="J1674" i="1" s="1"/>
  <c r="I1670" i="1" a="1"/>
  <c r="I1670" i="1" s="1"/>
  <c r="G1676" i="1" a="1"/>
  <c r="G1676" i="1" s="1"/>
  <c r="K1676" i="1" a="1"/>
  <c r="K1676" i="1" s="1"/>
  <c r="I1676" i="1" a="1"/>
  <c r="I1676" i="1" s="1"/>
  <c r="G1675" i="1" a="1"/>
  <c r="G1675" i="1" s="1"/>
  <c r="F1676" i="1" a="1"/>
  <c r="F1676" i="1" s="1"/>
  <c r="G1671" i="1" a="1"/>
  <c r="G1671" i="1" s="1"/>
  <c r="K1673" i="1" a="1"/>
  <c r="K1673" i="1" s="1"/>
  <c r="J1671" i="1" a="1"/>
  <c r="J1671" i="1" s="1"/>
  <c r="H1670" i="1" a="1"/>
  <c r="H1670" i="1" s="1"/>
  <c r="L1671" i="1" a="1"/>
  <c r="L1671" i="1" s="1"/>
  <c r="J1670" i="1" a="1"/>
  <c r="J1670" i="1" s="1"/>
  <c r="J1672" i="1" a="1"/>
  <c r="J1672" i="1" s="1"/>
  <c r="H1673" i="1" a="1"/>
  <c r="H1673" i="1" s="1"/>
  <c r="K1670" i="1" a="1"/>
  <c r="K1670" i="1" s="1"/>
  <c r="L1670" i="1" a="1"/>
  <c r="L1670" i="1" s="1"/>
  <c r="L1672" i="1" a="1"/>
  <c r="L1672" i="1" s="1"/>
  <c r="K1672" i="1" a="1"/>
  <c r="K1672" i="1" s="1"/>
  <c r="I1672" i="1" a="1"/>
  <c r="I1672" i="1" s="1"/>
  <c r="H1672" i="1" a="1"/>
  <c r="H1672" i="1" s="1"/>
  <c r="G1674" i="1" a="1"/>
  <c r="G1674" i="1" s="1"/>
  <c r="F1940" i="1" a="1"/>
  <c r="F1940" i="1" s="1"/>
  <c r="L1938" i="1" a="1"/>
  <c r="L1938" i="1" s="1"/>
  <c r="F1946" i="1" a="1"/>
  <c r="F1946" i="1" s="1"/>
  <c r="J1943" i="1" a="1"/>
  <c r="J1943" i="1" s="1"/>
  <c r="I1939" i="1" a="1"/>
  <c r="I1939" i="1" s="1"/>
  <c r="L1944" i="1" a="1"/>
  <c r="L1944" i="1" s="1"/>
  <c r="H1944" i="1" a="1"/>
  <c r="H1944" i="1" s="1"/>
  <c r="L1942" i="1" a="1"/>
  <c r="L1942" i="1" s="1"/>
  <c r="I1940" i="1" a="1"/>
  <c r="I1940" i="1" s="1"/>
  <c r="H1943" i="1" a="1"/>
  <c r="H1943" i="1" s="1"/>
  <c r="H1941" i="1" a="1"/>
  <c r="H1941" i="1" s="1"/>
  <c r="F1938" i="1" a="1"/>
  <c r="F1938" i="1" s="1"/>
  <c r="L1941" i="1" a="1"/>
  <c r="L1941" i="1" s="1"/>
  <c r="L1943" i="1" a="1"/>
  <c r="L1943" i="1" s="1"/>
  <c r="K1945" i="1" a="1"/>
  <c r="K1945" i="1" s="1"/>
  <c r="L1946" i="1" a="1"/>
  <c r="L1946" i="1" s="1"/>
  <c r="F1942" i="1" a="1"/>
  <c r="F1942" i="1" s="1"/>
  <c r="H1945" i="1" a="1"/>
  <c r="H1945" i="1" s="1"/>
  <c r="F1941" i="1" a="1"/>
  <c r="F1941" i="1" s="1"/>
  <c r="K1943" i="1" a="1"/>
  <c r="K1943" i="1" s="1"/>
  <c r="K1938" i="1" a="1"/>
  <c r="K1938" i="1" s="1"/>
  <c r="G1943" i="1" a="1"/>
  <c r="G1943" i="1" s="1"/>
  <c r="G1942" i="1" a="1"/>
  <c r="G1942" i="1" s="1"/>
  <c r="I1946" i="1" a="1"/>
  <c r="I1946" i="1" s="1"/>
  <c r="I1945" i="1" a="1"/>
  <c r="I1945" i="1" s="1"/>
  <c r="K1940" i="1" a="1"/>
  <c r="K1940" i="1" s="1"/>
  <c r="G1944" i="1" a="1"/>
  <c r="G1944" i="1" s="1"/>
  <c r="H1940" i="1" a="1"/>
  <c r="H1940" i="1" s="1"/>
  <c r="L1959" i="1" a="1"/>
  <c r="L1959" i="1" s="1"/>
  <c r="H1956" i="1" a="1"/>
  <c r="H1956" i="1" s="1"/>
  <c r="I1970" i="1" a="1"/>
  <c r="I1970" i="1" s="1"/>
  <c r="H1971" i="1" a="1"/>
  <c r="H1971" i="1" s="1"/>
  <c r="K1971" i="1" a="1"/>
  <c r="K1971" i="1" s="1"/>
  <c r="J1969" i="1" a="1"/>
  <c r="J1969" i="1" s="1"/>
  <c r="L1956" i="1" a="1"/>
  <c r="L1956" i="1" s="1"/>
  <c r="F1971" i="1" a="1"/>
  <c r="F1971" i="1" s="1"/>
  <c r="J1956" i="1" a="1"/>
  <c r="J1956" i="1" s="1"/>
  <c r="J1962" i="1" a="1"/>
  <c r="J1962" i="1" s="1"/>
  <c r="I1967" i="1" a="1"/>
  <c r="I1967" i="1" s="1"/>
  <c r="K1966" i="1" a="1"/>
  <c r="K1966" i="1" s="1"/>
  <c r="G1956" i="1" a="1"/>
  <c r="G1956" i="1" s="1"/>
  <c r="H1959" i="1" a="1"/>
  <c r="H1959" i="1" s="1"/>
  <c r="K1956" i="1" a="1"/>
  <c r="K1956" i="1" s="1"/>
  <c r="F1959" i="1" a="1"/>
  <c r="F1959" i="1" s="1"/>
  <c r="F1960" i="1" a="1"/>
  <c r="F1960" i="1" s="1"/>
  <c r="I1959" i="1" a="1"/>
  <c r="I1959" i="1" s="1"/>
  <c r="J1958" i="1" a="1"/>
  <c r="J1958" i="1" s="1"/>
  <c r="F1965" i="1" a="1"/>
  <c r="F1965" i="1" s="1"/>
  <c r="L1964" i="1" a="1"/>
  <c r="L1964" i="1" s="1"/>
  <c r="F1972" i="1" a="1"/>
  <c r="F1972" i="1" s="1"/>
  <c r="F1968" i="1" a="1"/>
  <c r="F1968" i="1" s="1"/>
  <c r="H1967" i="1" a="1"/>
  <c r="H1967" i="1" s="1"/>
  <c r="I1956" i="1" a="1"/>
  <c r="I1956" i="1" s="1"/>
  <c r="G1962" i="1" a="1"/>
  <c r="G1962" i="1" s="1"/>
  <c r="K1958" i="1" a="1"/>
  <c r="K1958" i="1" s="1"/>
  <c r="K1962" i="1" a="1"/>
  <c r="K1962" i="1" s="1"/>
  <c r="G1958" i="1" a="1"/>
  <c r="G1958" i="1" s="1"/>
  <c r="G1957" i="1" a="1"/>
  <c r="G1957" i="1" s="1"/>
  <c r="G1965" i="1" a="1"/>
  <c r="G1965" i="1" s="1"/>
  <c r="F1958" i="1" a="1"/>
  <c r="F1958" i="1" s="1"/>
  <c r="H1960" i="1" a="1"/>
  <c r="H1960" i="1" s="1"/>
  <c r="I1964" i="1" a="1"/>
  <c r="I1964" i="1" s="1"/>
  <c r="J1959" i="1" a="1"/>
  <c r="J1959" i="1" s="1"/>
  <c r="L1960" i="1" a="1"/>
  <c r="L1960" i="1" s="1"/>
  <c r="F1964" i="1" a="1"/>
  <c r="F1964" i="1" s="1"/>
  <c r="L1962" i="1" a="1"/>
  <c r="L1962" i="1" s="1"/>
  <c r="H1962" i="1" a="1"/>
  <c r="H1962" i="1" s="1"/>
  <c r="G1960" i="1" a="1"/>
  <c r="G1960" i="1" s="1"/>
  <c r="J1963" i="1" a="1"/>
  <c r="J1963" i="1" s="1"/>
  <c r="K1960" i="1" a="1"/>
  <c r="K1960" i="1" s="1"/>
  <c r="J1957" i="1" a="1"/>
  <c r="J1957" i="1" s="1"/>
  <c r="I1958" i="1" a="1"/>
  <c r="I1958" i="1" s="1"/>
  <c r="K1957" i="1" a="1"/>
  <c r="K1957" i="1" s="1"/>
  <c r="I1957" i="1" a="1"/>
  <c r="I1957" i="1" s="1"/>
  <c r="L1958" i="1" a="1"/>
  <c r="L1958" i="1" s="1"/>
  <c r="F1962" i="1" a="1"/>
  <c r="F1962" i="1" s="1"/>
  <c r="H1957" i="1" a="1"/>
  <c r="H1957" i="1" s="1"/>
  <c r="K1964" i="1" a="1"/>
  <c r="K1964" i="1" s="1"/>
  <c r="G1964" i="1" a="1"/>
  <c r="G1964" i="1" s="1"/>
  <c r="L1963" i="1" a="1"/>
  <c r="L1963" i="1" s="1"/>
  <c r="I1962" i="1" a="1"/>
  <c r="I1962" i="1" s="1"/>
  <c r="J1964" i="1" a="1"/>
  <c r="J1964" i="1" s="1"/>
  <c r="I1960" i="1" a="1"/>
  <c r="I1960" i="1" s="1"/>
  <c r="K1963" i="1" a="1"/>
  <c r="K1963" i="1" s="1"/>
  <c r="L1957" i="1" a="1"/>
  <c r="L1957" i="1" s="1"/>
  <c r="I1963" i="1" a="1"/>
  <c r="I1963" i="1" s="1"/>
  <c r="G1959" i="1" a="1"/>
  <c r="G1959" i="1" s="1"/>
  <c r="K1950" i="1" a="1"/>
  <c r="K1950" i="1" s="1"/>
  <c r="L2021" i="1" a="1"/>
  <c r="L2021" i="1" s="1"/>
  <c r="H1955" i="1" a="1"/>
  <c r="H1955" i="1" s="1"/>
  <c r="J1960" i="1" a="1"/>
  <c r="J1960" i="1" s="1"/>
  <c r="H1958" i="1" a="1"/>
  <c r="H1958" i="1" s="1"/>
  <c r="G1963" i="1" a="1"/>
  <c r="G1963" i="1" s="1"/>
  <c r="J1952" i="1" a="1"/>
  <c r="J1952" i="1" s="1"/>
  <c r="H2020" i="1" a="1"/>
  <c r="H2020" i="1" s="1"/>
  <c r="J2021" i="1" a="1"/>
  <c r="J2021" i="1" s="1"/>
  <c r="K1959" i="1" a="1"/>
  <c r="K1959" i="1" s="1"/>
  <c r="H2021" i="1" a="1"/>
  <c r="H2021" i="1" s="1"/>
  <c r="H1948" i="1" a="1"/>
  <c r="H1948" i="1" s="1"/>
  <c r="H1951" i="1" a="1"/>
  <c r="H1951" i="1" s="1"/>
  <c r="J2020" i="1" a="1"/>
  <c r="J2020" i="1" s="1"/>
  <c r="K1953" i="1" a="1"/>
  <c r="K1953" i="1" s="1"/>
  <c r="J1948" i="1" a="1"/>
  <c r="J1948" i="1" s="1"/>
  <c r="F1949" i="1" a="1"/>
  <c r="F1949" i="1" s="1"/>
  <c r="H1947" i="1" a="1"/>
  <c r="H1947" i="1" s="1"/>
  <c r="L1948" i="1" a="1"/>
  <c r="L1948" i="1" s="1"/>
  <c r="K1948" i="1" a="1"/>
  <c r="K1948" i="1" s="1"/>
  <c r="H1963" i="1" a="1"/>
  <c r="H1963" i="1" s="1"/>
  <c r="G2020" i="1" a="1"/>
  <c r="G2020" i="1" s="1"/>
  <c r="J1951" i="1" a="1"/>
  <c r="J1951" i="1" s="1"/>
  <c r="F1963" i="1" a="1"/>
  <c r="F1963" i="1" s="1"/>
  <c r="K2020" i="1" a="1"/>
  <c r="K2020" i="1" s="1"/>
  <c r="I1952" i="1" a="1"/>
  <c r="I1952" i="1" s="1"/>
  <c r="H1950" i="1" a="1"/>
  <c r="H1950" i="1" s="1"/>
  <c r="G1953" i="1" a="1"/>
  <c r="G1953" i="1" s="1"/>
  <c r="I2021" i="1" a="1"/>
  <c r="I2021" i="1" s="1"/>
  <c r="F1957" i="1" a="1"/>
  <c r="F1957" i="1" s="1"/>
  <c r="L2020" i="1" a="1"/>
  <c r="L2020" i="1" s="1"/>
  <c r="I1949" i="1" a="1"/>
  <c r="I1949" i="1" s="1"/>
  <c r="I1953" i="1" a="1"/>
  <c r="I1953" i="1" s="1"/>
  <c r="F2021" i="1" a="1"/>
  <c r="F2021" i="1" s="1"/>
  <c r="H1964" i="1" a="1"/>
  <c r="H1964" i="1" s="1"/>
  <c r="I2020" i="1" a="1"/>
  <c r="I2020" i="1" s="1"/>
  <c r="G2021" i="1" a="1"/>
  <c r="G2021" i="1" s="1"/>
  <c r="L1950" i="1" a="1"/>
  <c r="L1950" i="1" s="1"/>
  <c r="K2021" i="1" a="1"/>
  <c r="K2021" i="1" s="1"/>
  <c r="H1942" i="1" a="1"/>
  <c r="H1942" i="1" s="1"/>
  <c r="L1947" i="1" a="1"/>
  <c r="L1947" i="1" s="1"/>
  <c r="F1955" i="1" a="1"/>
  <c r="F1955" i="1" s="1"/>
  <c r="J1955" i="1" a="1"/>
  <c r="J1955" i="1" s="1"/>
  <c r="J1947" i="1" a="1"/>
  <c r="J1947" i="1" s="1"/>
  <c r="L1953" i="1" a="1"/>
  <c r="L1953" i="1" s="1"/>
  <c r="H1953" i="1" a="1"/>
  <c r="H1953" i="1" s="1"/>
  <c r="I1947" i="1" a="1"/>
  <c r="I1947" i="1" s="1"/>
  <c r="G1940" i="1" a="1"/>
  <c r="G1940" i="1" s="1"/>
  <c r="H1952" i="1" a="1"/>
  <c r="H1952" i="1" s="1"/>
  <c r="K1951" i="1" a="1"/>
  <c r="K1951" i="1" s="1"/>
  <c r="G1951" i="1" a="1"/>
  <c r="G1951" i="1" s="1"/>
  <c r="L1940" i="1" a="1"/>
  <c r="L1940" i="1" s="1"/>
  <c r="K1949" i="1" a="1"/>
  <c r="K1949" i="1" s="1"/>
  <c r="I1951" i="1" a="1"/>
  <c r="I1951" i="1" s="1"/>
  <c r="G1949" i="1" a="1"/>
  <c r="G1949" i="1" s="1"/>
  <c r="J1953" i="1" a="1"/>
  <c r="J1953" i="1" s="1"/>
  <c r="I1948" i="1" a="1"/>
  <c r="I1948" i="1" s="1"/>
  <c r="F1956" i="1" a="1"/>
  <c r="F1956" i="1" s="1"/>
  <c r="G1946" i="1" a="1"/>
  <c r="G1946" i="1" s="1"/>
  <c r="F1952" i="1" a="1"/>
  <c r="F1952" i="1" s="1"/>
  <c r="L1951" i="1" a="1"/>
  <c r="L1951" i="1" s="1"/>
  <c r="G1950" i="1" a="1"/>
  <c r="G1950" i="1" s="1"/>
  <c r="K1947" i="1" a="1"/>
  <c r="K1947" i="1" s="1"/>
  <c r="L1952" i="1" a="1"/>
  <c r="L1952" i="1" s="1"/>
  <c r="G1947" i="1" a="1"/>
  <c r="G1947" i="1" s="1"/>
  <c r="H1949" i="1" a="1"/>
  <c r="H1949" i="1" s="1"/>
  <c r="J1950" i="1" a="1"/>
  <c r="J1950" i="1" s="1"/>
  <c r="L1955" i="1" a="1"/>
  <c r="L1955" i="1" s="1"/>
  <c r="K1952" i="1" a="1"/>
  <c r="K1952" i="1" s="1"/>
  <c r="F1950" i="1" a="1"/>
  <c r="F1950" i="1" s="1"/>
  <c r="G1952" i="1" a="1"/>
  <c r="G1952" i="1" s="1"/>
  <c r="F1947" i="1" a="1"/>
  <c r="F1947" i="1" s="1"/>
  <c r="I1955" i="1" a="1"/>
  <c r="I1955" i="1" s="1"/>
  <c r="F1951" i="1" a="1"/>
  <c r="F1951" i="1" s="1"/>
  <c r="G1955" i="1" a="1"/>
  <c r="G1955" i="1" s="1"/>
  <c r="G1948" i="1" a="1"/>
  <c r="G1948" i="1" s="1"/>
  <c r="K1955" i="1" a="1"/>
  <c r="K1955" i="1" s="1"/>
  <c r="F1948" i="1" a="1"/>
  <c r="F1948" i="1" s="1"/>
  <c r="L1949" i="1" a="1"/>
  <c r="L1949" i="1" s="1"/>
  <c r="G1938" i="1" a="1"/>
  <c r="G1938" i="1" s="1"/>
  <c r="J1949" i="1" a="1"/>
  <c r="J1949" i="1" s="1"/>
  <c r="F1953" i="1" a="1"/>
  <c r="F1953" i="1" s="1"/>
  <c r="I1950" i="1" a="1"/>
  <c r="I1950" i="1" s="1"/>
  <c r="J1946" i="1" a="1"/>
  <c r="J1946" i="1" s="1"/>
  <c r="K1967" i="1" a="1"/>
  <c r="K1967" i="1" s="1"/>
  <c r="L1982" i="1" a="1"/>
  <c r="L1982" i="1" s="1"/>
  <c r="K1989" i="1" a="1"/>
  <c r="K1989" i="1" s="1"/>
  <c r="G1975" i="1" a="1"/>
  <c r="G1975" i="1" s="1"/>
  <c r="H1992" i="1" a="1"/>
  <c r="H1992" i="1" s="1"/>
  <c r="I1983" i="1" a="1"/>
  <c r="I1983" i="1" s="1"/>
  <c r="G1981" i="1" a="1"/>
  <c r="G1981" i="1" s="1"/>
  <c r="F1981" i="1" a="1"/>
  <c r="F1981" i="1" s="1"/>
  <c r="I1979" i="1" a="1"/>
  <c r="I1979" i="1" s="1"/>
  <c r="J1974" i="1" a="1"/>
  <c r="J1974" i="1" s="1"/>
  <c r="G1983" i="1" a="1"/>
  <c r="G1983" i="1" s="1"/>
  <c r="H1983" i="1" a="1"/>
  <c r="H1983" i="1" s="1"/>
  <c r="K1982" i="1" a="1"/>
  <c r="K1982" i="1" s="1"/>
  <c r="I1975" i="1" a="1"/>
  <c r="I1975" i="1" s="1"/>
  <c r="G1979" i="1" a="1"/>
  <c r="G1979" i="1" s="1"/>
  <c r="H1979" i="1" a="1"/>
  <c r="H1979" i="1" s="1"/>
  <c r="I1992" i="1" a="1"/>
  <c r="I1992" i="1" s="1"/>
  <c r="G1984" i="1" a="1"/>
  <c r="G1984" i="1" s="1"/>
  <c r="L1980" i="1" a="1"/>
  <c r="L1980" i="1" s="1"/>
  <c r="H1990" i="1" a="1"/>
  <c r="H1990" i="1" s="1"/>
  <c r="H1991" i="1" a="1"/>
  <c r="H1991" i="1" s="1"/>
  <c r="K1977" i="1" a="1"/>
  <c r="K1977" i="1" s="1"/>
  <c r="G1991" i="1" a="1"/>
  <c r="G1991" i="1" s="1"/>
  <c r="J1992" i="1" a="1"/>
  <c r="J1992" i="1" s="1"/>
  <c r="G1976" i="1" a="1"/>
  <c r="G1976" i="1" s="1"/>
  <c r="I1977" i="1" a="1"/>
  <c r="I1977" i="1" s="1"/>
  <c r="K1979" i="1" a="1"/>
  <c r="K1979" i="1" s="1"/>
  <c r="H1975" i="1" a="1"/>
  <c r="H1975" i="1" s="1"/>
  <c r="F1983" i="1" a="1"/>
  <c r="F1983" i="1" s="1"/>
  <c r="J1982" i="1" a="1"/>
  <c r="J1982" i="1" s="1"/>
  <c r="F1976" i="1" a="1"/>
  <c r="F1976" i="1" s="1"/>
  <c r="F1977" i="1" a="1"/>
  <c r="F1977" i="1" s="1"/>
  <c r="K1981" i="1" a="1"/>
  <c r="K1981" i="1" s="1"/>
  <c r="J1981" i="1" a="1"/>
  <c r="J1981" i="1" s="1"/>
  <c r="K1976" i="1" a="1"/>
  <c r="K1976" i="1" s="1"/>
  <c r="J1975" i="1" a="1"/>
  <c r="J1975" i="1" s="1"/>
  <c r="G1982" i="1" a="1"/>
  <c r="G1982" i="1" s="1"/>
  <c r="K1975" i="1" a="1"/>
  <c r="K1975" i="1" s="1"/>
  <c r="L1975" i="1" a="1"/>
  <c r="L1975" i="1" s="1"/>
  <c r="I1980" i="1" a="1"/>
  <c r="I1980" i="1" s="1"/>
  <c r="I1982" i="1" a="1"/>
  <c r="I1982" i="1" s="1"/>
  <c r="I1981" i="1" a="1"/>
  <c r="I1981" i="1" s="1"/>
  <c r="F1980" i="1" a="1"/>
  <c r="F1980" i="1" s="1"/>
  <c r="H1977" i="1" a="1"/>
  <c r="H1977" i="1" s="1"/>
  <c r="L1981" i="1" a="1"/>
  <c r="L1981" i="1" s="1"/>
  <c r="F1975" i="1" a="1"/>
  <c r="F1975" i="1" s="1"/>
  <c r="H1982" i="1" a="1"/>
  <c r="H1982" i="1" s="1"/>
  <c r="J1977" i="1" a="1"/>
  <c r="J1977" i="1" s="1"/>
  <c r="G1980" i="1" a="1"/>
  <c r="G1980" i="1" s="1"/>
  <c r="L1976" i="1" a="1"/>
  <c r="L1976" i="1" s="1"/>
  <c r="L1974" i="1" a="1"/>
  <c r="L1974" i="1" s="1"/>
  <c r="K1980" i="1" a="1"/>
  <c r="K1980" i="1" s="1"/>
  <c r="H1976" i="1" a="1"/>
  <c r="H1976" i="1" s="1"/>
  <c r="L1979" i="1" a="1"/>
  <c r="L1979" i="1" s="1"/>
  <c r="F1979" i="1" a="1"/>
  <c r="F1979" i="1" s="1"/>
  <c r="F1982" i="1" a="1"/>
  <c r="F1982" i="1" s="1"/>
  <c r="G1977" i="1" a="1"/>
  <c r="G1977" i="1" s="1"/>
  <c r="K1974" i="1" a="1"/>
  <c r="K1974" i="1" s="1"/>
  <c r="I1974" i="1" a="1"/>
  <c r="I1974" i="1" s="1"/>
  <c r="H1980" i="1" a="1"/>
  <c r="H1980" i="1" s="1"/>
  <c r="J1976" i="1" a="1"/>
  <c r="J1976" i="1" s="1"/>
  <c r="I1966" i="1" a="1"/>
  <c r="I1966" i="1" s="1"/>
  <c r="G1966" i="1" a="1"/>
  <c r="G1966" i="1" s="1"/>
  <c r="H1974" i="1" a="1"/>
  <c r="H1974" i="1" s="1"/>
  <c r="H1965" i="1" a="1"/>
  <c r="H1965" i="1" s="1"/>
  <c r="K1968" i="1" a="1"/>
  <c r="K1968" i="1" s="1"/>
  <c r="I1968" i="1" a="1"/>
  <c r="I1968" i="1" s="1"/>
  <c r="K1965" i="1" a="1"/>
  <c r="K1965" i="1" s="1"/>
  <c r="H1966" i="1" a="1"/>
  <c r="H1966" i="1" s="1"/>
  <c r="F1969" i="1" a="1"/>
  <c r="F1969" i="1" s="1"/>
  <c r="G1970" i="1" a="1"/>
  <c r="G1970" i="1" s="1"/>
  <c r="L1966" i="1" a="1"/>
  <c r="L1966" i="1" s="1"/>
  <c r="H1970" i="1" a="1"/>
  <c r="H1970" i="1" s="1"/>
  <c r="L1967" i="1" a="1"/>
  <c r="L1967" i="1" s="1"/>
  <c r="F1966" i="1" a="1"/>
  <c r="F1966" i="1" s="1"/>
  <c r="L1972" i="1" a="1"/>
  <c r="L1972" i="1" s="1"/>
  <c r="I1969" i="1" a="1"/>
  <c r="I1969" i="1" s="1"/>
  <c r="J1980" i="1" a="1"/>
  <c r="J1980" i="1" s="1"/>
  <c r="J1970" i="1" a="1"/>
  <c r="J1970" i="1" s="1"/>
  <c r="H1969" i="1" a="1"/>
  <c r="H1969" i="1" s="1"/>
  <c r="J1968" i="1" a="1"/>
  <c r="J1968" i="1" s="1"/>
  <c r="L1977" i="1" a="1"/>
  <c r="L1977" i="1" s="1"/>
  <c r="J1971" i="1" a="1"/>
  <c r="J1971" i="1" s="1"/>
  <c r="J1979" i="1" a="1"/>
  <c r="J1979" i="1" s="1"/>
  <c r="G1971" i="1" a="1"/>
  <c r="G1971" i="1" s="1"/>
  <c r="G1974" i="1" a="1"/>
  <c r="G1974" i="1" s="1"/>
  <c r="I1976" i="1" a="1"/>
  <c r="I1976" i="1" s="1"/>
  <c r="H1968" i="1" a="1"/>
  <c r="H1968" i="1" s="1"/>
  <c r="H1981" i="1" a="1"/>
  <c r="H1981" i="1" s="1"/>
  <c r="G1969" i="1" a="1"/>
  <c r="G1969" i="1" s="1"/>
  <c r="K1970" i="1" a="1"/>
  <c r="K1970" i="1" s="1"/>
  <c r="L1965" i="1" a="1"/>
  <c r="L1965" i="1" s="1"/>
  <c r="J1965" i="1" a="1"/>
  <c r="J1965" i="1" s="1"/>
  <c r="J1966" i="1" a="1"/>
  <c r="J1966" i="1" s="1"/>
  <c r="I1972" i="1" a="1"/>
  <c r="I1972" i="1" s="1"/>
  <c r="I1973" i="1" a="1"/>
  <c r="I1973" i="1" s="1"/>
  <c r="G1973" i="1" a="1"/>
  <c r="G1973" i="1" s="1"/>
  <c r="F1974" i="1" a="1"/>
  <c r="F1974" i="1" s="1"/>
  <c r="I1965" i="1" a="1"/>
  <c r="I1965" i="1" s="1"/>
  <c r="H1972" i="1" a="1"/>
  <c r="H1972" i="1" s="1"/>
  <c r="K1969" i="1" a="1"/>
  <c r="K1969" i="1" s="1"/>
  <c r="F1967" i="1" a="1"/>
  <c r="F1967" i="1" s="1"/>
  <c r="L1973" i="1" a="1"/>
  <c r="L1973" i="1" s="1"/>
  <c r="G1968" i="1" a="1"/>
  <c r="G1968" i="1" s="1"/>
  <c r="L1970" i="1" a="1"/>
  <c r="L1970" i="1" s="1"/>
  <c r="G1972" i="1" a="1"/>
  <c r="G1972" i="1" s="1"/>
  <c r="K1972" i="1" a="1"/>
  <c r="K1972" i="1" s="1"/>
  <c r="L1971" i="1" a="1"/>
  <c r="L1971" i="1" s="1"/>
  <c r="J1973" i="1" a="1"/>
  <c r="J1973" i="1" s="1"/>
  <c r="K1973" i="1" a="1"/>
  <c r="K1973" i="1" s="1"/>
  <c r="L1968" i="1" a="1"/>
  <c r="L1968" i="1" s="1"/>
  <c r="J1967" i="1" a="1"/>
  <c r="J1967" i="1" s="1"/>
  <c r="J1972" i="1" a="1"/>
  <c r="J1972" i="1" s="1"/>
  <c r="G1967" i="1" a="1"/>
  <c r="G1967" i="1" s="1"/>
  <c r="F1970" i="1" a="1"/>
  <c r="F1970" i="1" s="1"/>
  <c r="H1973" i="1" a="1"/>
  <c r="H1973" i="1" s="1"/>
  <c r="L1969" i="1" a="1"/>
  <c r="L1969" i="1" s="1"/>
  <c r="F1973" i="1" a="1"/>
  <c r="F1973" i="1" s="1"/>
  <c r="I1971" i="1" a="1"/>
  <c r="I1971" i="1" s="1"/>
  <c r="I1502" i="1" a="1"/>
  <c r="I1502" i="1" s="1"/>
  <c r="H1506" i="1" a="1"/>
  <c r="H1506" i="1" s="1"/>
  <c r="K1501" i="1" a="1"/>
  <c r="K1501" i="1" s="1"/>
  <c r="F1507" i="1" a="1"/>
  <c r="F1507" i="1" s="1"/>
  <c r="K1504" i="1" a="1"/>
  <c r="K1504" i="1" s="1"/>
  <c r="G1505" i="1" a="1"/>
  <c r="G1505" i="1" s="1"/>
  <c r="L1507" i="1" a="1"/>
  <c r="L1507" i="1" s="1"/>
  <c r="K1507" i="1" a="1"/>
  <c r="K1507" i="1" s="1"/>
  <c r="H1505" i="1" a="1"/>
  <c r="H1505" i="1" s="1"/>
  <c r="L1506" i="1" a="1"/>
  <c r="L1506" i="1" s="1"/>
  <c r="G1504" i="1" a="1"/>
  <c r="G1504" i="1" s="1"/>
  <c r="J1501" i="1" a="1"/>
  <c r="J1501" i="1" s="1"/>
  <c r="F1506" i="1" a="1"/>
  <c r="F1506" i="1" s="1"/>
  <c r="J1504" i="1" a="1"/>
  <c r="J1504" i="1" s="1"/>
  <c r="F1504" i="1" a="1"/>
  <c r="F1504" i="1" s="1"/>
  <c r="I1506" i="1" a="1"/>
  <c r="I1506" i="1" s="1"/>
  <c r="G1502" i="1" a="1"/>
  <c r="G1502" i="1" s="1"/>
  <c r="J1505" i="1" a="1"/>
  <c r="J1505" i="1" s="1"/>
  <c r="G1501" i="1" a="1"/>
  <c r="G1501" i="1" s="1"/>
  <c r="I1494" i="1" a="1"/>
  <c r="I1494" i="1" s="1"/>
  <c r="J1507" i="1" a="1"/>
  <c r="J1507" i="1" s="1"/>
  <c r="I1504" i="1" a="1"/>
  <c r="I1504" i="1" s="1"/>
  <c r="J1502" i="1" a="1"/>
  <c r="J1502" i="1" s="1"/>
  <c r="G1507" i="1" a="1"/>
  <c r="G1507" i="1" s="1"/>
  <c r="L1501" i="1" a="1"/>
  <c r="L1501" i="1" s="1"/>
  <c r="G1506" i="1" a="1"/>
  <c r="G1506" i="1" s="1"/>
  <c r="L1502" i="1" a="1"/>
  <c r="L1502" i="1" s="1"/>
  <c r="I1505" i="1" a="1"/>
  <c r="I1505" i="1" s="1"/>
  <c r="K1505" i="1" a="1"/>
  <c r="K1505" i="1" s="1"/>
  <c r="I1507" i="1" a="1"/>
  <c r="I1507" i="1" s="1"/>
  <c r="L1504" i="1" a="1"/>
  <c r="L1504" i="1" s="1"/>
  <c r="H1504" i="1" a="1"/>
  <c r="H1504" i="1" s="1"/>
  <c r="H1507" i="1" a="1"/>
  <c r="H1507" i="1" s="1"/>
  <c r="J1450" i="1" a="1"/>
  <c r="J1450" i="1" s="1"/>
  <c r="L1448" i="1" a="1"/>
  <c r="L1448" i="1" s="1"/>
  <c r="K1452" i="1" a="1"/>
  <c r="K1452" i="1" s="1"/>
  <c r="G1454" i="1" a="1"/>
  <c r="G1454" i="1" s="1"/>
  <c r="L1451" i="1" a="1"/>
  <c r="L1451" i="1" s="1"/>
  <c r="G1449" i="1" a="1"/>
  <c r="G1449" i="1" s="1"/>
  <c r="F1454" i="1" a="1"/>
  <c r="F1454" i="1" s="1"/>
  <c r="H1453" i="1" a="1"/>
  <c r="H1453" i="1" s="1"/>
  <c r="K1457" i="1" a="1"/>
  <c r="K1457" i="1" s="1"/>
  <c r="G1450" i="1" a="1"/>
  <c r="G1450" i="1" s="1"/>
  <c r="J1453" i="1" a="1"/>
  <c r="J1453" i="1" s="1"/>
  <c r="J1457" i="1" a="1"/>
  <c r="J1457" i="1" s="1"/>
  <c r="F1453" i="1" a="1"/>
  <c r="F1453" i="1" s="1"/>
  <c r="L1456" i="1" a="1"/>
  <c r="L1456" i="1" s="1"/>
  <c r="K1449" i="1" a="1"/>
  <c r="K1449" i="1" s="1"/>
  <c r="I1453" i="1" a="1"/>
  <c r="I1453" i="1" s="1"/>
  <c r="G1453" i="1" a="1"/>
  <c r="G1453" i="1" s="1"/>
  <c r="F1456" i="1" a="1"/>
  <c r="F1456" i="1" s="1"/>
  <c r="L1450" i="1" a="1"/>
  <c r="L1450" i="1" s="1"/>
  <c r="I1457" i="1" a="1"/>
  <c r="I1457" i="1" s="1"/>
  <c r="L1452" i="1" a="1"/>
  <c r="L1452" i="1" s="1"/>
  <c r="H1457" i="1" a="1"/>
  <c r="H1457" i="1" s="1"/>
  <c r="H1449" i="1" a="1"/>
  <c r="H1449" i="1" s="1"/>
  <c r="I1450" i="1" a="1"/>
  <c r="I1450" i="1" s="1"/>
  <c r="G1452" i="1" a="1"/>
  <c r="G1452" i="1" s="1"/>
  <c r="J1452" i="1" a="1"/>
  <c r="J1452" i="1" s="1"/>
  <c r="F1455" i="1" a="1"/>
  <c r="F1455" i="1" s="1"/>
  <c r="L1457" i="1" a="1"/>
  <c r="L1457" i="1" s="1"/>
  <c r="H1452" i="1" a="1"/>
  <c r="H1452" i="1" s="1"/>
  <c r="G1441" i="1" a="1"/>
  <c r="G1441" i="1" s="1"/>
  <c r="F1451" i="1" a="1"/>
  <c r="F1451" i="1" s="1"/>
  <c r="K1450" i="1" a="1"/>
  <c r="K1450" i="1" s="1"/>
  <c r="L1455" i="1" a="1"/>
  <c r="L1455" i="1" s="1"/>
  <c r="K1456" i="1" a="1"/>
  <c r="K1456" i="1" s="1"/>
  <c r="I1456" i="1" a="1"/>
  <c r="I1456" i="1" s="1"/>
  <c r="J1455" i="1" a="1"/>
  <c r="J1455" i="1" s="1"/>
  <c r="L1441" i="1" a="1"/>
  <c r="L1441" i="1" s="1"/>
  <c r="K1454" i="1" a="1"/>
  <c r="K1454" i="1" s="1"/>
  <c r="K1453" i="1" a="1"/>
  <c r="K1453" i="1" s="1"/>
  <c r="F1452" i="1" a="1"/>
  <c r="F1452" i="1" s="1"/>
  <c r="G1457" i="1" a="1"/>
  <c r="G1457" i="1" s="1"/>
  <c r="H1454" i="1" a="1"/>
  <c r="H1454" i="1" s="1"/>
  <c r="K1451" i="1" a="1"/>
  <c r="K1451" i="1" s="1"/>
  <c r="I1449" i="1" a="1"/>
  <c r="I1449" i="1" s="1"/>
  <c r="F1457" i="1" a="1"/>
  <c r="F1457" i="1" s="1"/>
  <c r="G1451" i="1" a="1"/>
  <c r="G1451" i="1" s="1"/>
  <c r="G1443" i="1" a="1"/>
  <c r="G1443" i="1" s="1"/>
  <c r="K1455" i="1" a="1"/>
  <c r="K1455" i="1" s="1"/>
  <c r="G1456" i="1" a="1"/>
  <c r="G1456" i="1" s="1"/>
  <c r="H1456" i="1" a="1"/>
  <c r="H1456" i="1" s="1"/>
  <c r="J1451" i="1" a="1"/>
  <c r="J1451" i="1" s="1"/>
  <c r="L1453" i="1" a="1"/>
  <c r="L1453" i="1" s="1"/>
  <c r="H1451" i="1" a="1"/>
  <c r="H1451" i="1" s="1"/>
  <c r="L1454" i="1" a="1"/>
  <c r="L1454" i="1" s="1"/>
  <c r="K1444" i="1" a="1"/>
  <c r="K1444" i="1" s="1"/>
  <c r="F1440" i="1" a="1"/>
  <c r="F1440" i="1" s="1"/>
  <c r="J1456" i="1" a="1"/>
  <c r="J1456" i="1" s="1"/>
  <c r="I1455" i="1" a="1"/>
  <c r="I1455" i="1" s="1"/>
  <c r="L1485" i="1" a="1"/>
  <c r="L1485" i="1" s="1"/>
  <c r="J1487" i="1" a="1"/>
  <c r="J1487" i="1" s="1"/>
  <c r="H1487" i="1" a="1"/>
  <c r="H1487" i="1" s="1"/>
  <c r="H1450" i="1" a="1"/>
  <c r="H1450" i="1" s="1"/>
  <c r="H1492" i="1" a="1"/>
  <c r="H1492" i="1" s="1"/>
  <c r="J1492" i="1" a="1"/>
  <c r="J1492" i="1" s="1"/>
  <c r="F1450" i="1" a="1"/>
  <c r="F1450" i="1" s="1"/>
  <c r="K1492" i="1" a="1"/>
  <c r="K1492" i="1" s="1"/>
  <c r="K1458" i="1" a="1"/>
  <c r="K1458" i="1" s="1"/>
  <c r="L1458" i="1" a="1"/>
  <c r="L1458" i="1" s="1"/>
  <c r="F1458" i="1" a="1"/>
  <c r="F1458" i="1" s="1"/>
  <c r="G1455" i="1" a="1"/>
  <c r="G1455" i="1" s="1"/>
  <c r="G1458" i="1" a="1"/>
  <c r="G1458" i="1" s="1"/>
  <c r="J1485" i="1" a="1"/>
  <c r="J1485" i="1" s="1"/>
  <c r="I1485" i="1" a="1"/>
  <c r="I1485" i="1" s="1"/>
  <c r="H1485" i="1" a="1"/>
  <c r="H1485" i="1" s="1"/>
  <c r="G1485" i="1" a="1"/>
  <c r="G1485" i="1" s="1"/>
  <c r="I1454" i="1" a="1"/>
  <c r="I1454" i="1" s="1"/>
  <c r="F1485" i="1" a="1"/>
  <c r="F1485" i="1" s="1"/>
  <c r="J1458" i="1" a="1"/>
  <c r="J1458" i="1" s="1"/>
  <c r="H1458" i="1" a="1"/>
  <c r="H1458" i="1" s="1"/>
  <c r="I1458" i="1" a="1"/>
  <c r="I1458" i="1" s="1"/>
  <c r="L1449" i="1" a="1"/>
  <c r="L1449" i="1" s="1"/>
  <c r="F1449" i="1" a="1"/>
  <c r="F1449" i="1" s="1"/>
  <c r="I1451" i="1" a="1"/>
  <c r="I1451" i="1" s="1"/>
  <c r="J1449" i="1" a="1"/>
  <c r="J1449" i="1" s="1"/>
  <c r="J1454" i="1" a="1"/>
  <c r="J1454" i="1" s="1"/>
  <c r="H1455" i="1" a="1"/>
  <c r="H1455" i="1" s="1"/>
  <c r="I1452" i="1" a="1"/>
  <c r="I1452" i="1" s="1"/>
  <c r="J1373" i="1" a="1"/>
  <c r="J1373" i="1" s="1"/>
  <c r="H1373" i="1" a="1"/>
  <c r="H1373" i="1" s="1"/>
  <c r="K1374" i="1" a="1"/>
  <c r="K1374" i="1" s="1"/>
  <c r="K1430" i="1" a="1"/>
  <c r="K1430" i="1" s="1"/>
  <c r="K1437" i="1" a="1"/>
  <c r="K1437" i="1" s="1"/>
  <c r="F1439" i="1" a="1"/>
  <c r="F1439" i="1" s="1"/>
  <c r="L1430" i="1" a="1"/>
  <c r="L1430" i="1" s="1"/>
  <c r="I1422" i="1" a="1"/>
  <c r="I1422" i="1" s="1"/>
  <c r="H1423" i="1" a="1"/>
  <c r="H1423" i="1" s="1"/>
  <c r="K1423" i="1" a="1"/>
  <c r="K1423" i="1" s="1"/>
  <c r="G1437" i="1" a="1"/>
  <c r="G1437" i="1" s="1"/>
  <c r="G1432" i="1" a="1"/>
  <c r="G1432" i="1" s="1"/>
  <c r="H1424" i="1" a="1"/>
  <c r="H1424" i="1" s="1"/>
  <c r="L1438" i="1" a="1"/>
  <c r="L1438" i="1" s="1"/>
  <c r="F1436" i="1" a="1"/>
  <c r="F1436" i="1" s="1"/>
  <c r="F1434" i="1" a="1"/>
  <c r="F1434" i="1" s="1"/>
  <c r="F1423" i="1" a="1"/>
  <c r="F1423" i="1" s="1"/>
  <c r="G1422" i="1" a="1"/>
  <c r="G1422" i="1" s="1"/>
  <c r="F1424" i="1" a="1"/>
  <c r="F1424" i="1" s="1"/>
  <c r="L1424" i="1" a="1"/>
  <c r="L1424" i="1" s="1"/>
  <c r="F1438" i="1" a="1"/>
  <c r="F1438" i="1" s="1"/>
  <c r="I1438" i="1" a="1"/>
  <c r="I1438" i="1" s="1"/>
  <c r="J1424" i="1" a="1"/>
  <c r="J1424" i="1" s="1"/>
  <c r="L1433" i="1" a="1"/>
  <c r="L1433" i="1" s="1"/>
  <c r="G1421" i="1" a="1"/>
  <c r="G1421" i="1" s="1"/>
  <c r="I1437" i="1" a="1"/>
  <c r="I1437" i="1" s="1"/>
  <c r="J1421" i="1" a="1"/>
  <c r="J1421" i="1" s="1"/>
  <c r="I1433" i="1" a="1"/>
  <c r="I1433" i="1" s="1"/>
  <c r="L1421" i="1" a="1"/>
  <c r="L1421" i="1" s="1"/>
  <c r="H1439" i="1" a="1"/>
  <c r="H1439" i="1" s="1"/>
  <c r="G1439" i="1" a="1"/>
  <c r="G1439" i="1" s="1"/>
  <c r="F1437" i="1" a="1"/>
  <c r="F1437" i="1" s="1"/>
  <c r="J1433" i="1" a="1"/>
  <c r="J1433" i="1" s="1"/>
  <c r="J1431" i="1" a="1"/>
  <c r="J1431" i="1" s="1"/>
  <c r="G1430" i="1" a="1"/>
  <c r="G1430" i="1" s="1"/>
  <c r="H1422" i="1" a="1"/>
  <c r="H1422" i="1" s="1"/>
  <c r="F1422" i="1" a="1"/>
  <c r="F1422" i="1" s="1"/>
  <c r="I1420" i="1" a="1"/>
  <c r="I1420" i="1" s="1"/>
  <c r="F1431" i="1" a="1"/>
  <c r="F1431" i="1" s="1"/>
  <c r="K1433" i="1" a="1"/>
  <c r="K1433" i="1" s="1"/>
  <c r="K1438" i="1" a="1"/>
  <c r="K1438" i="1" s="1"/>
  <c r="K1431" i="1" a="1"/>
  <c r="K1431" i="1" s="1"/>
  <c r="L1437" i="1" a="1"/>
  <c r="L1437" i="1" s="1"/>
  <c r="K1436" i="1" a="1"/>
  <c r="K1436" i="1" s="1"/>
  <c r="H1420" i="1" a="1"/>
  <c r="H1420" i="1" s="1"/>
  <c r="G1423" i="1" a="1"/>
  <c r="G1423" i="1" s="1"/>
  <c r="J1423" i="1" a="1"/>
  <c r="J1423" i="1" s="1"/>
  <c r="K1422" i="1" a="1"/>
  <c r="K1422" i="1" s="1"/>
  <c r="F1420" i="1" a="1"/>
  <c r="F1420" i="1" s="1"/>
  <c r="G1438" i="1" a="1"/>
  <c r="G1438" i="1" s="1"/>
  <c r="F1421" i="1" a="1"/>
  <c r="F1421" i="1" s="1"/>
  <c r="L1422" i="1" a="1"/>
  <c r="L1422" i="1" s="1"/>
  <c r="J1420" i="1" a="1"/>
  <c r="J1420" i="1" s="1"/>
  <c r="K1419" i="1" a="1"/>
  <c r="K1419" i="1" s="1"/>
  <c r="I1421" i="1" a="1"/>
  <c r="I1421" i="1" s="1"/>
  <c r="F1430" i="1" a="1"/>
  <c r="F1430" i="1" s="1"/>
  <c r="G1420" i="1" a="1"/>
  <c r="G1420" i="1" s="1"/>
  <c r="J1419" i="1" a="1"/>
  <c r="J1419" i="1" s="1"/>
  <c r="I1423" i="1" a="1"/>
  <c r="I1423" i="1" s="1"/>
  <c r="L1419" i="1" a="1"/>
  <c r="L1419" i="1" s="1"/>
  <c r="G1424" i="1" a="1"/>
  <c r="G1424" i="1" s="1"/>
  <c r="L1423" i="1" a="1"/>
  <c r="L1423" i="1" s="1"/>
  <c r="I1431" i="1" a="1"/>
  <c r="I1431" i="1" s="1"/>
  <c r="J1422" i="1" a="1"/>
  <c r="J1422" i="1" s="1"/>
  <c r="K1420" i="1" a="1"/>
  <c r="K1420" i="1" s="1"/>
  <c r="H1438" i="1" a="1"/>
  <c r="H1438" i="1" s="1"/>
  <c r="I1419" i="1" a="1"/>
  <c r="I1419" i="1" s="1"/>
  <c r="H1419" i="1" a="1"/>
  <c r="H1419" i="1" s="1"/>
  <c r="K1417" i="1" a="1"/>
  <c r="K1417" i="1" s="1"/>
  <c r="L1401" i="1" a="1"/>
  <c r="L1401" i="1" s="1"/>
  <c r="L1417" i="1" a="1"/>
  <c r="L1417" i="1" s="1"/>
  <c r="G1419" i="1" a="1"/>
  <c r="G1419" i="1" s="1"/>
  <c r="G1416" i="1" a="1"/>
  <c r="G1416" i="1" s="1"/>
  <c r="G1418" i="1" a="1"/>
  <c r="G1418" i="1" s="1"/>
  <c r="F1418" i="1" a="1"/>
  <c r="F1418" i="1" s="1"/>
  <c r="K1410" i="1" a="1"/>
  <c r="K1410" i="1" s="1"/>
  <c r="L1416" i="1" a="1"/>
  <c r="L1416" i="1" s="1"/>
  <c r="I1408" i="1" a="1"/>
  <c r="I1408" i="1" s="1"/>
  <c r="F1419" i="1" a="1"/>
  <c r="F1419" i="1" s="1"/>
  <c r="F1416" i="1" a="1"/>
  <c r="F1416" i="1" s="1"/>
  <c r="L1407" i="1" a="1"/>
  <c r="L1407" i="1" s="1"/>
  <c r="H1402" i="1" a="1"/>
  <c r="H1402" i="1" s="1"/>
  <c r="J1407" i="1" a="1"/>
  <c r="J1407" i="1" s="1"/>
  <c r="K1407" i="1" a="1"/>
  <c r="K1407" i="1" s="1"/>
  <c r="L1420" i="1" a="1"/>
  <c r="L1420" i="1" s="1"/>
  <c r="F1410" i="1" a="1"/>
  <c r="F1410" i="1" s="1"/>
  <c r="K1424" i="1" a="1"/>
  <c r="K1424" i="1" s="1"/>
  <c r="J1418" i="1" a="1"/>
  <c r="J1418" i="1" s="1"/>
  <c r="K1408" i="1" a="1"/>
  <c r="K1408" i="1" s="1"/>
  <c r="H1421" i="1" a="1"/>
  <c r="H1421" i="1" s="1"/>
  <c r="K1409" i="1" a="1"/>
  <c r="K1409" i="1" s="1"/>
  <c r="K1418" i="1" a="1"/>
  <c r="K1418" i="1" s="1"/>
  <c r="I1417" i="1" a="1"/>
  <c r="I1417" i="1" s="1"/>
  <c r="H1410" i="1" a="1"/>
  <c r="H1410" i="1" s="1"/>
  <c r="H1418" i="1" a="1"/>
  <c r="H1418" i="1" s="1"/>
  <c r="K1416" i="1" a="1"/>
  <c r="K1416" i="1" s="1"/>
  <c r="H1416" i="1" a="1"/>
  <c r="H1416" i="1" s="1"/>
  <c r="J1408" i="1" a="1"/>
  <c r="J1408" i="1" s="1"/>
  <c r="K1401" i="1" a="1"/>
  <c r="K1401" i="1" s="1"/>
  <c r="L1409" i="1" a="1"/>
  <c r="L1409" i="1" s="1"/>
  <c r="H1407" i="1" a="1"/>
  <c r="H1407" i="1" s="1"/>
  <c r="F1402" i="1" a="1"/>
  <c r="F1402" i="1" s="1"/>
  <c r="J1430" i="1" a="1"/>
  <c r="J1430" i="1" s="1"/>
  <c r="I1430" i="1" a="1"/>
  <c r="I1430" i="1" s="1"/>
  <c r="I1424" i="1" a="1"/>
  <c r="I1424" i="1" s="1"/>
  <c r="F1417" i="1" a="1"/>
  <c r="F1417" i="1" s="1"/>
  <c r="I1407" i="1" a="1"/>
  <c r="I1407" i="1" s="1"/>
  <c r="L1418" i="1" a="1"/>
  <c r="L1418" i="1" s="1"/>
  <c r="I1409" i="1" a="1"/>
  <c r="I1409" i="1" s="1"/>
  <c r="K1421" i="1" a="1"/>
  <c r="K1421" i="1" s="1"/>
  <c r="H1430" i="1" a="1"/>
  <c r="H1430" i="1" s="1"/>
  <c r="G1417" i="1" a="1"/>
  <c r="G1417" i="1" s="1"/>
  <c r="F1408" i="1" a="1"/>
  <c r="F1408" i="1" s="1"/>
  <c r="G1401" i="1" a="1"/>
  <c r="G1401" i="1" s="1"/>
  <c r="J1409" i="1" a="1"/>
  <c r="J1409" i="1" s="1"/>
  <c r="I1410" i="1" a="1"/>
  <c r="I1410" i="1" s="1"/>
  <c r="G1410" i="1" a="1"/>
  <c r="G1410" i="1" s="1"/>
  <c r="H1408" i="1" a="1"/>
  <c r="H1408" i="1" s="1"/>
  <c r="H1409" i="1" a="1"/>
  <c r="H1409" i="1" s="1"/>
  <c r="G1408" i="1" a="1"/>
  <c r="G1408" i="1" s="1"/>
  <c r="J1417" i="1" a="1"/>
  <c r="J1417" i="1" s="1"/>
  <c r="L1410" i="1" a="1"/>
  <c r="L1410" i="1" s="1"/>
  <c r="G1409" i="1" a="1"/>
  <c r="G1409" i="1" s="1"/>
  <c r="G1407" i="1" a="1"/>
  <c r="G1407" i="1" s="1"/>
  <c r="I1418" i="1" a="1"/>
  <c r="I1418" i="1" s="1"/>
  <c r="H1417" i="1" a="1"/>
  <c r="H1417" i="1" s="1"/>
  <c r="J1416" i="1" a="1"/>
  <c r="J1416" i="1" s="1"/>
  <c r="I1416" i="1" a="1"/>
  <c r="I1416" i="1" s="1"/>
  <c r="F1409" i="1" a="1"/>
  <c r="F1409" i="1" s="1"/>
  <c r="J1410" i="1" a="1"/>
  <c r="J1410" i="1" s="1"/>
  <c r="L1408" i="1" a="1"/>
  <c r="L1408" i="1" s="1"/>
  <c r="L1405" i="1" a="1"/>
  <c r="L1405" i="1" s="1"/>
  <c r="G1405" i="1" a="1"/>
  <c r="G1405" i="1" s="1"/>
  <c r="H1404" i="1" a="1"/>
  <c r="H1404" i="1" s="1"/>
  <c r="G1372" i="1" a="1"/>
  <c r="G1372" i="1" s="1"/>
  <c r="J1401" i="1" a="1"/>
  <c r="J1401" i="1" s="1"/>
  <c r="J1372" i="1" a="1"/>
  <c r="J1372" i="1" s="1"/>
  <c r="H1374" i="1" a="1"/>
  <c r="H1374" i="1" s="1"/>
  <c r="G1374" i="1" a="1"/>
  <c r="G1374" i="1" s="1"/>
  <c r="L1372" i="1" a="1"/>
  <c r="L1372" i="1" s="1"/>
  <c r="I1373" i="1" a="1"/>
  <c r="I1373" i="1" s="1"/>
  <c r="G1373" i="1" a="1"/>
  <c r="G1373" i="1" s="1"/>
  <c r="F1401" i="1" a="1"/>
  <c r="F1401" i="1" s="1"/>
  <c r="K1405" i="1" a="1"/>
  <c r="K1405" i="1" s="1"/>
  <c r="H1405" i="1" a="1"/>
  <c r="H1405" i="1" s="1"/>
  <c r="J1403" i="1" a="1"/>
  <c r="J1403" i="1" s="1"/>
  <c r="G1402" i="1" a="1"/>
  <c r="G1402" i="1" s="1"/>
  <c r="I1403" i="1" a="1"/>
  <c r="I1403" i="1" s="1"/>
  <c r="J1405" i="1" a="1"/>
  <c r="J1405" i="1" s="1"/>
  <c r="I1401" i="1" a="1"/>
  <c r="I1401" i="1" s="1"/>
  <c r="L1404" i="1" a="1"/>
  <c r="L1404" i="1" s="1"/>
  <c r="I1405" i="1" a="1"/>
  <c r="I1405" i="1" s="1"/>
  <c r="G1403" i="1" a="1"/>
  <c r="G1403" i="1" s="1"/>
  <c r="L1374" i="1" a="1"/>
  <c r="L1374" i="1" s="1"/>
  <c r="H1401" i="1" a="1"/>
  <c r="H1401" i="1" s="1"/>
  <c r="F1405" i="1" a="1"/>
  <c r="F1405" i="1" s="1"/>
  <c r="K1404" i="1" a="1"/>
  <c r="K1404" i="1" s="1"/>
  <c r="I1404" i="1" a="1"/>
  <c r="I1404" i="1" s="1"/>
  <c r="L1403" i="1" a="1"/>
  <c r="L1403" i="1" s="1"/>
  <c r="G1404" i="1" a="1"/>
  <c r="G1404" i="1" s="1"/>
  <c r="F1403" i="1" a="1"/>
  <c r="F1403" i="1" s="1"/>
  <c r="J1374" i="1" a="1"/>
  <c r="J1374" i="1" s="1"/>
  <c r="K1373" i="1" a="1"/>
  <c r="K1373" i="1" s="1"/>
  <c r="L1402" i="1" a="1"/>
  <c r="L1402" i="1" s="1"/>
  <c r="F1374" i="1" a="1"/>
  <c r="F1374" i="1" s="1"/>
  <c r="K1403" i="1" a="1"/>
  <c r="K1403" i="1" s="1"/>
  <c r="J1402" i="1" a="1"/>
  <c r="J1402" i="1" s="1"/>
  <c r="K1402" i="1" a="1"/>
  <c r="K1402" i="1" s="1"/>
  <c r="K1372" i="1" a="1"/>
  <c r="K1372" i="1" s="1"/>
  <c r="H1372" i="1" a="1"/>
  <c r="H1372" i="1" s="1"/>
  <c r="J1404" i="1" a="1"/>
  <c r="J1404" i="1" s="1"/>
  <c r="I1402" i="1" a="1"/>
  <c r="I1402" i="1" s="1"/>
  <c r="L1371" i="1" a="1"/>
  <c r="L1371" i="1" s="1"/>
  <c r="H1403" i="1" a="1"/>
  <c r="H1403" i="1" s="1"/>
  <c r="F1407" i="1" a="1"/>
  <c r="F1407" i="1" s="1"/>
  <c r="F1404" i="1" a="1"/>
  <c r="F1404" i="1" s="1"/>
  <c r="J1941" i="1" a="1"/>
  <c r="J1941" i="1" s="1"/>
  <c r="G1990" i="1" a="1"/>
  <c r="G1990" i="1" s="1"/>
  <c r="K1961" i="1" a="1"/>
  <c r="K1961" i="1" s="1"/>
  <c r="K1941" i="1" a="1"/>
  <c r="K1941" i="1" s="1"/>
  <c r="H1946" i="1" a="1"/>
  <c r="H1946" i="1" s="1"/>
  <c r="I1943" i="1" a="1"/>
  <c r="I1943" i="1" s="1"/>
  <c r="J1938" i="1" a="1"/>
  <c r="J1938" i="1" s="1"/>
  <c r="J1961" i="1" a="1"/>
  <c r="J1961" i="1" s="1"/>
  <c r="I1961" i="1" a="1"/>
  <c r="I1961" i="1" s="1"/>
  <c r="K1942" i="1" a="1"/>
  <c r="K1942" i="1" s="1"/>
  <c r="G1939" i="1" a="1"/>
  <c r="G1939" i="1" s="1"/>
  <c r="L1945" i="1" a="1"/>
  <c r="L1945" i="1" s="1"/>
  <c r="F1939" i="1" a="1"/>
  <c r="F1939" i="1" s="1"/>
  <c r="G1941" i="1" a="1"/>
  <c r="G1941" i="1" s="1"/>
  <c r="I1942" i="1" a="1"/>
  <c r="I1942" i="1" s="1"/>
  <c r="J1940" i="1" a="1"/>
  <c r="J1940" i="1" s="1"/>
  <c r="H1938" i="1" a="1"/>
  <c r="H1938" i="1" s="1"/>
  <c r="J1945" i="1" a="1"/>
  <c r="J1945" i="1" s="1"/>
  <c r="L1961" i="1" a="1"/>
  <c r="L1961" i="1" s="1"/>
  <c r="K1944" i="1" a="1"/>
  <c r="K1944" i="1" s="1"/>
  <c r="L1937" i="1" a="1"/>
  <c r="L1937" i="1" s="1"/>
  <c r="G1945" i="1" a="1"/>
  <c r="G1945" i="1" s="1"/>
  <c r="J1939" i="1" a="1"/>
  <c r="J1939" i="1" s="1"/>
  <c r="H1961" i="1" a="1"/>
  <c r="H1961" i="1" s="1"/>
  <c r="K1939" i="1" a="1"/>
  <c r="K1939" i="1" s="1"/>
  <c r="L1939" i="1" a="1"/>
  <c r="L1939" i="1" s="1"/>
  <c r="I1938" i="1" a="1"/>
  <c r="I1938" i="1" s="1"/>
  <c r="F1944" i="1" a="1"/>
  <c r="F1944" i="1" s="1"/>
  <c r="J1942" i="1" a="1"/>
  <c r="J1942" i="1" s="1"/>
  <c r="F1943" i="1" a="1"/>
  <c r="F1943" i="1" s="1"/>
  <c r="F1945" i="1" a="1"/>
  <c r="F1945" i="1" s="1"/>
  <c r="J1944" i="1" a="1"/>
  <c r="J1944" i="1" s="1"/>
  <c r="K1946" i="1" a="1"/>
  <c r="K1946" i="1" s="1"/>
  <c r="I1941" i="1" a="1"/>
  <c r="I1941" i="1" s="1"/>
  <c r="G1961" i="1" a="1"/>
  <c r="G1961" i="1" s="1"/>
  <c r="H1939" i="1" a="1"/>
  <c r="H1939" i="1" s="1"/>
  <c r="I1944" i="1" a="1"/>
  <c r="I1944" i="1" s="1"/>
  <c r="G1933" i="1" a="1"/>
  <c r="G1933" i="1" s="1"/>
  <c r="H1930" i="1" a="1"/>
  <c r="H1930" i="1" s="1"/>
  <c r="K1935" i="1" a="1"/>
  <c r="K1935" i="1" s="1"/>
  <c r="K1937" i="1" a="1"/>
  <c r="K1937" i="1" s="1"/>
  <c r="F1937" i="1" a="1"/>
  <c r="F1937" i="1" s="1"/>
  <c r="I1931" i="1" a="1"/>
  <c r="I1931" i="1" s="1"/>
  <c r="K1928" i="1" a="1"/>
  <c r="K1928" i="1" s="1"/>
  <c r="F1935" i="1" a="1"/>
  <c r="F1935" i="1" s="1"/>
  <c r="J1935" i="1" a="1"/>
  <c r="J1935" i="1" s="1"/>
  <c r="L1936" i="1" a="1"/>
  <c r="L1936" i="1" s="1"/>
  <c r="H1937" i="1" a="1"/>
  <c r="H1937" i="1" s="1"/>
  <c r="K1933" i="1" a="1"/>
  <c r="K1933" i="1" s="1"/>
  <c r="J1937" i="1" a="1"/>
  <c r="J1937" i="1" s="1"/>
  <c r="I1934" i="1" a="1"/>
  <c r="I1934" i="1" s="1"/>
  <c r="I1933" i="1" a="1"/>
  <c r="I1933" i="1" s="1"/>
  <c r="J1931" i="1" a="1"/>
  <c r="J1931" i="1" s="1"/>
  <c r="G1937" i="1" a="1"/>
  <c r="G1937" i="1" s="1"/>
  <c r="I1937" i="1" a="1"/>
  <c r="I1937" i="1" s="1"/>
  <c r="J1930" i="1" a="1"/>
  <c r="J1930" i="1" s="1"/>
  <c r="I1932" i="1" a="1"/>
  <c r="I1932" i="1" s="1"/>
  <c r="G1935" i="1" a="1"/>
  <c r="G1935" i="1" s="1"/>
  <c r="K1936" i="1" a="1"/>
  <c r="K1936" i="1" s="1"/>
  <c r="J1936" i="1" a="1"/>
  <c r="J1936" i="1" s="1"/>
  <c r="I1936" i="1" a="1"/>
  <c r="I1936" i="1" s="1"/>
  <c r="L1933" i="1" a="1"/>
  <c r="L1933" i="1" s="1"/>
  <c r="L1928" i="1" a="1"/>
  <c r="L1928" i="1" s="1"/>
  <c r="L1931" i="1" a="1"/>
  <c r="L1931" i="1" s="1"/>
  <c r="F1930" i="1" a="1"/>
  <c r="F1930" i="1" s="1"/>
  <c r="F1936" i="1" a="1"/>
  <c r="F1936" i="1" s="1"/>
  <c r="H1932" i="1" a="1"/>
  <c r="H1932" i="1" s="1"/>
  <c r="H1933" i="1" a="1"/>
  <c r="H1933" i="1" s="1"/>
  <c r="I1935" i="1" a="1"/>
  <c r="I1935" i="1" s="1"/>
  <c r="L1935" i="1" a="1"/>
  <c r="L1935" i="1" s="1"/>
  <c r="F1933" i="1" a="1"/>
  <c r="F1933" i="1" s="1"/>
  <c r="J1934" i="1" a="1"/>
  <c r="J1934" i="1" s="1"/>
  <c r="F1932" i="1" a="1"/>
  <c r="F1932" i="1" s="1"/>
  <c r="G1931" i="1" a="1"/>
  <c r="G1931" i="1" s="1"/>
  <c r="F1929" i="1" a="1"/>
  <c r="F1929" i="1" s="1"/>
  <c r="K1930" i="1" a="1"/>
  <c r="K1930" i="1" s="1"/>
  <c r="L1930" i="1" a="1"/>
  <c r="L1930" i="1" s="1"/>
  <c r="K1932" i="1" a="1"/>
  <c r="K1932" i="1" s="1"/>
  <c r="H1934" i="1" a="1"/>
  <c r="H1934" i="1" s="1"/>
  <c r="H1931" i="1" a="1"/>
  <c r="H1931" i="1" s="1"/>
  <c r="J1932" i="1" a="1"/>
  <c r="J1932" i="1" s="1"/>
  <c r="J1929" i="1" a="1"/>
  <c r="J1929" i="1" s="1"/>
  <c r="L1929" i="1" a="1"/>
  <c r="L1929" i="1" s="1"/>
  <c r="I1930" i="1" a="1"/>
  <c r="I1930" i="1" s="1"/>
  <c r="H1936" i="1" a="1"/>
  <c r="H1936" i="1" s="1"/>
  <c r="G1934" i="1" a="1"/>
  <c r="G1934" i="1" s="1"/>
  <c r="K1929" i="1" a="1"/>
  <c r="K1929" i="1" s="1"/>
  <c r="L1932" i="1" a="1"/>
  <c r="L1932" i="1" s="1"/>
  <c r="J1933" i="1" a="1"/>
  <c r="J1933" i="1" s="1"/>
  <c r="H1935" i="1" a="1"/>
  <c r="H1935" i="1" s="1"/>
  <c r="G1929" i="1" a="1"/>
  <c r="G1929" i="1" s="1"/>
  <c r="G1932" i="1" a="1"/>
  <c r="G1932" i="1" s="1"/>
  <c r="H1929" i="1" a="1"/>
  <c r="H1929" i="1" s="1"/>
  <c r="K1934" i="1" a="1"/>
  <c r="K1934" i="1" s="1"/>
  <c r="G1930" i="1" a="1"/>
  <c r="G1930" i="1" s="1"/>
  <c r="F1934" i="1" a="1"/>
  <c r="F1934" i="1" s="1"/>
  <c r="F1931" i="1" a="1"/>
  <c r="F1931" i="1" s="1"/>
  <c r="L1934" i="1" a="1"/>
  <c r="L1934" i="1" s="1"/>
  <c r="G1936" i="1" a="1"/>
  <c r="G1936" i="1" s="1"/>
  <c r="K1931" i="1" a="1"/>
  <c r="K1931" i="1" s="1"/>
  <c r="I1929" i="1" a="1"/>
  <c r="I1929" i="1" s="1"/>
  <c r="I1927" i="1" a="1"/>
  <c r="I1927" i="1" s="1"/>
  <c r="J1920" i="1" a="1"/>
  <c r="J1920" i="1" s="1"/>
  <c r="H1927" i="1" a="1"/>
  <c r="H1927" i="1" s="1"/>
  <c r="K1920" i="1" a="1"/>
  <c r="K1920" i="1" s="1"/>
  <c r="J1919" i="1" a="1"/>
  <c r="J1919" i="1" s="1"/>
  <c r="G1920" i="1" a="1"/>
  <c r="G1920" i="1" s="1"/>
  <c r="F1921" i="1" a="1"/>
  <c r="F1921" i="1" s="1"/>
  <c r="K1926" i="1" a="1"/>
  <c r="K1926" i="1" s="1"/>
  <c r="H1926" i="1" a="1"/>
  <c r="H1926" i="1" s="1"/>
  <c r="F1925" i="1" a="1"/>
  <c r="F1925" i="1" s="1"/>
  <c r="G1923" i="1" a="1"/>
  <c r="G1923" i="1" s="1"/>
  <c r="I1920" i="1" a="1"/>
  <c r="I1920" i="1" s="1"/>
  <c r="J1927" i="1" a="1"/>
  <c r="J1927" i="1" s="1"/>
  <c r="I1924" i="1" a="1"/>
  <c r="I1924" i="1" s="1"/>
  <c r="L1927" i="1" a="1"/>
  <c r="L1927" i="1" s="1"/>
  <c r="F1920" i="1" a="1"/>
  <c r="F1920" i="1" s="1"/>
  <c r="G1926" i="1" a="1"/>
  <c r="G1926" i="1" s="1"/>
  <c r="G1927" i="1" a="1"/>
  <c r="G1927" i="1" s="1"/>
  <c r="H1925" i="1" a="1"/>
  <c r="H1925" i="1" s="1"/>
  <c r="J1925" i="1" a="1"/>
  <c r="J1925" i="1" s="1"/>
  <c r="K1923" i="1" a="1"/>
  <c r="K1923" i="1" s="1"/>
  <c r="L1921" i="1" a="1"/>
  <c r="L1921" i="1" s="1"/>
  <c r="K1919" i="1" a="1"/>
  <c r="K1919" i="1" s="1"/>
  <c r="J1923" i="1" a="1"/>
  <c r="J1923" i="1" s="1"/>
  <c r="I1923" i="1" a="1"/>
  <c r="I1923" i="1" s="1"/>
  <c r="L1924" i="1" a="1"/>
  <c r="L1924" i="1" s="1"/>
  <c r="L1923" i="1" a="1"/>
  <c r="L1923" i="1" s="1"/>
  <c r="H1923" i="1" a="1"/>
  <c r="H1923" i="1" s="1"/>
  <c r="L1925" i="1" a="1"/>
  <c r="L1925" i="1" s="1"/>
  <c r="H1924" i="1" a="1"/>
  <c r="H1924" i="1" s="1"/>
  <c r="J1926" i="1" a="1"/>
  <c r="J1926" i="1" s="1"/>
  <c r="F1926" i="1" a="1"/>
  <c r="F1926" i="1" s="1"/>
  <c r="G1921" i="1" a="1"/>
  <c r="G1921" i="1" s="1"/>
  <c r="K1922" i="1" a="1"/>
  <c r="K1922" i="1" s="1"/>
  <c r="I1921" i="1" a="1"/>
  <c r="I1921" i="1" s="1"/>
  <c r="L1926" i="1" a="1"/>
  <c r="L1926" i="1" s="1"/>
  <c r="J1922" i="1" a="1"/>
  <c r="J1922" i="1" s="1"/>
  <c r="I1926" i="1" a="1"/>
  <c r="I1926" i="1" s="1"/>
  <c r="L1920" i="1" a="1"/>
  <c r="L1920" i="1" s="1"/>
  <c r="I1925" i="1" a="1"/>
  <c r="I1925" i="1" s="1"/>
  <c r="J1921" i="1" a="1"/>
  <c r="J1921" i="1" s="1"/>
  <c r="L1919" i="1" a="1"/>
  <c r="L1919" i="1" s="1"/>
  <c r="G1924" i="1" a="1"/>
  <c r="G1924" i="1" s="1"/>
  <c r="H1922" i="1" a="1"/>
  <c r="H1922" i="1" s="1"/>
  <c r="G1922" i="1" a="1"/>
  <c r="G1922" i="1" s="1"/>
  <c r="L1922" i="1" a="1"/>
  <c r="L1922" i="1" s="1"/>
  <c r="J1928" i="1" a="1"/>
  <c r="J1928" i="1" s="1"/>
  <c r="F1923" i="1" a="1"/>
  <c r="F1923" i="1" s="1"/>
  <c r="K1921" i="1" a="1"/>
  <c r="K1921" i="1" s="1"/>
  <c r="K1925" i="1" a="1"/>
  <c r="K1925" i="1" s="1"/>
  <c r="H1921" i="1" a="1"/>
  <c r="H1921" i="1" s="1"/>
  <c r="F1924" i="1" a="1"/>
  <c r="F1924" i="1" s="1"/>
  <c r="J1924" i="1" a="1"/>
  <c r="J1924" i="1" s="1"/>
  <c r="H1928" i="1" a="1"/>
  <c r="H1928" i="1" s="1"/>
  <c r="G1928" i="1" a="1"/>
  <c r="G1928" i="1" s="1"/>
  <c r="K1924" i="1" a="1"/>
  <c r="K1924" i="1" s="1"/>
  <c r="K1927" i="1" a="1"/>
  <c r="K1927" i="1" s="1"/>
  <c r="F1927" i="1" a="1"/>
  <c r="F1927" i="1" s="1"/>
  <c r="H1920" i="1" a="1"/>
  <c r="H1920" i="1" s="1"/>
  <c r="G1925" i="1" a="1"/>
  <c r="G1925" i="1" s="1"/>
  <c r="I1922" i="1" a="1"/>
  <c r="I1922" i="1" s="1"/>
  <c r="F1928" i="1" a="1"/>
  <c r="F1928" i="1" s="1"/>
  <c r="F1922" i="1" a="1"/>
  <c r="F1922" i="1" s="1"/>
  <c r="I1928" i="1" a="1"/>
  <c r="I1928" i="1" s="1"/>
  <c r="J1910" i="1" a="1"/>
  <c r="J1910" i="1" s="1"/>
  <c r="L1910" i="1" a="1"/>
  <c r="L1910" i="1" s="1"/>
  <c r="F1916" i="1" a="1"/>
  <c r="F1916" i="1" s="1"/>
  <c r="F1913" i="1" a="1"/>
  <c r="F1913" i="1" s="1"/>
  <c r="G1917" i="1" a="1"/>
  <c r="G1917" i="1" s="1"/>
  <c r="J1918" i="1" a="1"/>
  <c r="J1918" i="1" s="1"/>
  <c r="K1918" i="1" a="1"/>
  <c r="K1918" i="1" s="1"/>
  <c r="K1913" i="1" a="1"/>
  <c r="K1913" i="1" s="1"/>
  <c r="I1915" i="1" a="1"/>
  <c r="I1915" i="1" s="1"/>
  <c r="G1911" i="1" a="1"/>
  <c r="G1911" i="1" s="1"/>
  <c r="J1916" i="1" a="1"/>
  <c r="J1916" i="1" s="1"/>
  <c r="K1915" i="1" a="1"/>
  <c r="K1915" i="1" s="1"/>
  <c r="G1919" i="1" a="1"/>
  <c r="G1919" i="1" s="1"/>
  <c r="K1916" i="1" a="1"/>
  <c r="K1916" i="1" s="1"/>
  <c r="I1910" i="1" a="1"/>
  <c r="I1910" i="1" s="1"/>
  <c r="H1919" i="1" a="1"/>
  <c r="H1919" i="1" s="1"/>
  <c r="I1916" i="1" a="1"/>
  <c r="I1916" i="1" s="1"/>
  <c r="J1917" i="1" a="1"/>
  <c r="J1917" i="1" s="1"/>
  <c r="H1917" i="1" a="1"/>
  <c r="H1917" i="1" s="1"/>
  <c r="L1912" i="1" a="1"/>
  <c r="L1912" i="1" s="1"/>
  <c r="J1912" i="1" a="1"/>
  <c r="J1912" i="1" s="1"/>
  <c r="K1914" i="1" a="1"/>
  <c r="K1914" i="1" s="1"/>
  <c r="F1912" i="1" a="1"/>
  <c r="F1912" i="1" s="1"/>
  <c r="F1917" i="1" a="1"/>
  <c r="F1917" i="1" s="1"/>
  <c r="J1913" i="1" a="1"/>
  <c r="J1913" i="1" s="1"/>
  <c r="K1912" i="1" a="1"/>
  <c r="K1912" i="1" s="1"/>
  <c r="H1915" i="1" a="1"/>
  <c r="H1915" i="1" s="1"/>
  <c r="F1915" i="1" a="1"/>
  <c r="F1915" i="1" s="1"/>
  <c r="G1916" i="1" a="1"/>
  <c r="G1916" i="1" s="1"/>
  <c r="I1918" i="1" a="1"/>
  <c r="I1918" i="1" s="1"/>
  <c r="K1911" i="1" a="1"/>
  <c r="K1911" i="1" s="1"/>
  <c r="H1918" i="1" a="1"/>
  <c r="H1918" i="1" s="1"/>
  <c r="J1914" i="1" a="1"/>
  <c r="J1914" i="1" s="1"/>
  <c r="F1911" i="1" a="1"/>
  <c r="F1911" i="1" s="1"/>
  <c r="F1919" i="1" a="1"/>
  <c r="F1919" i="1" s="1"/>
  <c r="G1913" i="1" a="1"/>
  <c r="G1913" i="1" s="1"/>
  <c r="I1911" i="1" a="1"/>
  <c r="I1911" i="1" s="1"/>
  <c r="I1912" i="1" a="1"/>
  <c r="I1912" i="1" s="1"/>
  <c r="L1914" i="1" a="1"/>
  <c r="L1914" i="1" s="1"/>
  <c r="L1911" i="1" a="1"/>
  <c r="L1911" i="1" s="1"/>
  <c r="J1911" i="1" a="1"/>
  <c r="J1911" i="1" s="1"/>
  <c r="H1911" i="1" a="1"/>
  <c r="H1911" i="1" s="1"/>
  <c r="L1917" i="1" a="1"/>
  <c r="L1917" i="1" s="1"/>
  <c r="G1918" i="1" a="1"/>
  <c r="G1918" i="1" s="1"/>
  <c r="F1914" i="1" a="1"/>
  <c r="F1914" i="1" s="1"/>
  <c r="I1919" i="1" a="1"/>
  <c r="I1919" i="1" s="1"/>
  <c r="H1913" i="1" a="1"/>
  <c r="H1913" i="1" s="1"/>
  <c r="I1914" i="1" a="1"/>
  <c r="I1914" i="1" s="1"/>
  <c r="I1913" i="1" a="1"/>
  <c r="I1913" i="1" s="1"/>
  <c r="J1915" i="1" a="1"/>
  <c r="J1915" i="1" s="1"/>
  <c r="L1915" i="1" a="1"/>
  <c r="L1915" i="1" s="1"/>
  <c r="H1916" i="1" a="1"/>
  <c r="H1916" i="1" s="1"/>
  <c r="G1915" i="1" a="1"/>
  <c r="G1915" i="1" s="1"/>
  <c r="I1917" i="1" a="1"/>
  <c r="I1917" i="1" s="1"/>
  <c r="K1910" i="1" a="1"/>
  <c r="K1910" i="1" s="1"/>
  <c r="F1918" i="1" a="1"/>
  <c r="F1918" i="1" s="1"/>
  <c r="L1913" i="1" a="1"/>
  <c r="L1913" i="1" s="1"/>
  <c r="H1914" i="1" a="1"/>
  <c r="H1914" i="1" s="1"/>
  <c r="H1912" i="1" a="1"/>
  <c r="H1912" i="1" s="1"/>
  <c r="G1914" i="1" a="1"/>
  <c r="G1914" i="1" s="1"/>
  <c r="L1918" i="1" a="1"/>
  <c r="L1918" i="1" s="1"/>
  <c r="K1917" i="1" a="1"/>
  <c r="K1917" i="1" s="1"/>
  <c r="G1912" i="1" a="1"/>
  <c r="G1912" i="1" s="1"/>
  <c r="L1916" i="1" a="1"/>
  <c r="L1916" i="1" s="1"/>
  <c r="G1906" i="1" a="1"/>
  <c r="G1906" i="1" s="1"/>
  <c r="G1904" i="1" a="1"/>
  <c r="G1904" i="1" s="1"/>
  <c r="F1905" i="1" a="1"/>
  <c r="F1905" i="1" s="1"/>
  <c r="K1906" i="1" a="1"/>
  <c r="K1906" i="1" s="1"/>
  <c r="G1909" i="1" a="1"/>
  <c r="G1909" i="1" s="1"/>
  <c r="J1908" i="1" a="1"/>
  <c r="J1908" i="1" s="1"/>
  <c r="J1907" i="1" a="1"/>
  <c r="J1907" i="1" s="1"/>
  <c r="K1907" i="1" a="1"/>
  <c r="K1907" i="1" s="1"/>
  <c r="L1905" i="1" a="1"/>
  <c r="L1905" i="1" s="1"/>
  <c r="H1906" i="1" a="1"/>
  <c r="H1906" i="1" s="1"/>
  <c r="H1908" i="1" a="1"/>
  <c r="H1908" i="1" s="1"/>
  <c r="I1907" i="1" a="1"/>
  <c r="I1907" i="1" s="1"/>
  <c r="H1905" i="1" a="1"/>
  <c r="H1905" i="1" s="1"/>
  <c r="H1904" i="1" a="1"/>
  <c r="H1904" i="1" s="1"/>
  <c r="K1909" i="1" a="1"/>
  <c r="K1909" i="1" s="1"/>
  <c r="F1907" i="1" a="1"/>
  <c r="F1907" i="1" s="1"/>
  <c r="L1906" i="1" a="1"/>
  <c r="L1906" i="1" s="1"/>
  <c r="K1908" i="1" a="1"/>
  <c r="K1908" i="1" s="1"/>
  <c r="L1908" i="1" a="1"/>
  <c r="L1908" i="1" s="1"/>
  <c r="G1907" i="1" a="1"/>
  <c r="G1907" i="1" s="1"/>
  <c r="I1904" i="1" a="1"/>
  <c r="I1904" i="1" s="1"/>
  <c r="J1906" i="1" a="1"/>
  <c r="J1906" i="1" s="1"/>
  <c r="I1908" i="1" a="1"/>
  <c r="I1908" i="1" s="1"/>
  <c r="H1910" i="1" a="1"/>
  <c r="H1910" i="1" s="1"/>
  <c r="J1904" i="1" a="1"/>
  <c r="J1904" i="1" s="1"/>
  <c r="F1908" i="1" a="1"/>
  <c r="F1908" i="1" s="1"/>
  <c r="I1905" i="1" a="1"/>
  <c r="I1905" i="1" s="1"/>
  <c r="F1904" i="1" a="1"/>
  <c r="F1904" i="1" s="1"/>
  <c r="F1909" i="1" a="1"/>
  <c r="F1909" i="1" s="1"/>
  <c r="L1907" i="1" a="1"/>
  <c r="L1907" i="1" s="1"/>
  <c r="I1906" i="1" a="1"/>
  <c r="I1906" i="1" s="1"/>
  <c r="H1909" i="1" a="1"/>
  <c r="H1909" i="1" s="1"/>
  <c r="F1572" i="1" a="1"/>
  <c r="F1572" i="1" s="1"/>
  <c r="I1578" i="1" a="1"/>
  <c r="I1578" i="1" s="1"/>
  <c r="L1904" i="1" a="1"/>
  <c r="L1904" i="1" s="1"/>
  <c r="H1579" i="1" a="1"/>
  <c r="H1579" i="1" s="1"/>
  <c r="K1576" i="1" a="1"/>
  <c r="K1576" i="1" s="1"/>
  <c r="I1909" i="1" a="1"/>
  <c r="I1909" i="1" s="1"/>
  <c r="L1581" i="1" a="1"/>
  <c r="L1581" i="1" s="1"/>
  <c r="G1578" i="1" a="1"/>
  <c r="G1578" i="1" s="1"/>
  <c r="H1576" i="1" a="1"/>
  <c r="H1576" i="1" s="1"/>
  <c r="G1910" i="1" a="1"/>
  <c r="G1910" i="1" s="1"/>
  <c r="H1907" i="1" a="1"/>
  <c r="H1907" i="1" s="1"/>
  <c r="K1581" i="1" a="1"/>
  <c r="K1581" i="1" s="1"/>
  <c r="J1576" i="1" a="1"/>
  <c r="J1576" i="1" s="1"/>
  <c r="K1905" i="1" a="1"/>
  <c r="K1905" i="1" s="1"/>
  <c r="G1577" i="1" a="1"/>
  <c r="G1577" i="1" s="1"/>
  <c r="K1572" i="1" a="1"/>
  <c r="K1572" i="1" s="1"/>
  <c r="F1575" i="1" a="1"/>
  <c r="F1575" i="1" s="1"/>
  <c r="J1909" i="1" a="1"/>
  <c r="J1909" i="1" s="1"/>
  <c r="K1577" i="1" a="1"/>
  <c r="K1577" i="1" s="1"/>
  <c r="L1909" i="1" a="1"/>
  <c r="L1909" i="1" s="1"/>
  <c r="K1904" i="1" a="1"/>
  <c r="K1904" i="1" s="1"/>
  <c r="G1908" i="1" a="1"/>
  <c r="G1908" i="1" s="1"/>
  <c r="F1910" i="1" a="1"/>
  <c r="F1910" i="1" s="1"/>
  <c r="G1905" i="1" a="1"/>
  <c r="G1905" i="1" s="1"/>
  <c r="J1905" i="1" a="1"/>
  <c r="J1905" i="1" s="1"/>
  <c r="H1577" i="1" a="1"/>
  <c r="H1577" i="1" s="1"/>
  <c r="L1575" i="1" a="1"/>
  <c r="L1575" i="1" s="1"/>
  <c r="F1906" i="1" a="1"/>
  <c r="F1906" i="1" s="1"/>
  <c r="J1581" i="1" a="1"/>
  <c r="J1581" i="1" s="1"/>
  <c r="G1572" i="1" a="1"/>
  <c r="G1572" i="1" s="1"/>
  <c r="K1575" i="1" a="1"/>
  <c r="K1575" i="1" s="1"/>
  <c r="J1577" i="1" a="1"/>
  <c r="J1577" i="1" s="1"/>
  <c r="H1572" i="1" a="1"/>
  <c r="H1572" i="1" s="1"/>
  <c r="K1580" i="1" a="1"/>
  <c r="K1580" i="1" s="1"/>
  <c r="F1579" i="1" a="1"/>
  <c r="F1579" i="1" s="1"/>
  <c r="G1579" i="1" a="1"/>
  <c r="G1579" i="1" s="1"/>
  <c r="J1579" i="1" a="1"/>
  <c r="J1579" i="1" s="1"/>
  <c r="H1581" i="1" a="1"/>
  <c r="H1581" i="1" s="1"/>
  <c r="H1580" i="1" a="1"/>
  <c r="H1580" i="1" s="1"/>
  <c r="G1574" i="1" a="1"/>
  <c r="G1574" i="1" s="1"/>
  <c r="L1576" i="1" a="1"/>
  <c r="L1576" i="1" s="1"/>
  <c r="J1574" i="1" a="1"/>
  <c r="J1574" i="1" s="1"/>
  <c r="K1579" i="1" a="1"/>
  <c r="K1579" i="1" s="1"/>
  <c r="G1581" i="1" a="1"/>
  <c r="G1581" i="1" s="1"/>
  <c r="F1578" i="1" a="1"/>
  <c r="F1578" i="1" s="1"/>
  <c r="L1579" i="1" a="1"/>
  <c r="L1579" i="1" s="1"/>
  <c r="F1581" i="1" a="1"/>
  <c r="F1581" i="1" s="1"/>
  <c r="I1581" i="1" a="1"/>
  <c r="I1581" i="1" s="1"/>
  <c r="H1574" i="1" a="1"/>
  <c r="H1574" i="1" s="1"/>
  <c r="F1576" i="1" a="1"/>
  <c r="F1576" i="1" s="1"/>
  <c r="H1578" i="1" a="1"/>
  <c r="H1578" i="1" s="1"/>
  <c r="J1578" i="1" a="1"/>
  <c r="J1578" i="1" s="1"/>
  <c r="K1578" i="1" a="1"/>
  <c r="K1578" i="1" s="1"/>
  <c r="F1577" i="1" a="1"/>
  <c r="F1577" i="1" s="1"/>
  <c r="L1574" i="1" a="1"/>
  <c r="L1574" i="1" s="1"/>
  <c r="F1580" i="1" a="1"/>
  <c r="F1580" i="1" s="1"/>
  <c r="I1577" i="1" a="1"/>
  <c r="I1577" i="1" s="1"/>
  <c r="K1574" i="1" a="1"/>
  <c r="K1574" i="1" s="1"/>
  <c r="I1572" i="1" a="1"/>
  <c r="I1572" i="1" s="1"/>
  <c r="G1575" i="1" a="1"/>
  <c r="G1575" i="1" s="1"/>
  <c r="J1572" i="1" a="1"/>
  <c r="J1572" i="1" s="1"/>
  <c r="L1578" i="1" a="1"/>
  <c r="L1578" i="1" s="1"/>
  <c r="L1572" i="1" a="1"/>
  <c r="L1572" i="1" s="1"/>
  <c r="F1574" i="1" a="1"/>
  <c r="F1574" i="1" s="1"/>
  <c r="I1575" i="1" a="1"/>
  <c r="I1575" i="1" s="1"/>
  <c r="I1574" i="1" a="1"/>
  <c r="I1574" i="1" s="1"/>
  <c r="G1580" i="1" a="1"/>
  <c r="G1580" i="1" s="1"/>
  <c r="I1579" i="1" a="1"/>
  <c r="I1579" i="1" s="1"/>
  <c r="L1580" i="1" a="1"/>
  <c r="L1580" i="1" s="1"/>
  <c r="G1564" i="1" a="1"/>
  <c r="G1564" i="1" s="1"/>
  <c r="J1558" i="1" a="1"/>
  <c r="J1558" i="1" s="1"/>
  <c r="L1577" i="1" a="1"/>
  <c r="L1577" i="1" s="1"/>
  <c r="I1566" i="1" a="1"/>
  <c r="I1566" i="1" s="1"/>
  <c r="J1566" i="1" a="1"/>
  <c r="J1566" i="1" s="1"/>
  <c r="J1564" i="1" a="1"/>
  <c r="J1564" i="1" s="1"/>
  <c r="F1565" i="1" a="1"/>
  <c r="F1565" i="1" s="1"/>
  <c r="K1564" i="1" a="1"/>
  <c r="K1564" i="1" s="1"/>
  <c r="H1575" i="1" a="1"/>
  <c r="H1575" i="1" s="1"/>
  <c r="L1566" i="1" a="1"/>
  <c r="L1566" i="1" s="1"/>
  <c r="J1557" i="1" a="1"/>
  <c r="J1557" i="1" s="1"/>
  <c r="H1557" i="1" a="1"/>
  <c r="H1557" i="1" s="1"/>
  <c r="G1576" i="1" a="1"/>
  <c r="G1576" i="1" s="1"/>
  <c r="J1565" i="1" a="1"/>
  <c r="J1565" i="1" s="1"/>
  <c r="I1576" i="1" a="1"/>
  <c r="I1576" i="1" s="1"/>
  <c r="J1580" i="1" a="1"/>
  <c r="J1580" i="1" s="1"/>
  <c r="I1564" i="1" a="1"/>
  <c r="I1564" i="1" s="1"/>
  <c r="I1580" i="1" a="1"/>
  <c r="I1580" i="1" s="1"/>
  <c r="G1558" i="1" a="1"/>
  <c r="G1558" i="1" s="1"/>
  <c r="H1564" i="1" a="1"/>
  <c r="H1564" i="1" s="1"/>
  <c r="H1558" i="1" a="1"/>
  <c r="H1558" i="1" s="1"/>
  <c r="L1558" i="1" a="1"/>
  <c r="L1558" i="1" s="1"/>
  <c r="H1565" i="1" a="1"/>
  <c r="H1565" i="1" s="1"/>
  <c r="F1558" i="1" a="1"/>
  <c r="F1558" i="1" s="1"/>
  <c r="H1566" i="1" a="1"/>
  <c r="H1566" i="1" s="1"/>
  <c r="J1575" i="1" a="1"/>
  <c r="J1575" i="1" s="1"/>
  <c r="L1565" i="1" a="1"/>
  <c r="L1565" i="1" s="1"/>
  <c r="K1549" i="1" a="1"/>
  <c r="K1549" i="1" s="1"/>
  <c r="F1557" i="1" a="1"/>
  <c r="F1557" i="1" s="1"/>
  <c r="L1564" i="1" a="1"/>
  <c r="L1564" i="1" s="1"/>
  <c r="F1551" i="1" a="1"/>
  <c r="F1551" i="1" s="1"/>
  <c r="G1566" i="1" a="1"/>
  <c r="G1566" i="1" s="1"/>
  <c r="I1558" i="1" a="1"/>
  <c r="I1558" i="1" s="1"/>
  <c r="G1549" i="1" a="1"/>
  <c r="G1549" i="1" s="1"/>
  <c r="G1565" i="1" a="1"/>
  <c r="G1565" i="1" s="1"/>
  <c r="K1551" i="1" a="1"/>
  <c r="K1551" i="1" s="1"/>
  <c r="I1557" i="1" a="1"/>
  <c r="I1557" i="1" s="1"/>
  <c r="K1558" i="1" a="1"/>
  <c r="K1558" i="1" s="1"/>
  <c r="K1565" i="1" a="1"/>
  <c r="K1565" i="1" s="1"/>
  <c r="K1566" i="1" a="1"/>
  <c r="K1566" i="1" s="1"/>
  <c r="I1549" i="1" a="1"/>
  <c r="I1549" i="1" s="1"/>
  <c r="L1557" i="1" a="1"/>
  <c r="L1557" i="1" s="1"/>
  <c r="H1549" i="1" a="1"/>
  <c r="H1549" i="1" s="1"/>
  <c r="K1548" i="1" a="1"/>
  <c r="K1548" i="1" s="1"/>
  <c r="G1551" i="1" a="1"/>
  <c r="G1551" i="1" s="1"/>
  <c r="L1549" i="1" a="1"/>
  <c r="L1549" i="1" s="1"/>
  <c r="G1557" i="1" a="1"/>
  <c r="G1557" i="1" s="1"/>
  <c r="H1548" i="1" a="1"/>
  <c r="H1548" i="1" s="1"/>
  <c r="F1566" i="1" a="1"/>
  <c r="F1566" i="1" s="1"/>
  <c r="J1548" i="1" a="1"/>
  <c r="J1548" i="1" s="1"/>
  <c r="I1531" i="1" a="1"/>
  <c r="I1531" i="1" s="1"/>
  <c r="K1557" i="1" a="1"/>
  <c r="K1557" i="1" s="1"/>
  <c r="K1531" i="1" a="1"/>
  <c r="K1531" i="1" s="1"/>
  <c r="F1564" i="1" a="1"/>
  <c r="F1564" i="1" s="1"/>
  <c r="F1549" i="1" a="1"/>
  <c r="F1549" i="1" s="1"/>
  <c r="L1548" i="1" a="1"/>
  <c r="L1548" i="1" s="1"/>
  <c r="J1531" i="1" a="1"/>
  <c r="J1531" i="1" s="1"/>
  <c r="L1551" i="1" a="1"/>
  <c r="L1551" i="1" s="1"/>
  <c r="I1565" i="1" a="1"/>
  <c r="I1565" i="1" s="1"/>
  <c r="J1523" i="1" a="1"/>
  <c r="J1523" i="1" s="1"/>
  <c r="I1526" i="1" a="1"/>
  <c r="I1526" i="1" s="1"/>
  <c r="F1526" i="1" a="1"/>
  <c r="F1526" i="1" s="1"/>
  <c r="F1531" i="1" a="1"/>
  <c r="F1531" i="1" s="1"/>
  <c r="F1548" i="1" a="1"/>
  <c r="F1548" i="1" s="1"/>
  <c r="G1548" i="1" a="1"/>
  <c r="G1548" i="1" s="1"/>
  <c r="F1527" i="1" a="1"/>
  <c r="F1527" i="1" s="1"/>
  <c r="J1551" i="1" a="1"/>
  <c r="J1551" i="1" s="1"/>
  <c r="I1551" i="1" a="1"/>
  <c r="I1551" i="1" s="1"/>
  <c r="K1524" i="1" a="1"/>
  <c r="K1524" i="1" s="1"/>
  <c r="L1531" i="1" a="1"/>
  <c r="L1531" i="1" s="1"/>
  <c r="J1526" i="1" a="1"/>
  <c r="J1526" i="1" s="1"/>
  <c r="G1527" i="1" a="1"/>
  <c r="G1527" i="1" s="1"/>
  <c r="L1525" i="1" a="1"/>
  <c r="L1525" i="1" s="1"/>
  <c r="I1528" i="1" a="1"/>
  <c r="I1528" i="1" s="1"/>
  <c r="J1549" i="1" a="1"/>
  <c r="J1549" i="1" s="1"/>
  <c r="H1531" i="1" a="1"/>
  <c r="H1531" i="1" s="1"/>
  <c r="I1548" i="1" a="1"/>
  <c r="I1548" i="1" s="1"/>
  <c r="L1529" i="1" a="1"/>
  <c r="L1529" i="1" s="1"/>
  <c r="K1522" i="1" a="1"/>
  <c r="K1522" i="1" s="1"/>
  <c r="J1527" i="1" a="1"/>
  <c r="J1527" i="1" s="1"/>
  <c r="K1523" i="1" a="1"/>
  <c r="K1523" i="1" s="1"/>
  <c r="I1522" i="1" a="1"/>
  <c r="I1522" i="1"/>
  <c r="L1523" i="1" a="1"/>
  <c r="L1523" i="1" s="1"/>
  <c r="H1551" i="1" a="1"/>
  <c r="H1551" i="1" s="1"/>
  <c r="F1525" i="1" a="1"/>
  <c r="F1525" i="1" s="1"/>
  <c r="G1528" i="1" a="1"/>
  <c r="G1528" i="1" s="1"/>
  <c r="L1522" i="1" a="1"/>
  <c r="L1522" i="1" s="1"/>
  <c r="G1531" i="1" a="1"/>
  <c r="G1531" i="1" s="1"/>
  <c r="G1526" i="1" a="1"/>
  <c r="G1526" i="1" s="1"/>
  <c r="F1528" i="1" a="1"/>
  <c r="F1528" i="1" s="1"/>
  <c r="H1527" i="1" a="1"/>
  <c r="H1527" i="1" s="1"/>
  <c r="I1524" i="1" a="1"/>
  <c r="I1524" i="1" s="1"/>
  <c r="F1524" i="1" a="1"/>
  <c r="F1524" i="1" s="1"/>
  <c r="G1530" i="1" a="1"/>
  <c r="G1530" i="1" s="1"/>
  <c r="F1522" i="1" a="1"/>
  <c r="F1522" i="1" s="1"/>
  <c r="J1525" i="1" a="1"/>
  <c r="J1525" i="1" s="1"/>
  <c r="H1524" i="1" a="1"/>
  <c r="H1524" i="1" s="1"/>
  <c r="K1526" i="1" a="1"/>
  <c r="K1526" i="1" s="1"/>
  <c r="H1525" i="1" a="1"/>
  <c r="H1525" i="1" s="1"/>
  <c r="J1524" i="1" a="1"/>
  <c r="J1524" i="1" s="1"/>
  <c r="L1521" i="1" a="1"/>
  <c r="L1521" i="1" s="1"/>
  <c r="G1523" i="1" a="1"/>
  <c r="G1523" i="1" s="1"/>
  <c r="L1528" i="1" a="1"/>
  <c r="L1528" i="1" s="1"/>
  <c r="L1527" i="1" a="1"/>
  <c r="L1527" i="1" s="1"/>
  <c r="I1529" i="1" a="1"/>
  <c r="I1529" i="1" s="1"/>
  <c r="J1529" i="1" a="1"/>
  <c r="J1529" i="1" s="1"/>
  <c r="G1525" i="1" a="1"/>
  <c r="G1525" i="1" s="1"/>
  <c r="H1530" i="1" a="1"/>
  <c r="H1530" i="1" s="1"/>
  <c r="G1524" i="1" a="1"/>
  <c r="G1524" i="1" s="1"/>
  <c r="I1525" i="1" a="1"/>
  <c r="I1525" i="1" s="1"/>
  <c r="K1527" i="1" a="1"/>
  <c r="K1527" i="1" s="1"/>
  <c r="I1530" i="1" a="1"/>
  <c r="I1530" i="1" s="1"/>
  <c r="F1530" i="1" a="1"/>
  <c r="F1530" i="1" s="1"/>
  <c r="J1530" i="1" a="1"/>
  <c r="J1530" i="1" s="1"/>
  <c r="H1522" i="1" a="1"/>
  <c r="H1522" i="1" s="1"/>
  <c r="K1530" i="1" a="1"/>
  <c r="K1530" i="1" s="1"/>
  <c r="F1529" i="1" a="1"/>
  <c r="F1529" i="1" s="1"/>
  <c r="H1526" i="1" a="1"/>
  <c r="H1526" i="1" s="1"/>
  <c r="I1523" i="1" a="1"/>
  <c r="I1523" i="1" s="1"/>
  <c r="K1529" i="1" a="1"/>
  <c r="K1529" i="1" s="1"/>
  <c r="L1530" i="1" a="1"/>
  <c r="L1530" i="1" s="1"/>
  <c r="H1523" i="1" a="1"/>
  <c r="H1523" i="1" s="1"/>
  <c r="G1522" i="1" a="1"/>
  <c r="G1522" i="1" s="1"/>
  <c r="J1528" i="1" a="1"/>
  <c r="J1528" i="1" s="1"/>
  <c r="I1516" i="1" a="1"/>
  <c r="I1516" i="1" s="1"/>
  <c r="I1514" i="1" a="1"/>
  <c r="I1514" i="1" s="1"/>
  <c r="J1521" i="1" a="1"/>
  <c r="J1521" i="1" s="1"/>
  <c r="G1516" i="1" a="1"/>
  <c r="G1516" i="1" s="1"/>
  <c r="H1521" i="1" a="1"/>
  <c r="H1521" i="1" s="1"/>
  <c r="I1527" i="1" a="1"/>
  <c r="I1527" i="1" s="1"/>
  <c r="F1523" i="1" a="1"/>
  <c r="F1523" i="1" s="1"/>
  <c r="G1517" i="1" a="1"/>
  <c r="G1517" i="1" s="1"/>
  <c r="H1528" i="1" a="1"/>
  <c r="H1528" i="1" s="1"/>
  <c r="L1526" i="1" a="1"/>
  <c r="L1526" i="1" s="1"/>
  <c r="J1516" i="1" a="1"/>
  <c r="J1516" i="1" s="1"/>
  <c r="K1525" i="1" a="1"/>
  <c r="K1525" i="1" s="1"/>
  <c r="L1524" i="1" a="1"/>
  <c r="L1524" i="1" s="1"/>
  <c r="G1529" i="1" a="1"/>
  <c r="G1529" i="1" s="1"/>
  <c r="J1522" i="1" a="1"/>
  <c r="J1522" i="1" s="1"/>
  <c r="K1528" i="1" a="1"/>
  <c r="K1528" i="1" s="1"/>
  <c r="L1513" i="1" a="1"/>
  <c r="L1513" i="1" s="1"/>
  <c r="J1517" i="1" a="1"/>
  <c r="J1517" i="1" s="1"/>
  <c r="K1521" i="1" a="1"/>
  <c r="K1521" i="1" s="1"/>
  <c r="H1513" i="1" a="1"/>
  <c r="H1513" i="1" s="1"/>
  <c r="K1520" i="1" a="1"/>
  <c r="K1520" i="1" s="1"/>
  <c r="I1521" i="1" a="1"/>
  <c r="I1521" i="1" s="1"/>
  <c r="G1520" i="1" a="1"/>
  <c r="G1520" i="1" s="1"/>
  <c r="G1521" i="1" a="1"/>
  <c r="G1521" i="1" s="1"/>
  <c r="L1515" i="1" a="1"/>
  <c r="L1515" i="1" s="1"/>
  <c r="I1513" i="1" a="1"/>
  <c r="I1513" i="1" s="1"/>
  <c r="K1516" i="1" a="1"/>
  <c r="K1516" i="1" s="1"/>
  <c r="F1520" i="1" a="1"/>
  <c r="F1520" i="1" s="1"/>
  <c r="F1521" i="1" a="1"/>
  <c r="F1521" i="1" s="1"/>
  <c r="I1515" i="1" a="1"/>
  <c r="I1515" i="1" s="1"/>
  <c r="H1529" i="1" a="1"/>
  <c r="H1529" i="1" s="1"/>
  <c r="F1515" i="1" a="1"/>
  <c r="F1515" i="1" s="1"/>
  <c r="F1516" i="1" a="1"/>
  <c r="F1516" i="1" s="1"/>
  <c r="H1517" i="1" a="1"/>
  <c r="H1517" i="1" s="1"/>
  <c r="J1513" i="1" a="1"/>
  <c r="J1513" i="1" s="1"/>
  <c r="F1519" i="1" a="1"/>
  <c r="F1519" i="1" s="1"/>
  <c r="L1514" i="1" a="1"/>
  <c r="L1514" i="1" s="1"/>
  <c r="L1520" i="1" a="1"/>
  <c r="L1520" i="1" s="1"/>
  <c r="H1514" i="1" a="1"/>
  <c r="H1514" i="1" s="1"/>
  <c r="J1515" i="1" a="1"/>
  <c r="J1515" i="1" s="1"/>
  <c r="F1513" i="1" a="1"/>
  <c r="F1513" i="1" s="1"/>
  <c r="G1514" i="1" a="1"/>
  <c r="G1514" i="1" s="1"/>
  <c r="J1514" i="1" a="1"/>
  <c r="J1514" i="1" s="1"/>
  <c r="G1513" i="1" a="1"/>
  <c r="G1513" i="1" s="1"/>
  <c r="H1520" i="1" a="1"/>
  <c r="H1520" i="1" s="1"/>
  <c r="F1514" i="1" a="1"/>
  <c r="F1514" i="1" s="1"/>
  <c r="K1517" i="1" a="1"/>
  <c r="K1517" i="1" s="1"/>
  <c r="I1517" i="1" a="1"/>
  <c r="I1517" i="1" s="1"/>
  <c r="K1514" i="1" a="1"/>
  <c r="K1514" i="1" s="1"/>
  <c r="K1513" i="1" a="1"/>
  <c r="K1513" i="1" s="1"/>
  <c r="G1519" i="1" a="1"/>
  <c r="G1519" i="1" s="1"/>
  <c r="H1516" i="1" a="1"/>
  <c r="H1516" i="1" s="1"/>
  <c r="F1517" i="1" a="1"/>
  <c r="F1517" i="1" s="1"/>
  <c r="I1520" i="1" a="1"/>
  <c r="I1520" i="1" s="1"/>
  <c r="H1515" i="1" a="1"/>
  <c r="H1515" i="1" s="1"/>
  <c r="L1516" i="1" a="1"/>
  <c r="L1516" i="1" s="1"/>
  <c r="G1515" i="1" a="1"/>
  <c r="G1515" i="1" s="1"/>
  <c r="K1515" i="1" a="1"/>
  <c r="K1515" i="1" s="1"/>
  <c r="J1519" i="1" a="1"/>
  <c r="J1519" i="1" s="1"/>
  <c r="J1520" i="1" a="1"/>
  <c r="J1520" i="1" s="1"/>
  <c r="I1519" i="1" a="1"/>
  <c r="I1519" i="1" s="1"/>
  <c r="H1519" i="1" a="1"/>
  <c r="H1519" i="1" s="1"/>
  <c r="F1505" i="1" a="1"/>
  <c r="F1505" i="1" s="1"/>
  <c r="G1359" i="1" a="1"/>
  <c r="G1359" i="1" s="1"/>
  <c r="I1355" i="1" a="1"/>
  <c r="I1355" i="1" s="1"/>
  <c r="K1357" i="1" a="1"/>
  <c r="K1357" i="1" s="1"/>
  <c r="H1354" i="1" a="1"/>
  <c r="H1354" i="1" s="1"/>
  <c r="K1360" i="1" a="1"/>
  <c r="K1360" i="1" s="1"/>
  <c r="H1355" i="1" a="1"/>
  <c r="H1355" i="1" s="1"/>
  <c r="H1360" i="1" a="1"/>
  <c r="H1360" i="1" s="1"/>
  <c r="L1356" i="1" a="1"/>
  <c r="L1356" i="1" s="1"/>
  <c r="F1360" i="1" a="1"/>
  <c r="F1360" i="1" s="1"/>
  <c r="H1362" i="1" a="1"/>
  <c r="H1362" i="1" s="1"/>
  <c r="G1358" i="1" a="1"/>
  <c r="G1358" i="1" s="1"/>
  <c r="L1354" i="1" a="1"/>
  <c r="L1354" i="1" s="1"/>
  <c r="I1353" i="1" a="1"/>
  <c r="I1353" i="1" s="1"/>
  <c r="L1360" i="1" a="1"/>
  <c r="L1360" i="1" s="1"/>
  <c r="L1355" i="1" a="1"/>
  <c r="L1355" i="1" s="1"/>
  <c r="K1355" i="1" a="1"/>
  <c r="K1355" i="1" s="1"/>
  <c r="H1357" i="1" a="1"/>
  <c r="H1357" i="1" s="1"/>
  <c r="L1359" i="1" a="1"/>
  <c r="L1359" i="1" s="1"/>
  <c r="I1362" i="1" a="1"/>
  <c r="I1362" i="1" s="1"/>
  <c r="J1358" i="1" a="1"/>
  <c r="J1358" i="1" s="1"/>
  <c r="F1357" i="1" a="1"/>
  <c r="F1357" i="1" s="1"/>
  <c r="F1355" i="1" a="1"/>
  <c r="F1355" i="1" s="1"/>
  <c r="H1364" i="1" a="1"/>
  <c r="H1364" i="1" s="1"/>
  <c r="G1370" i="1" a="1"/>
  <c r="G1370" i="1" s="1"/>
  <c r="G1371" i="1" a="1"/>
  <c r="G1371" i="1" s="1"/>
  <c r="I1371" i="1" a="1"/>
  <c r="I1371" i="1" s="1"/>
  <c r="L1519" i="1" a="1"/>
  <c r="L1519" i="1" s="1"/>
  <c r="I1374" i="1" a="1"/>
  <c r="I1374" i="1" s="1"/>
  <c r="J1371" i="1" a="1"/>
  <c r="J1371" i="1" s="1"/>
  <c r="L1370" i="1" a="1"/>
  <c r="L1370" i="1" s="1"/>
  <c r="L1373" i="1" a="1"/>
  <c r="L1373" i="1" s="1"/>
  <c r="I1372" i="1" a="1"/>
  <c r="I1372" i="1" s="1"/>
  <c r="L1364" i="1" a="1"/>
  <c r="L1364" i="1" s="1"/>
  <c r="F1366" i="1" a="1"/>
  <c r="F1366" i="1" s="1"/>
  <c r="L1363" i="1" a="1"/>
  <c r="L1363" i="1" s="1"/>
  <c r="F1370" i="1" a="1"/>
  <c r="F1370" i="1" s="1"/>
  <c r="F1371" i="1" a="1"/>
  <c r="F1371" i="1" s="1"/>
  <c r="H1365" i="1" a="1"/>
  <c r="H1365" i="1" s="1"/>
  <c r="H1368" i="1" a="1"/>
  <c r="H1368" i="1" s="1"/>
  <c r="J1366" i="1" a="1"/>
  <c r="J1366" i="1" s="1"/>
  <c r="I1368" i="1" a="1"/>
  <c r="I1368" i="1" s="1"/>
  <c r="G1367" i="1" a="1"/>
  <c r="G1367" i="1" s="1"/>
  <c r="F1373" i="1" a="1"/>
  <c r="F1373" i="1" s="1"/>
  <c r="H1367" i="1" a="1"/>
  <c r="H1367" i="1" s="1"/>
  <c r="F1363" i="1" a="1"/>
  <c r="F1363" i="1" s="1"/>
  <c r="L1362" i="1" a="1"/>
  <c r="L1362" i="1" s="1"/>
  <c r="F1372" i="1" a="1"/>
  <c r="F1372" i="1" s="1"/>
  <c r="K1367" i="1" a="1"/>
  <c r="K1367" i="1" s="1"/>
  <c r="K1371" i="1" a="1"/>
  <c r="K1371" i="1" s="1"/>
  <c r="F1369" i="1" a="1"/>
  <c r="F1369" i="1" s="1"/>
  <c r="L1368" i="1" a="1"/>
  <c r="L1368" i="1" s="1"/>
  <c r="H1371" i="1" a="1"/>
  <c r="H1371" i="1" s="1"/>
  <c r="G1365" i="1" a="1"/>
  <c r="G1365" i="1" s="1"/>
  <c r="H1370" i="1" a="1"/>
  <c r="H1370" i="1" s="1"/>
  <c r="G1369" i="1" a="1"/>
  <c r="G1369" i="1" s="1"/>
  <c r="I1370" i="1" a="1"/>
  <c r="I1370" i="1" s="1"/>
  <c r="J1364" i="1" a="1"/>
  <c r="J1364" i="1" s="1"/>
  <c r="K1370" i="1" a="1"/>
  <c r="K1370" i="1" s="1"/>
  <c r="G1368" i="1" a="1"/>
  <c r="G1368" i="1" s="1"/>
  <c r="F1367" i="1" a="1"/>
  <c r="F1367" i="1" s="1"/>
  <c r="K1362" i="1" a="1"/>
  <c r="K1362" i="1" s="1"/>
  <c r="F1365" i="1" a="1"/>
  <c r="F1365" i="1" s="1"/>
  <c r="J1368" i="1" a="1"/>
  <c r="J1368" i="1" s="1"/>
  <c r="L1369" i="1" a="1"/>
  <c r="L1369" i="1" s="1"/>
  <c r="H1366" i="1" a="1"/>
  <c r="H1366" i="1" s="1"/>
  <c r="K1368" i="1" a="1"/>
  <c r="K1368" i="1" s="1"/>
  <c r="J1365" i="1" a="1"/>
  <c r="J1365" i="1" s="1"/>
  <c r="J1363" i="1" a="1"/>
  <c r="J1363" i="1" s="1"/>
  <c r="K1369" i="1" a="1"/>
  <c r="K1369" i="1" s="1"/>
  <c r="K1366" i="1" a="1"/>
  <c r="K1366" i="1" s="1"/>
  <c r="L1367" i="1" a="1"/>
  <c r="L1367" i="1" s="1"/>
  <c r="J1370" i="1" a="1"/>
  <c r="J1370" i="1" s="1"/>
  <c r="F1364" i="1" a="1"/>
  <c r="F1364" i="1" s="1"/>
  <c r="H1363" i="1" a="1"/>
  <c r="H1363" i="1" s="1"/>
  <c r="J1367" i="1" a="1"/>
  <c r="J1367" i="1" s="1"/>
  <c r="G1363" i="1" a="1"/>
  <c r="G1363" i="1" s="1"/>
  <c r="K1363" i="1" a="1"/>
  <c r="K1363" i="1"/>
  <c r="G1364" i="1" a="1"/>
  <c r="G1364" i="1" s="1"/>
  <c r="J1362" i="1" a="1"/>
  <c r="J1362" i="1" s="1"/>
  <c r="L1365" i="1" a="1"/>
  <c r="L1365" i="1" s="1"/>
  <c r="K1365" i="1" a="1"/>
  <c r="K1365" i="1" s="1"/>
  <c r="I1366" i="1" a="1"/>
  <c r="I1366" i="1" s="1"/>
  <c r="G1366" i="1" a="1"/>
  <c r="G1366" i="1" s="1"/>
  <c r="I1367" i="1" a="1"/>
  <c r="I1367" i="1" s="1"/>
  <c r="I1364" i="1" a="1"/>
  <c r="I1364" i="1" s="1"/>
  <c r="K1364" i="1" a="1"/>
  <c r="K1364" i="1" s="1"/>
  <c r="L1366" i="1" a="1"/>
  <c r="L1366" i="1" s="1"/>
  <c r="I1365" i="1" a="1"/>
  <c r="I1365" i="1" s="1"/>
  <c r="K1356" i="1" a="1"/>
  <c r="K1356" i="1" s="1"/>
  <c r="I1356" i="1" a="1"/>
  <c r="I1356" i="1" s="1"/>
  <c r="J1354" i="1" a="1"/>
  <c r="J1354" i="1" s="1"/>
  <c r="I1363" i="1" a="1"/>
  <c r="I1363" i="1" s="1"/>
  <c r="J1369" i="1" a="1"/>
  <c r="J1369" i="1" s="1"/>
  <c r="I1369" i="1" a="1"/>
  <c r="I1369" i="1" s="1"/>
  <c r="H1369" i="1" a="1"/>
  <c r="H1369" i="1" s="1"/>
  <c r="H1358" i="1" a="1"/>
  <c r="H1358" i="1" s="1"/>
  <c r="J1356" i="1" a="1"/>
  <c r="J1356" i="1" s="1"/>
  <c r="F1359" i="1" a="1"/>
  <c r="F1359" i="1" s="1"/>
  <c r="F1368" i="1" a="1"/>
  <c r="F1368" i="1" s="1"/>
  <c r="G1354" i="1" a="1"/>
  <c r="G1354" i="1" s="1"/>
  <c r="G1356" i="1" a="1"/>
  <c r="G1356" i="1" s="1"/>
  <c r="J1360" i="1" a="1"/>
  <c r="J1360" i="1" s="1"/>
  <c r="J1353" i="1" a="1"/>
  <c r="J1353" i="1" s="1"/>
  <c r="J1357" i="1" a="1"/>
  <c r="J1357" i="1" s="1"/>
  <c r="I1360" i="1" a="1"/>
  <c r="I1360" i="1" s="1"/>
  <c r="G1355" i="1" a="1"/>
  <c r="G1355" i="1" s="1"/>
  <c r="I1358" i="1" a="1"/>
  <c r="I1358" i="1" s="1"/>
  <c r="K1359" i="1" a="1"/>
  <c r="K1359" i="1" s="1"/>
  <c r="K1353" i="1" a="1"/>
  <c r="K1353" i="1" s="1"/>
  <c r="J1359" i="1" a="1"/>
  <c r="J1359" i="1" s="1"/>
  <c r="J1355" i="1" a="1"/>
  <c r="J1355" i="1" s="1"/>
  <c r="G1360" i="1" a="1"/>
  <c r="G1360" i="1" s="1"/>
  <c r="L1175" i="1" a="1"/>
  <c r="L1175" i="1" s="1"/>
  <c r="J1174" i="1" a="1"/>
  <c r="J1174" i="1" s="1"/>
  <c r="F1176" i="1" a="1"/>
  <c r="F1176" i="1" s="1"/>
  <c r="K1175" i="1" a="1"/>
  <c r="K1175" i="1" s="1"/>
  <c r="L1174" i="1" a="1"/>
  <c r="L1174" i="1" s="1"/>
  <c r="H1174" i="1" a="1"/>
  <c r="H1174" i="1" s="1"/>
  <c r="K1174" i="1" a="1"/>
  <c r="K1174" i="1" s="1"/>
  <c r="L1172" i="1" a="1"/>
  <c r="L1172" i="1" s="1"/>
  <c r="H1175" i="1" a="1"/>
  <c r="H1175" i="1" s="1"/>
  <c r="J1173" i="1" a="1"/>
  <c r="J1173" i="1" s="1"/>
  <c r="F1175" i="1" a="1"/>
  <c r="F1175" i="1" s="1"/>
  <c r="H1501" i="1" a="1"/>
  <c r="H1501" i="1" s="1"/>
  <c r="L1517" i="1" a="1"/>
  <c r="L1517" i="1" s="1"/>
  <c r="I1354" i="1" a="1"/>
  <c r="I1354" i="1" s="1"/>
  <c r="L1357" i="1" a="1"/>
  <c r="L1357" i="1" s="1"/>
  <c r="G1362" i="1" a="1"/>
  <c r="G1362" i="1" s="1"/>
  <c r="F1354" i="1" a="1"/>
  <c r="F1354" i="1" s="1"/>
  <c r="H1359" i="1" a="1"/>
  <c r="H1359" i="1"/>
  <c r="F1362" i="1" a="1"/>
  <c r="F1362" i="1" s="1"/>
  <c r="H1356" i="1" a="1"/>
  <c r="H1356" i="1" s="1"/>
  <c r="L1353" i="1" a="1"/>
  <c r="L1353" i="1" s="1"/>
  <c r="L1361" i="1" a="1"/>
  <c r="L1361" i="1" s="1"/>
  <c r="F1358" i="1" a="1"/>
  <c r="F1358" i="1" s="1"/>
  <c r="I1361" i="1" a="1"/>
  <c r="I1361" i="1" s="1"/>
  <c r="L1358" i="1" a="1"/>
  <c r="L1358" i="1" s="1"/>
  <c r="F1356" i="1" a="1"/>
  <c r="F1356" i="1" s="1"/>
  <c r="I1357" i="1" a="1"/>
  <c r="I1357" i="1" s="1"/>
  <c r="K1354" i="1" a="1"/>
  <c r="K1354" i="1" s="1"/>
  <c r="K1358" i="1" a="1"/>
  <c r="K1358" i="1" s="1"/>
  <c r="G1357" i="1" a="1"/>
  <c r="G1357" i="1" s="1"/>
  <c r="K1361" i="1" a="1"/>
  <c r="K1361" i="1" s="1"/>
  <c r="K1346" i="1" a="1"/>
  <c r="K1346" i="1" s="1"/>
  <c r="F1361" i="1" a="1"/>
  <c r="F1361" i="1" s="1"/>
  <c r="I1359" i="1" a="1"/>
  <c r="I1359" i="1" s="1"/>
  <c r="L1347" i="1" a="1"/>
  <c r="L1347" i="1" s="1"/>
  <c r="L1349" i="1" a="1"/>
  <c r="L1349" i="1" s="1"/>
  <c r="I1349" i="1" a="1"/>
  <c r="I1349" i="1" s="1"/>
  <c r="H1361" i="1" a="1"/>
  <c r="H1361" i="1" s="1"/>
  <c r="K1347" i="1" a="1"/>
  <c r="K1347" i="1" s="1"/>
  <c r="K1348" i="1" a="1"/>
  <c r="K1348" i="1" s="1"/>
  <c r="H1353" i="1" a="1"/>
  <c r="H1353" i="1" s="1"/>
  <c r="J1348" i="1" a="1"/>
  <c r="J1348" i="1" s="1"/>
  <c r="I1348" i="1" a="1"/>
  <c r="I1348" i="1" s="1"/>
  <c r="J1361" i="1" a="1"/>
  <c r="J1361" i="1" s="1"/>
  <c r="G1361" i="1" a="1"/>
  <c r="G1361" i="1" s="1"/>
  <c r="I1347" i="1" a="1"/>
  <c r="I1347" i="1" s="1"/>
  <c r="F1346" i="1" a="1"/>
  <c r="F1346" i="1" s="1"/>
  <c r="G1349" i="1" a="1"/>
  <c r="G1349" i="1" s="1"/>
  <c r="L1350" i="1" a="1"/>
  <c r="L1350" i="1" s="1"/>
  <c r="G1346" i="1" a="1"/>
  <c r="G1346" i="1" s="1"/>
  <c r="J1347" i="1" a="1"/>
  <c r="J1347" i="1" s="1"/>
  <c r="G1348" i="1" a="1"/>
  <c r="G1348" i="1" s="1"/>
  <c r="F1347" i="1" a="1"/>
  <c r="F1347" i="1" s="1"/>
  <c r="L1346" i="1" a="1"/>
  <c r="L1346" i="1" s="1"/>
  <c r="H1350" i="1" a="1"/>
  <c r="H1350" i="1" s="1"/>
  <c r="K1352" i="1" a="1"/>
  <c r="K1352" i="1" s="1"/>
  <c r="G1353" i="1" a="1"/>
  <c r="G1353" i="1" s="1"/>
  <c r="H1348" i="1" a="1"/>
  <c r="H1348" i="1" s="1"/>
  <c r="J1350" i="1" a="1"/>
  <c r="J1350" i="1" s="1"/>
  <c r="I1350" i="1" a="1"/>
  <c r="I1350" i="1" s="1"/>
  <c r="K1350" i="1" a="1"/>
  <c r="K1350" i="1" s="1"/>
  <c r="G1347" i="1" a="1"/>
  <c r="G1347" i="1" s="1"/>
  <c r="F1353" i="1" a="1"/>
  <c r="F1353" i="1" s="1"/>
  <c r="F1348" i="1" a="1"/>
  <c r="F1348" i="1" s="1"/>
  <c r="L1348" i="1" a="1"/>
  <c r="L1348" i="1" s="1"/>
  <c r="J1352" i="1" a="1"/>
  <c r="J1352" i="1" s="1"/>
  <c r="F1350" i="1" a="1"/>
  <c r="F1350" i="1" s="1"/>
  <c r="J1346" i="1" a="1"/>
  <c r="J1346" i="1" s="1"/>
  <c r="G1350" i="1" a="1"/>
  <c r="G1350" i="1" s="1"/>
  <c r="H1347" i="1" a="1"/>
  <c r="H1347" i="1" s="1"/>
  <c r="H1349" i="1" a="1"/>
  <c r="H1349" i="1" s="1"/>
  <c r="F1352" i="1" a="1"/>
  <c r="F1352" i="1" s="1"/>
  <c r="I1170" i="1" a="1"/>
  <c r="I1170" i="1" s="1"/>
  <c r="I1352" i="1" a="1"/>
  <c r="I1352" i="1" s="1"/>
  <c r="K1171" i="1" a="1"/>
  <c r="K1171" i="1" s="1"/>
  <c r="I1346" i="1" a="1"/>
  <c r="I1346" i="1" s="1"/>
  <c r="H1346" i="1" a="1"/>
  <c r="H1346" i="1" s="1"/>
  <c r="H1352" i="1" a="1"/>
  <c r="H1352" i="1" s="1"/>
  <c r="G1352" i="1" a="1"/>
  <c r="G1352" i="1" s="1"/>
  <c r="K1349" i="1" a="1"/>
  <c r="K1349" i="1" s="1"/>
  <c r="F1349" i="1" a="1"/>
  <c r="F1349" i="1" s="1"/>
  <c r="L1352" i="1" a="1"/>
  <c r="L1352" i="1" s="1"/>
  <c r="J1349" i="1" a="1"/>
  <c r="J1349" i="1" s="1"/>
  <c r="F1172" i="1" a="1"/>
  <c r="F1172" i="1" s="1"/>
  <c r="I1173" i="1" a="1"/>
  <c r="I1173" i="1" s="1"/>
  <c r="J1171" i="1" a="1"/>
  <c r="J1171" i="1" s="1"/>
  <c r="I1176" i="1" a="1"/>
  <c r="I1176" i="1" s="1"/>
  <c r="F1171" i="1" a="1"/>
  <c r="F1171" i="1" s="1"/>
  <c r="F1173" i="1" a="1"/>
  <c r="F1173" i="1" s="1"/>
  <c r="G1176" i="1" a="1"/>
  <c r="G1176" i="1" s="1"/>
  <c r="I1175" i="1" a="1"/>
  <c r="I1175" i="1" s="1"/>
  <c r="G1174" i="1" a="1"/>
  <c r="G1174" i="1" s="1"/>
  <c r="H1171" i="1" a="1"/>
  <c r="H1171" i="1" s="1"/>
  <c r="G1171" i="1" a="1"/>
  <c r="G1171" i="1" s="1"/>
  <c r="H1176" i="1" a="1"/>
  <c r="H1176" i="1" s="1"/>
  <c r="K1176" i="1" a="1"/>
  <c r="K1176" i="1" s="1"/>
  <c r="H1173" i="1" a="1"/>
  <c r="H1173" i="1" s="1"/>
  <c r="J1176" i="1" a="1"/>
  <c r="J1176" i="1" s="1"/>
  <c r="K1173" i="1" a="1"/>
  <c r="K1173" i="1" s="1"/>
  <c r="K1170" i="1" a="1"/>
  <c r="K1170" i="1" s="1"/>
  <c r="L1171" i="1" a="1"/>
  <c r="L1171" i="1" s="1"/>
  <c r="F1174" i="1" a="1"/>
  <c r="F1174" i="1" s="1"/>
  <c r="G1172" i="1" a="1"/>
  <c r="G1172" i="1" s="1"/>
  <c r="H1170" i="1" a="1"/>
  <c r="H1170" i="1" s="1"/>
  <c r="F1149" i="1" a="1"/>
  <c r="F1149" i="1" s="1"/>
  <c r="K1506" i="1" a="1"/>
  <c r="K1506" i="1" s="1"/>
  <c r="K1172" i="1" a="1"/>
  <c r="K1172" i="1" s="1"/>
  <c r="L1170" i="1" a="1"/>
  <c r="L1170" i="1" s="1"/>
  <c r="I1171" i="1" a="1"/>
  <c r="I1171" i="1" s="1"/>
  <c r="J1170" i="1" a="1"/>
  <c r="J1170" i="1" s="1"/>
  <c r="I1174" i="1" a="1"/>
  <c r="I1174" i="1" s="1"/>
  <c r="I1172" i="1" a="1"/>
  <c r="I1172" i="1" s="1"/>
  <c r="H1172" i="1" a="1"/>
  <c r="H1172" i="1" s="1"/>
  <c r="G1173" i="1" a="1"/>
  <c r="G1173" i="1" s="1"/>
  <c r="K1162" i="1" a="1"/>
  <c r="K1162" i="1" s="1"/>
  <c r="J1175" i="1" a="1"/>
  <c r="J1175" i="1" s="1"/>
  <c r="F1167" i="1" a="1"/>
  <c r="F1167" i="1" s="1"/>
  <c r="L1173" i="1" a="1"/>
  <c r="L1173" i="1" s="1"/>
  <c r="J1172" i="1" a="1"/>
  <c r="J1172" i="1" s="1"/>
  <c r="K1169" i="1" a="1"/>
  <c r="K1169" i="1" s="1"/>
  <c r="G1175" i="1" a="1"/>
  <c r="G1175" i="1" s="1"/>
  <c r="G1165" i="1" a="1"/>
  <c r="G1165" i="1" s="1"/>
  <c r="L1163" i="1" a="1"/>
  <c r="L1163" i="1" s="1"/>
  <c r="F1169" i="1" a="1"/>
  <c r="F1169" i="1" s="1"/>
  <c r="G1168" i="1" a="1"/>
  <c r="G1168" i="1" s="1"/>
  <c r="I1164" i="1" a="1"/>
  <c r="I1164" i="1" s="1"/>
  <c r="L1164" i="1" a="1"/>
  <c r="L1164" i="1" s="1"/>
  <c r="I1162" i="1" a="1"/>
  <c r="I1162" i="1" s="1"/>
  <c r="H1169" i="1" a="1"/>
  <c r="H1169" i="1" s="1"/>
  <c r="J1168" i="1" a="1"/>
  <c r="J1168" i="1" s="1"/>
  <c r="H1162" i="1" a="1"/>
  <c r="H1162" i="1" s="1"/>
  <c r="L1168" i="1" a="1"/>
  <c r="L1168" i="1" s="1"/>
  <c r="I1163" i="1" a="1"/>
  <c r="I1163" i="1" s="1"/>
  <c r="K1163" i="1" a="1"/>
  <c r="K1163" i="1" s="1"/>
  <c r="L1162" i="1" a="1"/>
  <c r="L1162" i="1" s="1"/>
  <c r="F1168" i="1" a="1"/>
  <c r="F1168" i="1" s="1"/>
  <c r="I1168" i="1" a="1"/>
  <c r="I1168" i="1" s="1"/>
  <c r="J1162" i="1" a="1"/>
  <c r="J1162" i="1" s="1"/>
  <c r="H1168" i="1" a="1"/>
  <c r="H1168" i="1" s="1"/>
  <c r="K1168" i="1" a="1"/>
  <c r="K1168" i="1" s="1"/>
  <c r="J1166" i="1" a="1"/>
  <c r="J1166" i="1" s="1"/>
  <c r="H1164" i="1" a="1"/>
  <c r="H1164" i="1" s="1"/>
  <c r="F1165" i="1" a="1"/>
  <c r="F1165" i="1" s="1"/>
  <c r="L1165" i="1" a="1"/>
  <c r="L1165" i="1" s="1"/>
  <c r="F1162" i="1" a="1"/>
  <c r="F1162" i="1" s="1"/>
  <c r="H1166" i="1" a="1"/>
  <c r="H1166" i="1" s="1"/>
  <c r="I1166" i="1" a="1"/>
  <c r="I1166" i="1" s="1"/>
  <c r="J1164" i="1" a="1"/>
  <c r="J1164" i="1" s="1"/>
  <c r="K1166" i="1" a="1"/>
  <c r="K1166" i="1" s="1"/>
  <c r="K1164" i="1" a="1"/>
  <c r="K1164" i="1" s="1"/>
  <c r="F1166" i="1" a="1"/>
  <c r="F1166" i="1" s="1"/>
  <c r="J1163" i="1" a="1"/>
  <c r="J1163" i="1" s="1"/>
  <c r="I1169" i="1" a="1"/>
  <c r="I1169" i="1" s="1"/>
  <c r="G1167" i="1" a="1"/>
  <c r="G1167" i="1" s="1"/>
  <c r="F1164" i="1" a="1"/>
  <c r="F1164" i="1" s="1"/>
  <c r="I1167" i="1" a="1"/>
  <c r="I1167" i="1" s="1"/>
  <c r="L1167" i="1" a="1"/>
  <c r="L1167" i="1" s="1"/>
  <c r="I1165" i="1" a="1"/>
  <c r="I1165" i="1" s="1"/>
  <c r="G1166" i="1" a="1"/>
  <c r="G1166" i="1" s="1"/>
  <c r="H1167" i="1" a="1"/>
  <c r="H1167" i="1" s="1"/>
  <c r="K1156" i="1" a="1"/>
  <c r="K1156" i="1" s="1"/>
  <c r="G1170" i="1" a="1"/>
  <c r="G1170" i="1" s="1"/>
  <c r="L1169" i="1" a="1"/>
  <c r="L1169" i="1" s="1"/>
  <c r="J1154" i="1" a="1"/>
  <c r="J1154" i="1" s="1"/>
  <c r="I1155" i="1" a="1"/>
  <c r="I1155" i="1" s="1"/>
  <c r="L1166" i="1" a="1"/>
  <c r="L1166" i="1" s="1"/>
  <c r="F1170" i="1" a="1"/>
  <c r="F1170" i="1" s="1"/>
  <c r="G1162" i="1" a="1"/>
  <c r="G1162" i="1" s="1"/>
  <c r="G1169" i="1" a="1"/>
  <c r="G1169" i="1" s="1"/>
  <c r="J1167" i="1" a="1"/>
  <c r="J1167" i="1" s="1"/>
  <c r="G1153" i="1" a="1"/>
  <c r="G1153" i="1" s="1"/>
  <c r="G1155" i="1" a="1"/>
  <c r="G1155" i="1" s="1"/>
  <c r="J1165" i="1" a="1"/>
  <c r="J1165" i="1" s="1"/>
  <c r="H1163" i="1" a="1"/>
  <c r="H1163" i="1" s="1"/>
  <c r="K1167" i="1" a="1"/>
  <c r="K1167" i="1" s="1"/>
  <c r="G1149" i="1" a="1"/>
  <c r="G1149" i="1" s="1"/>
  <c r="G1163" i="1" a="1"/>
  <c r="G1163" i="1" s="1"/>
  <c r="F1163" i="1" a="1"/>
  <c r="F1163" i="1" s="1"/>
  <c r="K1165" i="1" a="1"/>
  <c r="K1165" i="1" s="1"/>
  <c r="J1169" i="1" a="1"/>
  <c r="J1169" i="1" s="1"/>
  <c r="H1165" i="1" a="1"/>
  <c r="H1165" i="1" s="1"/>
  <c r="G1164" i="1" a="1"/>
  <c r="G1164" i="1" s="1"/>
  <c r="I1149" i="1" a="1"/>
  <c r="I1149" i="1" s="1"/>
  <c r="L1155" i="1" a="1"/>
  <c r="L1155" i="1" s="1"/>
  <c r="G1154" i="1" a="1"/>
  <c r="G1154" i="1" s="1"/>
  <c r="L1149" i="1" a="1"/>
  <c r="L1149" i="1" s="1"/>
  <c r="L1150" i="1" a="1"/>
  <c r="L1150" i="1" s="1"/>
  <c r="J1155" i="1" a="1"/>
  <c r="J1155" i="1" s="1"/>
  <c r="H1155" i="1" a="1"/>
  <c r="H1155" i="1" s="1"/>
  <c r="L1156" i="1" a="1"/>
  <c r="L1156" i="1" s="1"/>
  <c r="J1156" i="1" a="1"/>
  <c r="J1156" i="1" s="1"/>
  <c r="J1150" i="1" a="1"/>
  <c r="J1150" i="1" s="1"/>
  <c r="F1156" i="1" a="1"/>
  <c r="F1156" i="1" s="1"/>
  <c r="H1154" i="1" a="1"/>
  <c r="H1154" i="1" s="1"/>
  <c r="G1156" i="1" a="1"/>
  <c r="G1156" i="1" s="1"/>
  <c r="F1154" i="1" a="1"/>
  <c r="F1154" i="1" s="1"/>
  <c r="K1155" i="1" a="1"/>
  <c r="K1155" i="1" s="1"/>
  <c r="L1148" i="1" a="1"/>
  <c r="L1148" i="1" s="1"/>
  <c r="I1150" i="1" a="1"/>
  <c r="I1150" i="1" s="1"/>
  <c r="G1150" i="1" a="1"/>
  <c r="G1150" i="1" s="1"/>
  <c r="F1155" i="1" a="1"/>
  <c r="F1155" i="1" s="1"/>
  <c r="J1153" i="1" a="1"/>
  <c r="J1153" i="1" s="1"/>
  <c r="H1156" i="1" a="1"/>
  <c r="H1156" i="1" s="1"/>
  <c r="H1150" i="1" a="1"/>
  <c r="H1150" i="1" s="1"/>
  <c r="K1154" i="1" a="1"/>
  <c r="K1154" i="1" s="1"/>
  <c r="L1153" i="1" a="1"/>
  <c r="L1153" i="1" s="1"/>
  <c r="J1149" i="1" a="1"/>
  <c r="J1149" i="1" s="1"/>
  <c r="I1153" i="1" a="1"/>
  <c r="I1153" i="1" s="1"/>
  <c r="K1153" i="1" a="1"/>
  <c r="K1153" i="1" s="1"/>
  <c r="H1149" i="1" a="1"/>
  <c r="H1149" i="1" s="1"/>
  <c r="K1149" i="1" a="1"/>
  <c r="K1149" i="1" s="1"/>
  <c r="K1519" i="1" a="1"/>
  <c r="K1519" i="1" s="1"/>
  <c r="J1437" i="1" a="1"/>
  <c r="J1437" i="1" s="1"/>
  <c r="H1433" i="1" a="1"/>
  <c r="H1433" i="1" s="1"/>
  <c r="F1433" i="1" a="1"/>
  <c r="F1433" i="1" s="1"/>
  <c r="H1432" i="1" a="1"/>
  <c r="H1432" i="1" s="1"/>
  <c r="I1439" i="1" a="1"/>
  <c r="I1439" i="1" s="1"/>
  <c r="G1436" i="1" a="1"/>
  <c r="G1436" i="1" s="1"/>
  <c r="I1436" i="1" a="1"/>
  <c r="I1436" i="1" s="1"/>
  <c r="I1443" i="1" a="1"/>
  <c r="I1443" i="1" s="1"/>
  <c r="L1439" i="1" a="1"/>
  <c r="L1439" i="1" s="1"/>
  <c r="I1501" i="1" a="1"/>
  <c r="I1501" i="1" s="1"/>
  <c r="I1440" i="1" a="1"/>
  <c r="I1440" i="1" s="1"/>
  <c r="I1448" i="1" a="1"/>
  <c r="I1448" i="1" s="1"/>
  <c r="K1442" i="1" a="1"/>
  <c r="K1442" i="1" s="1"/>
  <c r="I1442" i="1" a="1"/>
  <c r="I1442" i="1" s="1"/>
  <c r="I1446" i="1" a="1"/>
  <c r="I1446" i="1" s="1"/>
  <c r="F1445" i="1" a="1"/>
  <c r="F1445" i="1" s="1"/>
  <c r="F1442" i="1" a="1"/>
  <c r="F1442" i="1" s="1"/>
  <c r="G1445" i="1" a="1"/>
  <c r="G1445" i="1" s="1"/>
  <c r="G1440" i="1" a="1"/>
  <c r="G1440" i="1" s="1"/>
  <c r="L1447" i="1" a="1"/>
  <c r="L1447" i="1" s="1"/>
  <c r="J1441" i="1" a="1"/>
  <c r="J1441" i="1" s="1"/>
  <c r="F1446" i="1" a="1"/>
  <c r="F1446" i="1" s="1"/>
  <c r="H1448" i="1" a="1"/>
  <c r="H1448" i="1" s="1"/>
  <c r="G1446" i="1" a="1"/>
  <c r="G1446" i="1" s="1"/>
  <c r="H1443" i="1" a="1"/>
  <c r="H1443" i="1" s="1"/>
  <c r="L1440" i="1" a="1"/>
  <c r="L1440" i="1" s="1"/>
  <c r="I1441" i="1" a="1"/>
  <c r="I1441" i="1" s="1"/>
  <c r="H1445" i="1" a="1"/>
  <c r="H1445" i="1" s="1"/>
  <c r="K1439" i="1" a="1"/>
  <c r="K1439" i="1" s="1"/>
  <c r="G1444" i="1" a="1"/>
  <c r="G1444" i="1" s="1"/>
  <c r="I1445" i="1" a="1"/>
  <c r="I1445" i="1" s="1"/>
  <c r="G1448" i="1" a="1"/>
  <c r="G1448" i="1" s="1"/>
  <c r="H1441" i="1" a="1"/>
  <c r="H1441" i="1" s="1"/>
  <c r="K1441" i="1" a="1"/>
  <c r="K1441" i="1" s="1"/>
  <c r="J1447" i="1" a="1"/>
  <c r="J1447" i="1" s="1"/>
  <c r="I1444" i="1" a="1"/>
  <c r="I1444" i="1" s="1"/>
  <c r="K1446" i="1" a="1"/>
  <c r="K1446" i="1" s="1"/>
  <c r="F1444" i="1" a="1"/>
  <c r="F1444" i="1" s="1"/>
  <c r="H1447" i="1" a="1"/>
  <c r="H1447" i="1" s="1"/>
  <c r="F1441" i="1" a="1"/>
  <c r="F1441" i="1" s="1"/>
  <c r="L1445" i="1" a="1"/>
  <c r="L1445" i="1" s="1"/>
  <c r="J1443" i="1" a="1"/>
  <c r="J1443" i="1" s="1"/>
  <c r="H1446" i="1" a="1"/>
  <c r="H1446" i="1" s="1"/>
  <c r="H1442" i="1" a="1"/>
  <c r="H1442" i="1" s="1"/>
  <c r="J1444" i="1" a="1"/>
  <c r="J1444" i="1" s="1"/>
  <c r="K1440" i="1" a="1"/>
  <c r="K1440" i="1" s="1"/>
  <c r="J1446" i="1" a="1"/>
  <c r="J1446" i="1" s="1"/>
  <c r="H1440" i="1" a="1"/>
  <c r="H1440" i="1" s="1"/>
  <c r="J1445" i="1" a="1"/>
  <c r="J1445" i="1" s="1"/>
  <c r="L1443" i="1" a="1"/>
  <c r="L1443" i="1" s="1"/>
  <c r="I1447" i="1" a="1"/>
  <c r="I1447" i="1" s="1"/>
  <c r="F1443" i="1" a="1"/>
  <c r="F1443" i="1" s="1"/>
  <c r="H1444" i="1" a="1"/>
  <c r="H1444" i="1" s="1"/>
  <c r="K1443" i="1" a="1"/>
  <c r="K1443" i="1" s="1"/>
  <c r="L1442" i="1" a="1"/>
  <c r="L1442" i="1" s="1"/>
  <c r="L1446" i="1" a="1"/>
  <c r="L1446" i="1" s="1"/>
  <c r="K1447" i="1" a="1"/>
  <c r="K1447" i="1" s="1"/>
  <c r="J1448" i="1" a="1"/>
  <c r="J1448" i="1" s="1"/>
  <c r="J1434" i="1" a="1"/>
  <c r="J1434" i="1" s="1"/>
  <c r="F1448" i="1" a="1"/>
  <c r="F1448" i="1" s="1"/>
  <c r="K1448" i="1" a="1"/>
  <c r="K1448" i="1" s="1"/>
  <c r="G1442" i="1" a="1"/>
  <c r="G1442" i="1" s="1"/>
  <c r="J1440" i="1" a="1"/>
  <c r="J1440" i="1" s="1"/>
  <c r="H1434" i="1" a="1"/>
  <c r="H1434" i="1" s="1"/>
  <c r="L1436" i="1" a="1"/>
  <c r="L1436" i="1" s="1"/>
  <c r="K1445" i="1" a="1"/>
  <c r="K1445" i="1" s="1"/>
  <c r="K1434" i="1" a="1"/>
  <c r="K1434" i="1" s="1"/>
  <c r="H1436" i="1" a="1"/>
  <c r="H1436" i="1" s="1"/>
  <c r="G1434" i="1" a="1"/>
  <c r="G1434" i="1" s="1"/>
  <c r="G1431" i="1" a="1"/>
  <c r="G1431" i="1" s="1"/>
  <c r="G1447" i="1" a="1"/>
  <c r="G1447" i="1" s="1"/>
  <c r="L1431" i="1" a="1"/>
  <c r="L1431" i="1" s="1"/>
  <c r="J1432" i="1" a="1"/>
  <c r="J1432" i="1" s="1"/>
  <c r="H1431" i="1" a="1"/>
  <c r="H1431" i="1" s="1"/>
  <c r="J1438" i="1" a="1"/>
  <c r="J1438" i="1" s="1"/>
  <c r="F1447" i="1" a="1"/>
  <c r="F1447" i="1" s="1"/>
  <c r="K1432" i="1" a="1"/>
  <c r="K1432" i="1" s="1"/>
  <c r="J1436" i="1" a="1"/>
  <c r="J1436" i="1" s="1"/>
  <c r="J1439" i="1" a="1"/>
  <c r="J1439" i="1" s="1"/>
  <c r="L1444" i="1" a="1"/>
  <c r="L1444" i="1" s="1"/>
  <c r="F1432" i="1" a="1"/>
  <c r="F1432" i="1" s="1"/>
  <c r="H1437" i="1" a="1"/>
  <c r="H1437" i="1" s="1"/>
  <c r="L1434" i="1" a="1"/>
  <c r="L1434" i="1" s="1"/>
  <c r="I1434" i="1" a="1"/>
  <c r="I1434" i="1" s="1"/>
  <c r="I1432" i="1" a="1"/>
  <c r="I1432" i="1" s="1"/>
  <c r="L1432" i="1" a="1"/>
  <c r="L1432" i="1" s="1"/>
  <c r="G1433" i="1" a="1"/>
  <c r="G1433" i="1" s="1"/>
  <c r="J1442" i="1" a="1"/>
  <c r="J1442" i="1" s="1"/>
  <c r="F1494" i="1" a="1"/>
  <c r="F1494" i="1" s="1"/>
  <c r="F1487" i="1" a="1"/>
  <c r="F1487" i="1" s="1"/>
  <c r="H1494" i="1" a="1"/>
  <c r="H1494" i="1" s="1"/>
  <c r="G1492" i="1" a="1"/>
  <c r="G1492" i="1" s="1"/>
  <c r="F1492" i="1" a="1"/>
  <c r="F1492" i="1" s="1"/>
  <c r="L1487" i="1" a="1"/>
  <c r="L1487" i="1" s="1"/>
  <c r="I1500" i="1" a="1"/>
  <c r="I1500" i="1" s="1"/>
  <c r="K1485" i="1" a="1"/>
  <c r="K1485" i="1" s="1"/>
  <c r="I1487" i="1" a="1"/>
  <c r="I1487" i="1" s="1"/>
  <c r="I1492" i="1" a="1"/>
  <c r="I1492" i="1" s="1"/>
  <c r="F1499" i="1" a="1"/>
  <c r="F1499" i="1" s="1"/>
  <c r="J1494" i="1" a="1"/>
  <c r="J1494" i="1" s="1"/>
  <c r="K1502" i="1" a="1"/>
  <c r="K1502" i="1" s="1"/>
  <c r="F1500" i="1" a="1"/>
  <c r="F1500" i="1" s="1"/>
  <c r="G1499" i="1" a="1"/>
  <c r="G1499" i="1" s="1"/>
  <c r="L1494" i="1" a="1"/>
  <c r="L1494" i="1" s="1"/>
  <c r="K1487" i="1" a="1"/>
  <c r="K1487" i="1" s="1"/>
  <c r="K1494" i="1" a="1"/>
  <c r="K1494" i="1" s="1"/>
  <c r="F1501" i="1" a="1"/>
  <c r="F1501" i="1" s="1"/>
  <c r="H1499" i="1" a="1"/>
  <c r="H1499" i="1" s="1"/>
  <c r="L1500" i="1" a="1"/>
  <c r="L1500" i="1" s="1"/>
  <c r="J1500" i="1" a="1"/>
  <c r="J1500" i="1" s="1"/>
  <c r="K1499" i="1" a="1"/>
  <c r="K1499" i="1" s="1"/>
  <c r="K1500" i="1" a="1"/>
  <c r="K1500" i="1" s="1"/>
  <c r="G1500" i="1" a="1"/>
  <c r="G1500" i="1" s="1"/>
  <c r="L1492" i="1" a="1"/>
  <c r="L1492" i="1" s="1"/>
  <c r="L1499" i="1" a="1"/>
  <c r="L1499" i="1" s="1"/>
  <c r="J1499" i="1" a="1"/>
  <c r="J1499" i="1" s="1"/>
  <c r="H1500" i="1" a="1"/>
  <c r="H1500" i="1" s="1"/>
  <c r="G1487" i="1" a="1"/>
  <c r="G1487" i="1" s="1"/>
  <c r="G1494" i="1" a="1"/>
  <c r="G1494" i="1" s="1"/>
  <c r="I1499" i="1" a="1"/>
  <c r="I1499" i="1" s="1"/>
  <c r="L1505" i="1" a="1"/>
  <c r="L1505" i="1" s="1"/>
  <c r="F1502" i="1" a="1"/>
  <c r="F1502" i="1" s="1"/>
  <c r="L1151" i="1"/>
  <c r="K1151" i="1"/>
  <c r="J1151" i="1"/>
  <c r="I1151" i="1"/>
  <c r="H1151" i="1"/>
  <c r="G1151" i="1"/>
  <c r="F1151" i="1"/>
  <c r="H1648" i="1" a="1"/>
  <c r="H1648" i="1" s="1"/>
  <c r="L1648" i="1" a="1"/>
  <c r="L1648" i="1" s="1"/>
  <c r="G1648" i="1" a="1"/>
  <c r="G1648" i="1" s="1"/>
  <c r="F1648" i="1" a="1"/>
  <c r="F1648" i="1" s="1"/>
  <c r="K1644" i="1" a="1"/>
  <c r="K1644" i="1" s="1"/>
  <c r="L1644" i="1" a="1"/>
  <c r="L1644" i="1" s="1"/>
  <c r="J1648" i="1" a="1"/>
  <c r="J1648" i="1" s="1"/>
  <c r="G1644" i="1" a="1"/>
  <c r="G1644" i="1" s="1"/>
  <c r="J1644" i="1" a="1"/>
  <c r="J1644" i="1" s="1"/>
  <c r="K1648" i="1" a="1"/>
  <c r="K1648" i="1" s="1"/>
  <c r="I1648" i="1" a="1"/>
  <c r="I1648" i="1" s="1"/>
  <c r="I1644" i="1" a="1"/>
  <c r="I1644" i="1" s="1"/>
  <c r="H1644" i="1" a="1"/>
  <c r="H1644" i="1" s="1"/>
  <c r="F1644" i="1" a="1"/>
  <c r="F1644" i="1" s="1"/>
  <c r="L1663" i="1"/>
  <c r="K1663" i="1"/>
  <c r="J1663" i="1"/>
  <c r="I1663" i="1"/>
  <c r="H1663" i="1"/>
  <c r="G1663" i="1"/>
  <c r="F1663" i="1"/>
  <c r="I36" i="1"/>
  <c r="H36" i="1"/>
  <c r="G36" i="1"/>
  <c r="F36" i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J606" i="1" a="1"/>
  <c r="J606" i="1" s="1"/>
  <c r="F603" i="1" a="1"/>
  <c r="F603" i="1" s="1"/>
  <c r="H593" i="1" a="1"/>
  <c r="H593" i="1" s="1"/>
  <c r="G593" i="1" a="1"/>
  <c r="G593" i="1" s="1"/>
  <c r="H603" i="1" a="1"/>
  <c r="H603" i="1" s="1"/>
  <c r="G592" i="1" a="1"/>
  <c r="G592" i="1" s="1"/>
  <c r="I595" i="1" a="1"/>
  <c r="I595" i="1" s="1"/>
  <c r="L593" i="1" a="1"/>
  <c r="L593" i="1" s="1"/>
  <c r="G602" i="1" a="1"/>
  <c r="G602" i="1" s="1"/>
  <c r="G584" i="1" a="1"/>
  <c r="G584" i="1" s="1"/>
  <c r="G589" i="1" a="1"/>
  <c r="G589" i="1" s="1"/>
  <c r="J584" i="1" a="1"/>
  <c r="J584" i="1" s="1"/>
  <c r="K602" i="1" a="1"/>
  <c r="K602" i="1" s="1"/>
  <c r="H585" i="1" a="1"/>
  <c r="H585" i="1" s="1"/>
  <c r="I606" i="1" a="1"/>
  <c r="I606" i="1" s="1"/>
  <c r="J593" i="1" a="1"/>
  <c r="J593" i="1" s="1"/>
  <c r="F602" i="1" a="1"/>
  <c r="F602" i="1" s="1"/>
  <c r="J603" i="1" a="1"/>
  <c r="J603" i="1" s="1"/>
  <c r="L603" i="1" a="1"/>
  <c r="L603" i="1" s="1"/>
  <c r="L595" i="1" a="1"/>
  <c r="L595" i="1" s="1"/>
  <c r="L602" i="1" a="1"/>
  <c r="L602" i="1" s="1"/>
  <c r="J602" i="1" a="1"/>
  <c r="J602" i="1" s="1"/>
  <c r="J592" i="1" a="1"/>
  <c r="J592" i="1" s="1"/>
  <c r="K588" i="1" a="1"/>
  <c r="K588" i="1" s="1"/>
  <c r="L592" i="1" a="1"/>
  <c r="L592" i="1" s="1"/>
  <c r="K592" i="1" a="1"/>
  <c r="K592" i="1" s="1"/>
  <c r="F593" i="1" a="1"/>
  <c r="F593" i="1" s="1"/>
  <c r="F595" i="1" a="1"/>
  <c r="F595" i="1" s="1"/>
  <c r="J595" i="1" a="1"/>
  <c r="J595" i="1" s="1"/>
  <c r="J588" i="1" a="1"/>
  <c r="J588" i="1" s="1"/>
  <c r="F584" i="1" a="1"/>
  <c r="F584" i="1" s="1"/>
  <c r="L589" i="1" a="1"/>
  <c r="L589" i="1" s="1"/>
  <c r="I588" i="1" a="1"/>
  <c r="I588" i="1" s="1"/>
  <c r="H589" i="1" a="1"/>
  <c r="H589" i="1" s="1"/>
  <c r="L588" i="1" a="1"/>
  <c r="L588" i="1" s="1"/>
  <c r="G585" i="1" a="1"/>
  <c r="G585" i="1" s="1"/>
  <c r="K593" i="1" a="1"/>
  <c r="K593" i="1" s="1"/>
  <c r="G588" i="1" a="1"/>
  <c r="G588" i="1" s="1"/>
  <c r="K589" i="1" a="1"/>
  <c r="K589" i="1" s="1"/>
  <c r="H588" i="1" a="1"/>
  <c r="H588" i="1" s="1"/>
  <c r="K584" i="1" a="1"/>
  <c r="K584" i="1" s="1"/>
  <c r="K585" i="1" a="1"/>
  <c r="K585" i="1" s="1"/>
  <c r="J589" i="1" a="1"/>
  <c r="J589" i="1" s="1"/>
  <c r="H592" i="1" a="1"/>
  <c r="H592" i="1" s="1"/>
  <c r="I593" i="1" a="1"/>
  <c r="I593" i="1" s="1"/>
  <c r="I584" i="1" a="1"/>
  <c r="I584" i="1" s="1"/>
  <c r="L584" i="1" a="1"/>
  <c r="L584" i="1" s="1"/>
  <c r="F585" i="1" a="1"/>
  <c r="F585" i="1" s="1"/>
  <c r="K622" i="1" a="1"/>
  <c r="K622" i="1" s="1"/>
  <c r="H584" i="1" a="1"/>
  <c r="H584" i="1" s="1"/>
  <c r="J585" i="1" a="1"/>
  <c r="J585" i="1" s="1"/>
  <c r="L585" i="1" a="1"/>
  <c r="L585" i="1" s="1"/>
  <c r="F588" i="1" a="1"/>
  <c r="F588" i="1" s="1"/>
  <c r="I585" i="1" a="1"/>
  <c r="I585" i="1" s="1"/>
  <c r="F592" i="1" a="1"/>
  <c r="F592" i="1" s="1"/>
  <c r="F589" i="1" a="1"/>
  <c r="F589" i="1" s="1"/>
  <c r="F31" i="1" a="1"/>
  <c r="F31" i="1" s="1"/>
  <c r="I589" i="1" a="1"/>
  <c r="I589" i="1" s="1"/>
  <c r="I592" i="1" a="1"/>
  <c r="I592" i="1" s="1"/>
  <c r="I1708" i="1" a="1"/>
  <c r="I1708" i="1" s="1"/>
  <c r="F1709" i="1" a="1"/>
  <c r="F1709" i="1" s="1"/>
  <c r="H1709" i="1" a="1"/>
  <c r="H1709" i="1" s="1"/>
  <c r="J1708" i="1" a="1"/>
  <c r="J1708" i="1" s="1"/>
  <c r="F617" i="1" a="1"/>
  <c r="F617" i="1" s="1"/>
  <c r="H1708" i="1" a="1"/>
  <c r="H1708" i="1" s="1"/>
  <c r="G1708" i="1" a="1"/>
  <c r="G1708" i="1" s="1"/>
  <c r="L1708" i="1" a="1"/>
  <c r="L1708" i="1" s="1"/>
  <c r="K1709" i="1" a="1"/>
  <c r="K1709" i="1" s="1"/>
  <c r="J1709" i="1" a="1"/>
  <c r="J1709" i="1" s="1"/>
  <c r="K1708" i="1" a="1"/>
  <c r="K1708" i="1" s="1"/>
  <c r="J622" i="1" a="1"/>
  <c r="J622" i="1" s="1"/>
  <c r="H31" i="1" a="1"/>
  <c r="H31" i="1" s="1"/>
  <c r="K619" i="1" a="1"/>
  <c r="K619" i="1" s="1"/>
  <c r="L1709" i="1" a="1"/>
  <c r="L1709" i="1" s="1"/>
  <c r="J31" i="1" a="1"/>
  <c r="J31" i="1" s="1"/>
  <c r="G1709" i="1" a="1"/>
  <c r="G1709" i="1" s="1"/>
  <c r="G622" i="1" a="1"/>
  <c r="G622" i="1" s="1"/>
  <c r="L31" i="1" a="1"/>
  <c r="L31" i="1" s="1"/>
  <c r="F620" i="1" a="1"/>
  <c r="F620" i="1" s="1"/>
  <c r="I1709" i="1" a="1"/>
  <c r="I1709" i="1" s="1"/>
  <c r="G31" i="1" a="1"/>
  <c r="G31" i="1" s="1"/>
  <c r="F1708" i="1" a="1"/>
  <c r="F1708" i="1" s="1"/>
  <c r="I31" i="1" a="1"/>
  <c r="I31" i="1" s="1"/>
  <c r="K31" i="1" a="1"/>
  <c r="K31" i="1" s="1"/>
  <c r="H610" i="1" a="1"/>
  <c r="H610" i="1" s="1"/>
  <c r="F622" i="1" a="1"/>
  <c r="F622" i="1" s="1"/>
  <c r="H622" i="1" a="1"/>
  <c r="H622" i="1" s="1"/>
  <c r="H619" i="1" a="1"/>
  <c r="H619" i="1" s="1"/>
  <c r="I622" i="1" a="1"/>
  <c r="I622" i="1" s="1"/>
  <c r="J618" i="1" a="1"/>
  <c r="J618" i="1" s="1"/>
  <c r="I610" i="1" a="1"/>
  <c r="I610" i="1" s="1"/>
  <c r="L620" i="1" a="1"/>
  <c r="L620" i="1" s="1"/>
  <c r="K620" i="1" a="1"/>
  <c r="K620" i="1" s="1"/>
  <c r="I620" i="1" a="1"/>
  <c r="I620" i="1" s="1"/>
  <c r="J619" i="1" a="1"/>
  <c r="J619" i="1" s="1"/>
  <c r="L609" i="1" a="1"/>
  <c r="L609" i="1" s="1"/>
  <c r="G618" i="1" a="1"/>
  <c r="G618" i="1" s="1"/>
  <c r="F618" i="1" a="1"/>
  <c r="F618" i="1" s="1"/>
  <c r="G617" i="1" a="1"/>
  <c r="G617" i="1" s="1"/>
  <c r="F610" i="1" a="1"/>
  <c r="F610" i="1" s="1"/>
  <c r="H609" i="1" a="1"/>
  <c r="H609" i="1" s="1"/>
  <c r="I617" i="1" a="1"/>
  <c r="I617" i="1" s="1"/>
  <c r="H620" i="1" a="1"/>
  <c r="H620" i="1" s="1"/>
  <c r="L617" i="1" a="1"/>
  <c r="L617" i="1" s="1"/>
  <c r="J610" i="1" a="1"/>
  <c r="J610" i="1" s="1"/>
  <c r="L610" i="1" a="1"/>
  <c r="L610" i="1" s="1"/>
  <c r="J620" i="1" a="1"/>
  <c r="J620" i="1" s="1"/>
  <c r="L618" i="1" a="1"/>
  <c r="L618" i="1" s="1"/>
  <c r="H618" i="1" a="1"/>
  <c r="H618" i="1" s="1"/>
  <c r="I619" i="1" a="1"/>
  <c r="I619" i="1" s="1"/>
  <c r="K618" i="1" a="1"/>
  <c r="K618" i="1" s="1"/>
  <c r="J617" i="1" a="1"/>
  <c r="J617" i="1" s="1"/>
  <c r="I609" i="1" a="1"/>
  <c r="I609" i="1" s="1"/>
  <c r="G596" i="1" a="1"/>
  <c r="G596" i="1" s="1"/>
  <c r="K595" i="1" a="1"/>
  <c r="K595" i="1" s="1"/>
  <c r="F606" i="1" a="1"/>
  <c r="F606" i="1" s="1"/>
  <c r="I603" i="1" a="1"/>
  <c r="I603" i="1" s="1"/>
  <c r="G609" i="1" a="1"/>
  <c r="G609" i="1" s="1"/>
  <c r="G610" i="1" a="1"/>
  <c r="G610" i="1" s="1"/>
  <c r="H595" i="1" a="1"/>
  <c r="H595" i="1" s="1"/>
  <c r="J607" i="1" a="1"/>
  <c r="J607" i="1" s="1"/>
  <c r="G619" i="1" a="1"/>
  <c r="G619" i="1" s="1"/>
  <c r="I607" i="1" a="1"/>
  <c r="I607" i="1" s="1"/>
  <c r="F609" i="1" a="1"/>
  <c r="F609" i="1" s="1"/>
  <c r="K596" i="1" a="1"/>
  <c r="K596" i="1" s="1"/>
  <c r="G606" i="1" a="1"/>
  <c r="G606" i="1" s="1"/>
  <c r="K606" i="1" a="1"/>
  <c r="K606" i="1" s="1"/>
  <c r="H607" i="1" a="1"/>
  <c r="H607" i="1" s="1"/>
  <c r="I602" i="1" a="1"/>
  <c r="I602" i="1" s="1"/>
  <c r="H602" i="1" a="1"/>
  <c r="H602" i="1" s="1"/>
  <c r="L596" i="1" a="1"/>
  <c r="L596" i="1" s="1"/>
  <c r="H606" i="1" a="1"/>
  <c r="H606" i="1" s="1"/>
  <c r="F596" i="1" a="1"/>
  <c r="F596" i="1" s="1"/>
  <c r="G595" i="1" a="1"/>
  <c r="G595" i="1" s="1"/>
  <c r="K607" i="1" a="1"/>
  <c r="K607" i="1" s="1"/>
  <c r="F607" i="1" a="1"/>
  <c r="F607" i="1" s="1"/>
  <c r="I596" i="1" a="1"/>
  <c r="I596" i="1" s="1"/>
  <c r="G603" i="1" a="1"/>
  <c r="G603" i="1" s="1"/>
  <c r="G607" i="1" a="1"/>
  <c r="G607" i="1" s="1"/>
  <c r="K603" i="1" a="1"/>
  <c r="K603" i="1" s="1"/>
  <c r="H596" i="1" a="1"/>
  <c r="H596" i="1" s="1"/>
  <c r="L606" i="1" a="1"/>
  <c r="L606" i="1" s="1"/>
  <c r="J596" i="1" a="1"/>
  <c r="J596" i="1" s="1"/>
  <c r="L607" i="1" a="1"/>
  <c r="L607" i="1" s="1"/>
  <c r="G2331" i="1" a="1"/>
  <c r="G2331" i="1" s="1"/>
  <c r="H2330" i="1" a="1"/>
  <c r="H2330" i="1" s="1"/>
  <c r="J2333" i="1" a="1"/>
  <c r="J2333" i="1" s="1"/>
  <c r="K2333" i="1" a="1"/>
  <c r="K2333" i="1" s="1"/>
  <c r="I2333" i="1" a="1"/>
  <c r="I2333" i="1" s="1"/>
  <c r="I2338" i="1" a="1"/>
  <c r="I2338" i="1" s="1"/>
  <c r="F2334" i="1" a="1"/>
  <c r="F2334" i="1" s="1"/>
  <c r="I2336" i="1" a="1"/>
  <c r="I2336" i="1" s="1"/>
  <c r="J2337" i="1" a="1"/>
  <c r="J2337" i="1" s="1"/>
  <c r="H2336" i="1" a="1"/>
  <c r="H2336" i="1" s="1"/>
  <c r="I2337" i="1" a="1"/>
  <c r="I2337" i="1" s="1"/>
  <c r="F2340" i="1" a="1"/>
  <c r="F2340" i="1" s="1"/>
  <c r="K2334" i="1" a="1"/>
  <c r="K2334" i="1" s="1"/>
  <c r="G2336" i="1" a="1"/>
  <c r="G2336" i="1" s="1"/>
  <c r="G2337" i="1" a="1"/>
  <c r="G2337" i="1" s="1"/>
  <c r="L2337" i="1" a="1"/>
  <c r="L2337" i="1" s="1"/>
  <c r="J2336" i="1" a="1"/>
  <c r="J2336" i="1" s="1"/>
  <c r="H2338" i="1" a="1"/>
  <c r="H2338" i="1" s="1"/>
  <c r="J2339" i="1" a="1"/>
  <c r="J2339" i="1" s="1"/>
  <c r="F2338" i="1" a="1"/>
  <c r="F2338" i="1" s="1"/>
  <c r="G2334" i="1" a="1"/>
  <c r="G2334" i="1" s="1"/>
  <c r="H2334" i="1" a="1"/>
  <c r="H2334" i="1" s="1"/>
  <c r="K2337" i="1" a="1"/>
  <c r="K2337" i="1" s="1"/>
  <c r="J2335" i="1" a="1"/>
  <c r="J2335" i="1" s="1"/>
  <c r="J2340" i="1" a="1"/>
  <c r="J2340" i="1" s="1"/>
  <c r="I2339" i="1" a="1"/>
  <c r="I2339" i="1" s="1"/>
  <c r="L2334" i="1" a="1"/>
  <c r="L2334" i="1" s="1"/>
  <c r="I2334" i="1" a="1"/>
  <c r="I2334" i="1" s="1"/>
  <c r="L2333" i="1" a="1"/>
  <c r="L2333" i="1" s="1"/>
  <c r="F2337" i="1" a="1"/>
  <c r="F2337" i="1" s="1"/>
  <c r="G2340" i="1" a="1"/>
  <c r="G2340" i="1" s="1"/>
  <c r="L2339" i="1" a="1"/>
  <c r="L2339" i="1" s="1"/>
  <c r="L2335" i="1" a="1"/>
  <c r="L2335" i="1" s="1"/>
  <c r="H2335" i="1" a="1"/>
  <c r="H2335" i="1" s="1"/>
  <c r="G2338" i="1" a="1"/>
  <c r="G2338" i="1" s="1"/>
  <c r="F2336" i="1" a="1"/>
  <c r="F2336" i="1" s="1"/>
  <c r="H2340" i="1" a="1"/>
  <c r="H2340" i="1" s="1"/>
  <c r="L2336" i="1" a="1"/>
  <c r="L2336" i="1" s="1"/>
  <c r="K2340" i="1" a="1"/>
  <c r="K2340" i="1" s="1"/>
  <c r="J2338" i="1" a="1"/>
  <c r="J2338" i="1" s="1"/>
  <c r="G2335" i="1" a="1"/>
  <c r="G2335" i="1" s="1"/>
  <c r="I2335" i="1" a="1"/>
  <c r="I2335" i="1" s="1"/>
  <c r="I2340" i="1" a="1"/>
  <c r="I2340" i="1" s="1"/>
  <c r="L2340" i="1" a="1"/>
  <c r="L2340" i="1" s="1"/>
  <c r="H2339" i="1" a="1"/>
  <c r="H2339" i="1" s="1"/>
  <c r="L2338" i="1" a="1"/>
  <c r="L2338" i="1" s="1"/>
  <c r="K2335" i="1" a="1"/>
  <c r="K2335" i="1" s="1"/>
  <c r="K2336" i="1" a="1"/>
  <c r="K2336" i="1" s="1"/>
  <c r="H2337" i="1" a="1"/>
  <c r="H2337" i="1" s="1"/>
  <c r="F2335" i="1" a="1"/>
  <c r="F2335" i="1" s="1"/>
  <c r="J2334" i="1" a="1"/>
  <c r="J2334" i="1" s="1"/>
  <c r="I2332" i="1" a="1"/>
  <c r="I2332" i="1" s="1"/>
  <c r="K2329" i="1" a="1"/>
  <c r="K2329" i="1" s="1"/>
  <c r="H2325" i="1" a="1"/>
  <c r="H2325" i="1" s="1"/>
  <c r="I2325" i="1" a="1"/>
  <c r="I2325" i="1" s="1"/>
  <c r="F2330" i="1" a="1"/>
  <c r="F2330" i="1" s="1"/>
  <c r="L2329" i="1" a="1"/>
  <c r="L2329" i="1" s="1"/>
  <c r="L2331" i="1" a="1"/>
  <c r="L2331" i="1" s="1"/>
  <c r="K2331" i="1" a="1"/>
  <c r="K2331" i="1" s="1"/>
  <c r="K2325" i="1" a="1"/>
  <c r="K2325" i="1" s="1"/>
  <c r="K2338" i="1" a="1"/>
  <c r="K2338" i="1" s="1"/>
  <c r="F2329" i="1" a="1"/>
  <c r="F2329" i="1" s="1"/>
  <c r="G2329" i="1" a="1"/>
  <c r="G2329" i="1" s="1"/>
  <c r="L2332" i="1" a="1"/>
  <c r="L2332" i="1" s="1"/>
  <c r="J2325" i="1" a="1"/>
  <c r="J2325" i="1" s="1"/>
  <c r="F2339" i="1" a="1"/>
  <c r="F2339" i="1" s="1"/>
  <c r="G2327" i="1" a="1"/>
  <c r="G2327" i="1" s="1"/>
  <c r="K2339" i="1" a="1"/>
  <c r="K2339" i="1" s="1"/>
  <c r="H2332" i="1" a="1"/>
  <c r="H2332" i="1" s="1"/>
  <c r="H2329" i="1" a="1"/>
  <c r="H2329" i="1" s="1"/>
  <c r="G2339" i="1" a="1"/>
  <c r="G2339" i="1" s="1"/>
  <c r="F2328" i="1" a="1"/>
  <c r="F2328" i="1" s="1"/>
  <c r="G2332" i="1" a="1"/>
  <c r="G2332" i="1" s="1"/>
  <c r="H2331" i="1" a="1"/>
  <c r="H2331" i="1" s="1"/>
  <c r="L2325" i="1" a="1"/>
  <c r="L2325" i="1" s="1"/>
  <c r="L2323" i="1" a="1"/>
  <c r="L2323" i="1" s="1"/>
  <c r="L2322" i="1" s="1" a="1"/>
  <c r="L2322" i="1" s="1"/>
  <c r="L2328" i="1" a="1"/>
  <c r="L2328" i="1" s="1"/>
  <c r="K2323" i="1" a="1"/>
  <c r="K2323" i="1" s="1"/>
  <c r="K2322" i="1" s="1" a="1"/>
  <c r="K2322" i="1" s="1"/>
  <c r="H2326" i="1" a="1"/>
  <c r="H2326" i="1" s="1"/>
  <c r="J2330" i="1" a="1"/>
  <c r="J2330" i="1" s="1"/>
  <c r="I2330" i="1" a="1"/>
  <c r="I2330" i="1" s="1"/>
  <c r="I2329" i="1" a="1"/>
  <c r="I2329" i="1" s="1"/>
  <c r="G2328" i="1" a="1"/>
  <c r="G2328" i="1" s="1"/>
  <c r="G2325" i="1" a="1"/>
  <c r="G2325" i="1" s="1"/>
  <c r="J2328" i="1" a="1"/>
  <c r="J2328" i="1" s="1"/>
  <c r="L2327" i="1" a="1"/>
  <c r="L2327" i="1" s="1"/>
  <c r="K2328" i="1" a="1"/>
  <c r="K2328" i="1" s="1"/>
  <c r="I2331" i="1" a="1"/>
  <c r="I2331" i="1" s="1"/>
  <c r="J2327" i="1" a="1"/>
  <c r="J2327" i="1" s="1"/>
  <c r="J2331" i="1" a="1"/>
  <c r="J2331" i="1" s="1"/>
  <c r="G2326" i="1" a="1"/>
  <c r="G2326" i="1" s="1"/>
  <c r="K2330" i="1" a="1"/>
  <c r="K2330" i="1" s="1"/>
  <c r="I2328" i="1" a="1"/>
  <c r="I2328" i="1" s="1"/>
  <c r="H2328" i="1" a="1"/>
  <c r="H2328" i="1" s="1"/>
  <c r="I2327" i="1" a="1"/>
  <c r="I2327" i="1" s="1"/>
  <c r="L2330" i="1" a="1"/>
  <c r="L2330" i="1" s="1"/>
  <c r="F2326" i="1" a="1"/>
  <c r="F2326" i="1" s="1"/>
  <c r="K2332" i="1" a="1"/>
  <c r="K2332" i="1" s="1"/>
  <c r="H2327" i="1" a="1"/>
  <c r="H2327" i="1" s="1"/>
  <c r="F2332" i="1" a="1"/>
  <c r="F2332" i="1" s="1"/>
  <c r="G2330" i="1" a="1"/>
  <c r="G2330" i="1" s="1"/>
  <c r="F2325" i="1" a="1"/>
  <c r="F2325" i="1" s="1"/>
  <c r="I2326" i="1" a="1"/>
  <c r="I2326" i="1" s="1"/>
  <c r="L2326" i="1" a="1"/>
  <c r="L2326" i="1" s="1"/>
  <c r="K2327" i="1" a="1"/>
  <c r="K2327" i="1" s="1"/>
  <c r="J2329" i="1" a="1"/>
  <c r="J2329" i="1" s="1"/>
  <c r="J2326" i="1" a="1"/>
  <c r="J2326" i="1" s="1"/>
  <c r="F2327" i="1" a="1"/>
  <c r="F2327" i="1" s="1"/>
  <c r="F2331" i="1" a="1"/>
  <c r="F2331" i="1" s="1"/>
  <c r="K2326" i="1" a="1"/>
  <c r="K2326" i="1" s="1"/>
  <c r="G2333" i="1" a="1"/>
  <c r="G2333" i="1" s="1"/>
  <c r="H2333" i="1" a="1"/>
  <c r="H2333" i="1" s="1"/>
  <c r="F2333" i="1" a="1"/>
  <c r="F2333" i="1" s="1"/>
  <c r="J2332" i="1" a="1"/>
  <c r="J2332" i="1" s="1"/>
  <c r="L2316" i="1" a="1"/>
  <c r="L2316" i="1" s="1"/>
  <c r="L2320" i="1" a="1"/>
  <c r="L2320" i="1" s="1"/>
  <c r="L2319" i="1" s="1" a="1"/>
  <c r="L2319" i="1" s="1"/>
  <c r="F2317" i="1" a="1"/>
  <c r="F2317" i="1" s="1"/>
  <c r="I2320" i="1" a="1"/>
  <c r="I2320" i="1" s="1"/>
  <c r="I2319" i="1" s="1" a="1"/>
  <c r="I2319" i="1" s="1"/>
  <c r="F2323" i="1" a="1"/>
  <c r="F2323" i="1" s="1"/>
  <c r="F2322" i="1" s="1" a="1"/>
  <c r="F2322" i="1" s="1"/>
  <c r="J2317" i="1" a="1"/>
  <c r="J2317" i="1" s="1"/>
  <c r="K2320" i="1" a="1"/>
  <c r="K2320" i="1" s="1"/>
  <c r="K2319" i="1" s="1" a="1"/>
  <c r="K2319" i="1" s="1"/>
  <c r="G2317" i="1" a="1"/>
  <c r="G2317" i="1" s="1"/>
  <c r="H2320" i="1" a="1"/>
  <c r="H2320" i="1" s="1"/>
  <c r="H2319" i="1" s="1" a="1"/>
  <c r="H2319" i="1" s="1"/>
  <c r="I2317" i="1" a="1"/>
  <c r="I2317" i="1" s="1"/>
  <c r="H2316" i="1" a="1"/>
  <c r="H2316" i="1" s="1"/>
  <c r="K2316" i="1" a="1"/>
  <c r="K2316" i="1" s="1"/>
  <c r="H2323" i="1" a="1"/>
  <c r="H2323" i="1" s="1"/>
  <c r="H2322" i="1" s="1" a="1"/>
  <c r="H2322" i="1" s="1"/>
  <c r="G2314" i="1" a="1"/>
  <c r="G2314" i="1" s="1"/>
  <c r="H2314" i="1" a="1"/>
  <c r="H2314" i="1" s="1"/>
  <c r="G2320" i="1" a="1"/>
  <c r="G2320" i="1" s="1"/>
  <c r="G2319" i="1" s="1" a="1"/>
  <c r="G2319" i="1" s="1"/>
  <c r="J2314" i="1" a="1"/>
  <c r="J2314" i="1" s="1"/>
  <c r="I2314" i="1" a="1"/>
  <c r="I2314" i="1" s="1"/>
  <c r="F2320" i="1" a="1"/>
  <c r="F2320" i="1" s="1"/>
  <c r="F2319" i="1" s="1" a="1"/>
  <c r="F2319" i="1" s="1"/>
  <c r="H2317" i="1" a="1"/>
  <c r="H2317" i="1" s="1"/>
  <c r="J2320" i="1" a="1"/>
  <c r="J2320" i="1" s="1"/>
  <c r="J2319" i="1" s="1" a="1"/>
  <c r="J2319" i="1" s="1"/>
  <c r="L2317" i="1" a="1"/>
  <c r="L2317" i="1" s="1"/>
  <c r="F2314" i="1" a="1"/>
  <c r="F2314" i="1" s="1"/>
  <c r="I2316" i="1" a="1"/>
  <c r="I2316" i="1" s="1"/>
  <c r="K2317" i="1" a="1"/>
  <c r="K2317" i="1" s="1"/>
  <c r="L2314" i="1" a="1"/>
  <c r="L2314" i="1" s="1"/>
  <c r="L2049" i="1" a="1"/>
  <c r="L2049" i="1" s="1"/>
  <c r="F2316" i="1" a="1"/>
  <c r="F2316" i="1" s="1"/>
  <c r="I2049" i="1" a="1"/>
  <c r="I2049" i="1" s="1"/>
  <c r="H2049" i="1" a="1"/>
  <c r="H2049" i="1" s="1"/>
  <c r="K2048" i="1" a="1"/>
  <c r="K2048" i="1" s="1"/>
  <c r="G2042" i="1" a="1"/>
  <c r="G2042" i="1" s="1"/>
  <c r="K2049" i="1" a="1"/>
  <c r="K2049" i="1" s="1"/>
  <c r="G2049" i="1" a="1"/>
  <c r="G2049" i="1" s="1"/>
  <c r="G2316" i="1" a="1"/>
  <c r="G2316" i="1" s="1"/>
  <c r="J2049" i="1" a="1"/>
  <c r="J2049" i="1" s="1"/>
  <c r="L2048" i="1" a="1"/>
  <c r="L2048" i="1" s="1"/>
  <c r="J2316" i="1" a="1"/>
  <c r="J2316" i="1" s="1"/>
  <c r="J2048" i="1" a="1"/>
  <c r="J2048" i="1" s="1"/>
  <c r="I2323" i="1" a="1"/>
  <c r="I2323" i="1" s="1"/>
  <c r="I2322" i="1" s="1" a="1"/>
  <c r="I2322" i="1" s="1"/>
  <c r="F2049" i="1" a="1"/>
  <c r="F2049" i="1" s="1"/>
  <c r="J2323" i="1" a="1"/>
  <c r="J2323" i="1" s="1"/>
  <c r="J2322" i="1" s="1" a="1"/>
  <c r="J2322" i="1" s="1"/>
  <c r="K2314" i="1" a="1"/>
  <c r="K2314" i="1" s="1"/>
  <c r="G2323" i="1" a="1"/>
  <c r="G2323" i="1" s="1"/>
  <c r="G2322" i="1" s="1" a="1"/>
  <c r="G2322" i="1" s="1"/>
  <c r="H2042" i="1" a="1"/>
  <c r="H2042" i="1" s="1"/>
  <c r="L2043" i="1" a="1"/>
  <c r="L2043" i="1" s="1"/>
  <c r="H2044" i="1" a="1"/>
  <c r="H2044" i="1" s="1"/>
  <c r="G2046" i="1" a="1"/>
  <c r="G2046" i="1" s="1"/>
  <c r="L2045" i="1" a="1"/>
  <c r="L2045" i="1" s="1"/>
  <c r="F2046" i="1" a="1"/>
  <c r="F2046" i="1" s="1"/>
  <c r="K2042" i="1" a="1"/>
  <c r="K2042" i="1" s="1"/>
  <c r="J2043" i="1" a="1"/>
  <c r="J2043" i="1" s="1"/>
  <c r="G2044" i="1" a="1"/>
  <c r="G2044" i="1" s="1"/>
  <c r="K2047" i="1" a="1"/>
  <c r="K2047" i="1" s="1"/>
  <c r="L2039" i="1" a="1"/>
  <c r="L2039" i="1" s="1"/>
  <c r="J2045" i="1" a="1"/>
  <c r="J2045" i="1" s="1"/>
  <c r="K2039" i="1" a="1"/>
  <c r="K2039" i="1" s="1"/>
  <c r="K2043" i="1" a="1"/>
  <c r="K2043" i="1" s="1"/>
  <c r="J2040" i="1" a="1"/>
  <c r="J2040" i="1" s="1"/>
  <c r="L2047" i="1" a="1"/>
  <c r="L2047" i="1" s="1"/>
  <c r="K2045" i="1" a="1"/>
  <c r="K2045" i="1" s="1"/>
  <c r="J2044" i="1" a="1"/>
  <c r="J2044" i="1" s="1"/>
  <c r="K2040" i="1" a="1"/>
  <c r="K2040" i="1" s="1"/>
  <c r="J2042" i="1" a="1"/>
  <c r="J2042" i="1" s="1"/>
  <c r="F2040" i="1" a="1"/>
  <c r="F2040" i="1" s="1"/>
  <c r="F2048" i="1" a="1"/>
  <c r="F2048" i="1" s="1"/>
  <c r="F2047" i="1" a="1"/>
  <c r="F2047" i="1" s="1"/>
  <c r="J2046" i="1" a="1"/>
  <c r="J2046" i="1" s="1"/>
  <c r="I2047" i="1" a="1"/>
  <c r="I2047" i="1" s="1"/>
  <c r="G2047" i="1" a="1"/>
  <c r="G2047" i="1" s="1"/>
  <c r="L2046" i="1" a="1"/>
  <c r="L2046" i="1" s="1"/>
  <c r="J2039" i="1" a="1"/>
  <c r="J2039" i="1" s="1"/>
  <c r="J2041" i="1" a="1"/>
  <c r="J2041" i="1" s="1"/>
  <c r="I2043" i="1" a="1"/>
  <c r="I2043" i="1" s="1"/>
  <c r="K2044" i="1" a="1"/>
  <c r="K2044" i="1" s="1"/>
  <c r="I2039" i="1" a="1"/>
  <c r="I2039" i="1" s="1"/>
  <c r="L2044" i="1" a="1"/>
  <c r="L2044" i="1" s="1"/>
  <c r="H2046" i="1" a="1"/>
  <c r="H2046" i="1" s="1"/>
  <c r="F2042" i="1" a="1"/>
  <c r="F2042" i="1" s="1"/>
  <c r="K2046" i="1" a="1"/>
  <c r="K2046" i="1" s="1"/>
  <c r="K2041" i="1" a="1"/>
  <c r="K2041" i="1" s="1"/>
  <c r="H2040" i="1" a="1"/>
  <c r="H2040" i="1" s="1"/>
  <c r="H2045" i="1" a="1"/>
  <c r="H2045" i="1" s="1"/>
  <c r="I2046" i="1" a="1"/>
  <c r="I2046" i="1" s="1"/>
  <c r="F2045" i="1" a="1"/>
  <c r="F2045" i="1" s="1"/>
  <c r="G2041" i="1" a="1"/>
  <c r="G2041" i="1" s="1"/>
  <c r="I2040" i="1" a="1"/>
  <c r="I2040" i="1" s="1"/>
  <c r="H2041" i="1" a="1"/>
  <c r="H2041" i="1" s="1"/>
  <c r="G2043" i="1" a="1"/>
  <c r="G2043" i="1" s="1"/>
  <c r="H2047" i="1" a="1"/>
  <c r="H2047" i="1" s="1"/>
  <c r="H2038" i="1" a="1"/>
  <c r="H2038" i="1" s="1"/>
  <c r="I2034" i="1" a="1"/>
  <c r="I2034" i="1" s="1"/>
  <c r="H2048" i="1" a="1"/>
  <c r="H2048" i="1"/>
  <c r="F2044" i="1" a="1"/>
  <c r="F2044" i="1" s="1"/>
  <c r="G2040" i="1" a="1"/>
  <c r="G2040" i="1" s="1"/>
  <c r="G2035" i="1" a="1"/>
  <c r="G2035" i="1" s="1"/>
  <c r="L2042" i="1" a="1"/>
  <c r="L2042" i="1" s="1"/>
  <c r="I2042" i="1" a="1"/>
  <c r="I2042" i="1" s="1"/>
  <c r="L2040" i="1" a="1"/>
  <c r="L2040" i="1" s="1"/>
  <c r="I2041" i="1" a="1"/>
  <c r="I2041" i="1" s="1"/>
  <c r="G2045" i="1" a="1"/>
  <c r="G2045" i="1" s="1"/>
  <c r="L2041" i="1" a="1"/>
  <c r="L2041" i="1" s="1"/>
  <c r="F2043" i="1" a="1"/>
  <c r="F2043" i="1" s="1"/>
  <c r="H2043" i="1" a="1"/>
  <c r="H2043" i="1" s="1"/>
  <c r="I2048" i="1" a="1"/>
  <c r="I2048" i="1" s="1"/>
  <c r="F2041" i="1" a="1"/>
  <c r="F2041" i="1" s="1"/>
  <c r="I2045" i="1" a="1"/>
  <c r="I2045" i="1" s="1"/>
  <c r="J2047" i="1" a="1"/>
  <c r="J2047" i="1" s="1"/>
  <c r="I2044" i="1" a="1"/>
  <c r="I2044" i="1" s="1"/>
  <c r="G2048" i="1" a="1"/>
  <c r="G2048" i="1" s="1"/>
  <c r="I2037" i="1" a="1"/>
  <c r="I2037" i="1" s="1"/>
  <c r="H2034" i="1" a="1"/>
  <c r="H2034" i="1" s="1"/>
  <c r="H2035" i="1" a="1"/>
  <c r="H2035" i="1" s="1"/>
  <c r="F2037" i="1" a="1"/>
  <c r="F2037" i="1" s="1"/>
  <c r="J2037" i="1" a="1"/>
  <c r="J2037" i="1" s="1"/>
  <c r="H2037" i="1" a="1"/>
  <c r="H2037" i="1" s="1"/>
  <c r="K2032" i="1" a="1"/>
  <c r="K2032" i="1" s="1"/>
  <c r="K2031" i="1" s="1" a="1"/>
  <c r="K2031" i="1" s="1"/>
  <c r="G2037" i="1" a="1"/>
  <c r="G2037" i="1" s="1"/>
  <c r="I2036" i="1" a="1"/>
  <c r="I2036" i="1" s="1"/>
  <c r="L2029" i="1" a="1"/>
  <c r="L2029" i="1" s="1"/>
  <c r="L2028" i="1" s="1" a="1"/>
  <c r="L2028" i="1" s="1"/>
  <c r="G2036" i="1" a="1"/>
  <c r="G2036" i="1" s="1"/>
  <c r="L2035" i="1" a="1"/>
  <c r="L2035" i="1" s="1"/>
  <c r="H2036" i="1" a="1"/>
  <c r="H2036" i="1" s="1"/>
  <c r="F2034" i="1" a="1"/>
  <c r="F2034" i="1" s="1"/>
  <c r="H2032" i="1" a="1"/>
  <c r="H2032" i="1" s="1"/>
  <c r="H2031" i="1" s="1" a="1"/>
  <c r="H2031" i="1" s="1"/>
  <c r="J2035" i="1" a="1"/>
  <c r="J2035" i="1" s="1"/>
  <c r="J2036" i="1" a="1"/>
  <c r="J2036" i="1" s="1"/>
  <c r="G2038" i="1" a="1"/>
  <c r="G2038" i="1" s="1"/>
  <c r="K2037" i="1" a="1"/>
  <c r="K2037" i="1" s="1"/>
  <c r="L2037" i="1" a="1"/>
  <c r="L2037" i="1" s="1"/>
  <c r="L2034" i="1" a="1"/>
  <c r="L2034" i="1" s="1"/>
  <c r="F2035" i="1" a="1"/>
  <c r="F2035" i="1" s="1"/>
  <c r="G2039" i="1" a="1"/>
  <c r="G2039" i="1" s="1"/>
  <c r="F2039" i="1" a="1"/>
  <c r="F2039" i="1" s="1"/>
  <c r="L2032" i="1" a="1"/>
  <c r="L2032" i="1" s="1"/>
  <c r="L2031" i="1" s="1" a="1"/>
  <c r="L2031" i="1" s="1"/>
  <c r="G2032" i="1" a="1"/>
  <c r="G2032" i="1" s="1"/>
  <c r="G2031" i="1" s="1" a="1"/>
  <c r="G2031" i="1" s="1"/>
  <c r="I2029" i="1" a="1"/>
  <c r="I2029" i="1" s="1"/>
  <c r="I2028" i="1" s="1" a="1"/>
  <c r="I2028" i="1" s="1"/>
  <c r="K2029" i="1" a="1"/>
  <c r="K2029" i="1" s="1"/>
  <c r="K2028" i="1" s="1" a="1"/>
  <c r="K2028" i="1" s="1"/>
  <c r="H2039" i="1" a="1"/>
  <c r="H2039" i="1" s="1"/>
  <c r="I2035" i="1" a="1"/>
  <c r="I2035" i="1" s="1"/>
  <c r="J2029" i="1" a="1"/>
  <c r="J2029" i="1" s="1"/>
  <c r="J2028" i="1" s="1" a="1"/>
  <c r="J2028" i="1" s="1"/>
  <c r="K2035" i="1" a="1"/>
  <c r="K2035" i="1" s="1"/>
  <c r="J2034" i="1" a="1"/>
  <c r="J2034" i="1" s="1"/>
  <c r="K2034" i="1" a="1"/>
  <c r="K2034" i="1" s="1"/>
  <c r="I2032" i="1" a="1"/>
  <c r="I2032" i="1" s="1"/>
  <c r="I2031" i="1" s="1" a="1"/>
  <c r="I2031" i="1" s="1"/>
  <c r="G2034" i="1" a="1"/>
  <c r="G2034" i="1" s="1"/>
  <c r="J2032" i="1" a="1"/>
  <c r="J2032" i="1" s="1"/>
  <c r="J2031" i="1" s="1" a="1"/>
  <c r="J2031" i="1" s="1"/>
  <c r="F2026" i="1" a="1"/>
  <c r="F2026" i="1" s="1"/>
  <c r="L2036" i="1" a="1"/>
  <c r="L2036" i="1" s="1"/>
  <c r="F2038" i="1" a="1"/>
  <c r="F2038" i="1" s="1"/>
  <c r="I2038" i="1" a="1"/>
  <c r="I2038" i="1" s="1"/>
  <c r="K2038" i="1" a="1"/>
  <c r="K2038" i="1" s="1"/>
  <c r="K2025" i="1" a="1"/>
  <c r="K2025" i="1" s="1"/>
  <c r="F2036" i="1" a="1"/>
  <c r="F2036" i="1" s="1"/>
  <c r="F2032" i="1" a="1"/>
  <c r="F2032" i="1" s="1"/>
  <c r="F2031" i="1" s="1" a="1"/>
  <c r="F2031" i="1" s="1"/>
  <c r="K2036" i="1" a="1"/>
  <c r="K2036" i="1" s="1"/>
  <c r="J2038" i="1" a="1"/>
  <c r="J2038" i="1" s="1"/>
  <c r="L2038" i="1" a="1"/>
  <c r="L2038" i="1" s="1"/>
  <c r="L2026" i="1" a="1"/>
  <c r="L2026" i="1" s="1"/>
  <c r="H2023" i="1" a="1"/>
  <c r="H2023" i="1" s="1"/>
  <c r="G2029" i="1" a="1"/>
  <c r="G2029" i="1" s="1"/>
  <c r="G2028" i="1" s="1" a="1"/>
  <c r="G2028" i="1" s="1"/>
  <c r="F2029" i="1" a="1"/>
  <c r="F2029" i="1" s="1"/>
  <c r="F2028" i="1" s="1" a="1"/>
  <c r="F2028" i="1" s="1"/>
  <c r="J2025" i="1" a="1"/>
  <c r="J2025" i="1" s="1"/>
  <c r="I2025" i="1" a="1"/>
  <c r="I2025" i="1" s="1"/>
  <c r="H2025" i="1" a="1"/>
  <c r="H2025" i="1" s="1"/>
  <c r="H2029" i="1" a="1"/>
  <c r="H2029" i="1" s="1"/>
  <c r="H2028" i="1" s="1" a="1"/>
  <c r="H2028" i="1" s="1"/>
  <c r="H2026" i="1" a="1"/>
  <c r="H2026" i="1" s="1"/>
  <c r="F2023" i="1" a="1"/>
  <c r="F2023" i="1" s="1"/>
  <c r="K2023" i="1" a="1"/>
  <c r="K2023" i="1" s="1"/>
  <c r="F2025" i="1" a="1"/>
  <c r="F2025" i="1" s="1"/>
  <c r="J2023" i="1" a="1"/>
  <c r="J2023" i="1" s="1"/>
  <c r="L2023" i="1" a="1"/>
  <c r="L2023" i="1" s="1"/>
  <c r="L743" i="1" a="1"/>
  <c r="L743" i="1" s="1"/>
  <c r="K2026" i="1" a="1"/>
  <c r="K2026" i="1" s="1"/>
  <c r="G2026" i="1" a="1"/>
  <c r="G2026" i="1" s="1"/>
  <c r="G2023" i="1" a="1"/>
  <c r="G2023" i="1" s="1"/>
  <c r="L2025" i="1" a="1"/>
  <c r="L2025" i="1" s="1"/>
  <c r="J2026" i="1" a="1"/>
  <c r="J2026" i="1" s="1"/>
  <c r="G2025" i="1" a="1"/>
  <c r="G2025" i="1" s="1"/>
  <c r="I2026" i="1" a="1"/>
  <c r="I2026" i="1" s="1"/>
  <c r="I2023" i="1" a="1"/>
  <c r="I2023" i="1" s="1"/>
  <c r="F743" i="1" a="1"/>
  <c r="F743" i="1" s="1"/>
  <c r="J743" i="1" a="1"/>
  <c r="J743" i="1" s="1"/>
  <c r="J740" i="1" a="1"/>
  <c r="J740" i="1" s="1"/>
  <c r="K743" i="1" a="1"/>
  <c r="K743" i="1" s="1"/>
  <c r="I743" i="1" a="1"/>
  <c r="I743" i="1" s="1"/>
  <c r="L740" i="1" a="1"/>
  <c r="L740" i="1" s="1"/>
  <c r="H743" i="1" a="1"/>
  <c r="H743" i="1" s="1"/>
  <c r="H740" i="1" a="1"/>
  <c r="H740" i="1" s="1"/>
  <c r="G740" i="1" a="1"/>
  <c r="G740" i="1" s="1"/>
  <c r="K740" i="1" a="1"/>
  <c r="K740" i="1" s="1"/>
  <c r="F740" i="1" a="1"/>
  <c r="F740" i="1" s="1"/>
  <c r="G719" i="1" a="1"/>
  <c r="G719" i="1" s="1"/>
  <c r="I740" i="1" a="1"/>
  <c r="I740" i="1" s="1"/>
  <c r="G743" i="1" a="1"/>
  <c r="G743" i="1" s="1"/>
  <c r="G716" i="1" a="1"/>
  <c r="G716" i="1" s="1"/>
  <c r="I718" i="1" a="1"/>
  <c r="I718" i="1" s="1"/>
  <c r="L727" i="1" a="1"/>
  <c r="L727" i="1" s="1"/>
  <c r="I716" i="1" a="1"/>
  <c r="I716" i="1" s="1"/>
  <c r="K720" i="1" a="1"/>
  <c r="K720" i="1" s="1"/>
  <c r="I727" i="1" a="1"/>
  <c r="I727" i="1" s="1"/>
  <c r="J727" i="1" a="1"/>
  <c r="J727" i="1" s="1"/>
  <c r="I719" i="1" a="1"/>
  <c r="I719" i="1" s="1"/>
  <c r="F724" i="1" a="1"/>
  <c r="F724" i="1" s="1"/>
  <c r="G727" i="1" a="1"/>
  <c r="G727" i="1" s="1"/>
  <c r="H727" i="1" a="1"/>
  <c r="H727" i="1" s="1"/>
  <c r="L716" i="1" a="1"/>
  <c r="L716" i="1" s="1"/>
  <c r="G718" i="1" a="1"/>
  <c r="G718" i="1" s="1"/>
  <c r="K719" i="1" a="1"/>
  <c r="K719" i="1" s="1"/>
  <c r="J719" i="1" a="1"/>
  <c r="J719" i="1" s="1"/>
  <c r="I720" i="1" a="1"/>
  <c r="I720" i="1" s="1"/>
  <c r="F727" i="1" a="1"/>
  <c r="F727" i="1" s="1"/>
  <c r="F716" i="1" a="1"/>
  <c r="F716" i="1" s="1"/>
  <c r="J720" i="1" a="1"/>
  <c r="J720" i="1" s="1"/>
  <c r="K727" i="1" a="1"/>
  <c r="K727" i="1" s="1"/>
  <c r="F719" i="1" a="1"/>
  <c r="F719" i="1" s="1"/>
  <c r="H720" i="1" a="1"/>
  <c r="H720" i="1" s="1"/>
  <c r="G720" i="1" a="1"/>
  <c r="G720" i="1" s="1"/>
  <c r="K648" i="1" a="1"/>
  <c r="K648" i="1" s="1"/>
  <c r="I652" i="1" a="1"/>
  <c r="I652" i="1" s="1"/>
  <c r="K687" i="1" a="1"/>
  <c r="K687" i="1" s="1"/>
  <c r="J666" i="1" a="1"/>
  <c r="J666" i="1" s="1"/>
  <c r="H664" i="1" a="1"/>
  <c r="H664" i="1" s="1"/>
  <c r="J664" i="1" a="1"/>
  <c r="J664" i="1" s="1"/>
  <c r="K664" i="1" a="1"/>
  <c r="K664" i="1" s="1"/>
  <c r="G665" i="1" a="1"/>
  <c r="G665" i="1" s="1"/>
  <c r="L664" i="1" a="1"/>
  <c r="L664" i="1" s="1"/>
  <c r="H682" i="1" a="1"/>
  <c r="H682" i="1" s="1"/>
  <c r="K665" i="1" a="1"/>
  <c r="K665" i="1" s="1"/>
  <c r="L665" i="1" a="1"/>
  <c r="L665" i="1" s="1"/>
  <c r="L666" i="1" a="1"/>
  <c r="L666" i="1" s="1"/>
  <c r="L650" i="1" a="1"/>
  <c r="L650" i="1" s="1"/>
  <c r="I666" i="1" a="1"/>
  <c r="I666" i="1" s="1"/>
  <c r="H665" i="1" a="1"/>
  <c r="H665" i="1" s="1"/>
  <c r="K666" i="1" a="1"/>
  <c r="K666" i="1" s="1"/>
  <c r="G666" i="1" a="1"/>
  <c r="G666" i="1" s="1"/>
  <c r="G664" i="1" a="1"/>
  <c r="G664" i="1" s="1"/>
  <c r="F665" i="1" a="1"/>
  <c r="F665" i="1" s="1"/>
  <c r="I664" i="1" a="1"/>
  <c r="I664" i="1" s="1"/>
  <c r="H666" i="1" a="1"/>
  <c r="H666" i="1" s="1"/>
  <c r="I665" i="1" a="1"/>
  <c r="I665" i="1" s="1"/>
  <c r="J652" i="1" a="1"/>
  <c r="J652" i="1" s="1"/>
  <c r="J665" i="1" a="1"/>
  <c r="J665" i="1" s="1"/>
  <c r="F685" i="1" a="1"/>
  <c r="F685" i="1" s="1"/>
  <c r="L687" i="1" a="1"/>
  <c r="L687" i="1" s="1"/>
  <c r="F666" i="1" a="1"/>
  <c r="F666" i="1" s="1"/>
  <c r="F664" i="1" a="1"/>
  <c r="F664" i="1" s="1"/>
  <c r="F653" i="1" a="1"/>
  <c r="F653" i="1" s="1"/>
  <c r="J650" i="1" a="1"/>
  <c r="J650" i="1" s="1"/>
  <c r="K647" i="1" a="1"/>
  <c r="K647" i="1" s="1"/>
  <c r="K649" i="1" a="1"/>
  <c r="K649" i="1" s="1"/>
  <c r="H649" i="1" a="1"/>
  <c r="H649" i="1" s="1"/>
  <c r="L653" i="1" a="1"/>
  <c r="L653" i="1" s="1"/>
  <c r="J653" i="1" a="1"/>
  <c r="J653" i="1" s="1"/>
  <c r="F647" i="1" a="1"/>
  <c r="F647" i="1" s="1"/>
  <c r="K645" i="1" a="1"/>
  <c r="K645" i="1" s="1"/>
  <c r="K652" i="1" a="1"/>
  <c r="K652" i="1" s="1"/>
  <c r="G648" i="1" a="1"/>
  <c r="G648" i="1" s="1"/>
  <c r="H650" i="1" a="1"/>
  <c r="H650" i="1" s="1"/>
  <c r="G652" i="1" a="1"/>
  <c r="G652" i="1" s="1"/>
  <c r="I649" i="1" a="1"/>
  <c r="I649" i="1" s="1"/>
  <c r="H653" i="1" a="1"/>
  <c r="H653" i="1" s="1"/>
  <c r="G645" i="1" a="1"/>
  <c r="G645" i="1" s="1"/>
  <c r="L647" i="1" a="1"/>
  <c r="L647" i="1" s="1"/>
  <c r="I645" i="1" a="1"/>
  <c r="I645" i="1" s="1"/>
  <c r="I647" i="1" a="1"/>
  <c r="I647" i="1" s="1"/>
  <c r="J647" i="1" a="1"/>
  <c r="J647" i="1" s="1"/>
  <c r="J649" i="1" a="1"/>
  <c r="J649" i="1" s="1"/>
  <c r="G649" i="1" a="1"/>
  <c r="G649" i="1" s="1"/>
  <c r="F650" i="1" a="1"/>
  <c r="F650" i="1" s="1"/>
  <c r="L645" i="1" a="1"/>
  <c r="L645" i="1" s="1"/>
  <c r="L648" i="1" a="1"/>
  <c r="L648" i="1" s="1"/>
  <c r="I650" i="1" a="1"/>
  <c r="I650" i="1" s="1"/>
  <c r="L649" i="1" a="1"/>
  <c r="L649" i="1" s="1"/>
  <c r="F652" i="1" a="1"/>
  <c r="F652" i="1" s="1"/>
  <c r="F645" i="1" a="1"/>
  <c r="F645" i="1" s="1"/>
  <c r="G653" i="1" a="1"/>
  <c r="G653" i="1" s="1"/>
  <c r="F649" i="1" a="1"/>
  <c r="F649" i="1" s="1"/>
  <c r="H647" i="1" a="1"/>
  <c r="H647" i="1" s="1"/>
  <c r="F638" i="1" a="1"/>
  <c r="F638" i="1" s="1"/>
  <c r="J635" i="1" a="1"/>
  <c r="J635" i="1" s="1"/>
  <c r="F648" i="1" a="1"/>
  <c r="F648" i="1" s="1"/>
  <c r="K640" i="1" a="1"/>
  <c r="K640" i="1" s="1"/>
  <c r="H645" i="1" a="1"/>
  <c r="H645" i="1" s="1"/>
  <c r="L638" i="1" a="1"/>
  <c r="L638" i="1" s="1"/>
  <c r="K639" i="1" a="1"/>
  <c r="K639" i="1" s="1"/>
  <c r="L640" i="1" a="1"/>
  <c r="L640" i="1" s="1"/>
  <c r="H648" i="1" a="1"/>
  <c r="H648" i="1" s="1"/>
  <c r="F639" i="1" a="1"/>
  <c r="F639" i="1" s="1"/>
  <c r="J640" i="1" a="1"/>
  <c r="J640" i="1" s="1"/>
  <c r="L652" i="1" a="1"/>
  <c r="L652" i="1" s="1"/>
  <c r="H652" i="1" a="1"/>
  <c r="H652" i="1" s="1"/>
  <c r="F635" i="1" a="1"/>
  <c r="F635" i="1" s="1"/>
  <c r="J645" i="1" a="1"/>
  <c r="J645" i="1" s="1"/>
  <c r="G650" i="1" a="1"/>
  <c r="G650" i="1" s="1"/>
  <c r="J639" i="1" a="1"/>
  <c r="J639" i="1" s="1"/>
  <c r="H640" i="1" a="1"/>
  <c r="H640" i="1" s="1"/>
  <c r="K650" i="1" a="1"/>
  <c r="K650" i="1" s="1"/>
  <c r="J637" i="1" a="1"/>
  <c r="J637" i="1" s="1"/>
  <c r="J638" i="1" a="1"/>
  <c r="J638" i="1" s="1"/>
  <c r="G647" i="1" a="1"/>
  <c r="G647" i="1" s="1"/>
  <c r="I648" i="1" a="1"/>
  <c r="I648" i="1" s="1"/>
  <c r="I653" i="1" a="1"/>
  <c r="I653" i="1" s="1"/>
  <c r="H635" i="1" a="1"/>
  <c r="H635" i="1" s="1"/>
  <c r="K638" i="1" a="1"/>
  <c r="K638" i="1" s="1"/>
  <c r="L639" i="1" a="1"/>
  <c r="L639" i="1"/>
  <c r="K635" i="1" a="1"/>
  <c r="K635" i="1" s="1"/>
  <c r="I640" i="1" a="1"/>
  <c r="I640" i="1" s="1"/>
  <c r="G640" i="1" a="1"/>
  <c r="G640" i="1" s="1"/>
  <c r="K653" i="1" a="1"/>
  <c r="K653" i="1" s="1"/>
  <c r="J648" i="1" a="1"/>
  <c r="J648" i="1" s="1"/>
  <c r="I635" i="1" a="1"/>
  <c r="I635" i="1" s="1"/>
  <c r="H642" i="1" a="1"/>
  <c r="H642" i="1" s="1"/>
  <c r="F628" i="1" a="1"/>
  <c r="F628" i="1" s="1"/>
  <c r="H637" i="1" a="1"/>
  <c r="H637" i="1" s="1"/>
  <c r="L635" i="1" a="1"/>
  <c r="L635" i="1" s="1"/>
  <c r="G638" i="1" a="1"/>
  <c r="G638" i="1" s="1"/>
  <c r="I643" i="1" a="1"/>
  <c r="I643" i="1" s="1"/>
  <c r="J643" i="1" a="1"/>
  <c r="J643" i="1" s="1"/>
  <c r="H639" i="1" a="1"/>
  <c r="H639" i="1" s="1"/>
  <c r="L643" i="1" a="1"/>
  <c r="L643" i="1" s="1"/>
  <c r="K642" i="1" a="1"/>
  <c r="K642" i="1" s="1"/>
  <c r="J642" i="1" a="1"/>
  <c r="J642" i="1" s="1"/>
  <c r="G637" i="1" a="1"/>
  <c r="G637" i="1" s="1"/>
  <c r="H638" i="1" a="1"/>
  <c r="H638" i="1" s="1"/>
  <c r="G643" i="1" a="1"/>
  <c r="G643" i="1" s="1"/>
  <c r="L642" i="1" a="1"/>
  <c r="L642" i="1" s="1"/>
  <c r="F637" i="1" a="1"/>
  <c r="F637" i="1" s="1"/>
  <c r="G625" i="1" a="1"/>
  <c r="G625" i="1" s="1"/>
  <c r="I637" i="1" a="1"/>
  <c r="I637" i="1" s="1"/>
  <c r="G642" i="1" a="1"/>
  <c r="G642" i="1" s="1"/>
  <c r="G639" i="1" a="1"/>
  <c r="G639" i="1" s="1"/>
  <c r="G635" i="1" a="1"/>
  <c r="G635" i="1" s="1"/>
  <c r="H643" i="1" a="1"/>
  <c r="H643" i="1" s="1"/>
  <c r="I639" i="1" a="1"/>
  <c r="I639" i="1" s="1"/>
  <c r="I642" i="1" a="1"/>
  <c r="I642" i="1" s="1"/>
  <c r="F640" i="1" a="1"/>
  <c r="F640" i="1" s="1"/>
  <c r="L637" i="1" a="1"/>
  <c r="L637" i="1" s="1"/>
  <c r="K637" i="1" a="1"/>
  <c r="K637" i="1" s="1"/>
  <c r="K643" i="1" a="1"/>
  <c r="K643" i="1" s="1"/>
  <c r="I638" i="1" a="1"/>
  <c r="I638" i="1" s="1"/>
  <c r="F643" i="1" a="1"/>
  <c r="F643" i="1" s="1"/>
  <c r="F642" i="1" a="1"/>
  <c r="F642" i="1" s="1"/>
  <c r="K629" i="1" a="1"/>
  <c r="K629" i="1" s="1"/>
  <c r="F630" i="1" a="1"/>
  <c r="F630" i="1" s="1"/>
  <c r="L627" i="1" a="1"/>
  <c r="L627" i="1" s="1"/>
  <c r="L625" i="1" a="1"/>
  <c r="L625" i="1" s="1"/>
  <c r="K623" i="1" a="1"/>
  <c r="K623" i="1" s="1"/>
  <c r="H629" i="1" a="1"/>
  <c r="H629" i="1" s="1"/>
  <c r="K627" i="1" a="1"/>
  <c r="K627" i="1" s="1"/>
  <c r="L629" i="1" a="1"/>
  <c r="L629" i="1" s="1"/>
  <c r="K628" i="1" a="1"/>
  <c r="K628" i="1" s="1"/>
  <c r="F625" i="1" a="1"/>
  <c r="F625" i="1" s="1"/>
  <c r="G628" i="1" a="1"/>
  <c r="G628" i="1" s="1"/>
  <c r="L628" i="1" a="1"/>
  <c r="L628" i="1" s="1"/>
  <c r="I625" i="1" a="1"/>
  <c r="I625" i="1" s="1"/>
  <c r="G633" i="1" a="1"/>
  <c r="G633" i="1" s="1"/>
  <c r="L623" i="1" a="1"/>
  <c r="L623" i="1" s="1"/>
  <c r="J625" i="1" a="1"/>
  <c r="J625" i="1" s="1"/>
  <c r="K633" i="1" a="1"/>
  <c r="K633" i="1" s="1"/>
  <c r="J627" i="1" a="1"/>
  <c r="J627" i="1" s="1"/>
  <c r="I632" i="1" a="1"/>
  <c r="I632" i="1" s="1"/>
  <c r="I630" i="1" a="1"/>
  <c r="I630" i="1" s="1"/>
  <c r="F629" i="1" a="1"/>
  <c r="F629" i="1" s="1"/>
  <c r="J623" i="1" a="1"/>
  <c r="J623" i="1" s="1"/>
  <c r="F632" i="1" a="1"/>
  <c r="F632" i="1" s="1"/>
  <c r="L633" i="1" a="1"/>
  <c r="L633" i="1" s="1"/>
  <c r="H627" i="1" a="1"/>
  <c r="H627" i="1" s="1"/>
  <c r="K625" i="1" a="1"/>
  <c r="K625" i="1" s="1"/>
  <c r="G629" i="1" a="1"/>
  <c r="G629" i="1" s="1"/>
  <c r="G627" i="1" a="1"/>
  <c r="G627" i="1" s="1"/>
  <c r="J633" i="1" a="1"/>
  <c r="J633" i="1" s="1"/>
  <c r="I633" i="1" a="1"/>
  <c r="I633" i="1" s="1"/>
  <c r="H633" i="1" a="1"/>
  <c r="H633" i="1" s="1"/>
  <c r="L632" i="1" a="1"/>
  <c r="L632" i="1" s="1"/>
  <c r="K632" i="1" a="1"/>
  <c r="K632" i="1" s="1"/>
  <c r="F633" i="1" a="1"/>
  <c r="F633" i="1" s="1"/>
  <c r="H632" i="1" a="1"/>
  <c r="H632" i="1" s="1"/>
  <c r="J630" i="1" a="1"/>
  <c r="J630" i="1" s="1"/>
  <c r="J629" i="1" a="1"/>
  <c r="J629" i="1" s="1"/>
  <c r="L630" i="1" a="1"/>
  <c r="L630" i="1" s="1"/>
  <c r="I628" i="1" a="1"/>
  <c r="I628" i="1" s="1"/>
  <c r="J632" i="1" a="1"/>
  <c r="J632" i="1" s="1"/>
  <c r="F627" i="1" a="1"/>
  <c r="F627" i="1" s="1"/>
  <c r="J628" i="1" a="1"/>
  <c r="J628" i="1" s="1"/>
  <c r="I627" i="1" a="1"/>
  <c r="I627" i="1" s="1"/>
  <c r="H625" i="1" a="1"/>
  <c r="H625" i="1" s="1"/>
  <c r="H630" i="1" a="1"/>
  <c r="H630" i="1" s="1"/>
  <c r="G630" i="1" a="1"/>
  <c r="G630" i="1" s="1"/>
  <c r="G632" i="1" a="1"/>
  <c r="G632" i="1" s="1"/>
  <c r="H628" i="1" a="1"/>
  <c r="H628" i="1" s="1"/>
  <c r="I629" i="1" a="1"/>
  <c r="I629" i="1" s="1"/>
  <c r="K630" i="1" a="1"/>
  <c r="K630" i="1" s="1"/>
  <c r="F619" i="1" a="1"/>
  <c r="F619" i="1" s="1"/>
  <c r="K617" i="1" a="1"/>
  <c r="K617" i="1" s="1"/>
  <c r="H623" i="1" a="1"/>
  <c r="H623" i="1" s="1"/>
  <c r="L622" i="1" a="1"/>
  <c r="L622" i="1" s="1"/>
  <c r="K610" i="1" a="1"/>
  <c r="K610" i="1" s="1"/>
  <c r="I623" i="1" a="1"/>
  <c r="I623" i="1" s="1"/>
  <c r="F623" i="1" a="1"/>
  <c r="F623" i="1" s="1"/>
  <c r="G620" i="1" a="1"/>
  <c r="G620" i="1" s="1"/>
  <c r="I618" i="1" a="1"/>
  <c r="I618" i="1" s="1"/>
  <c r="J609" i="1" a="1"/>
  <c r="J609" i="1" s="1"/>
  <c r="H617" i="1" a="1"/>
  <c r="H617" i="1" s="1"/>
  <c r="K609" i="1" a="1"/>
  <c r="K609" i="1" s="1"/>
  <c r="G623" i="1" a="1"/>
  <c r="G623" i="1" s="1"/>
  <c r="L619" i="1" a="1"/>
  <c r="L619" i="1" s="1"/>
  <c r="H719" i="1" a="1"/>
  <c r="H719" i="1" s="1"/>
  <c r="K724" i="1" a="1"/>
  <c r="K724" i="1" s="1"/>
  <c r="K716" i="1" a="1"/>
  <c r="K716" i="1" s="1"/>
  <c r="H718" i="1" a="1"/>
  <c r="H718" i="1" s="1"/>
  <c r="J724" i="1" a="1"/>
  <c r="J724" i="1" s="1"/>
  <c r="J718" i="1" a="1"/>
  <c r="J718" i="1" s="1"/>
  <c r="J716" i="1" a="1"/>
  <c r="J716" i="1" s="1"/>
  <c r="G724" i="1" a="1"/>
  <c r="G724" i="1" s="1"/>
  <c r="F718" i="1" a="1"/>
  <c r="F718" i="1" s="1"/>
  <c r="L724" i="1" a="1"/>
  <c r="L724" i="1" s="1"/>
  <c r="L720" i="1" a="1"/>
  <c r="L720" i="1" s="1"/>
  <c r="F720" i="1" a="1"/>
  <c r="F720" i="1" s="1"/>
  <c r="K718" i="1" a="1"/>
  <c r="K718" i="1" s="1"/>
  <c r="I724" i="1" a="1"/>
  <c r="I724" i="1" s="1"/>
  <c r="H716" i="1" a="1"/>
  <c r="H716" i="1" s="1"/>
  <c r="G709" i="1" a="1"/>
  <c r="G709" i="1" s="1"/>
  <c r="L718" i="1" a="1"/>
  <c r="L718" i="1" s="1"/>
  <c r="H709" i="1" a="1"/>
  <c r="H709" i="1" s="1"/>
  <c r="L719" i="1" a="1"/>
  <c r="L719" i="1" s="1"/>
  <c r="H724" i="1" a="1"/>
  <c r="H724" i="1" s="1"/>
  <c r="L697" i="1" a="1"/>
  <c r="L697" i="1" s="1"/>
  <c r="I709" i="1" a="1"/>
  <c r="I709" i="1" s="1"/>
  <c r="H697" i="1" a="1"/>
  <c r="H697" i="1" s="1"/>
  <c r="K697" i="1" a="1"/>
  <c r="K697" i="1" s="1"/>
  <c r="H687" i="1" a="1"/>
  <c r="H687" i="1" s="1"/>
  <c r="G688" i="1" a="1"/>
  <c r="G688" i="1" s="1"/>
  <c r="K682" i="1" a="1"/>
  <c r="K682" i="1" s="1"/>
  <c r="F709" i="1" a="1"/>
  <c r="F709" i="1" s="1"/>
  <c r="F711" i="1" a="1"/>
  <c r="F711" i="1" s="1"/>
  <c r="K711" i="1" a="1"/>
  <c r="K711" i="1" s="1"/>
  <c r="L696" i="1" a="1"/>
  <c r="L696" i="1" s="1"/>
  <c r="F697" i="1" a="1"/>
  <c r="F697" i="1" s="1"/>
  <c r="J697" i="1" a="1"/>
  <c r="J697" i="1" s="1"/>
  <c r="H711" i="1" a="1"/>
  <c r="H711" i="1" s="1"/>
  <c r="G711" i="1" a="1"/>
  <c r="G711" i="1" s="1"/>
  <c r="I711" i="1" a="1"/>
  <c r="I711" i="1" s="1"/>
  <c r="H696" i="1" a="1"/>
  <c r="H696" i="1" s="1"/>
  <c r="F696" i="1" a="1"/>
  <c r="F696" i="1" s="1"/>
  <c r="J711" i="1" a="1"/>
  <c r="J711" i="1" s="1"/>
  <c r="L709" i="1" a="1"/>
  <c r="L709" i="1" s="1"/>
  <c r="K696" i="1" a="1"/>
  <c r="K696" i="1" s="1"/>
  <c r="K709" i="1" a="1"/>
  <c r="K709" i="1" s="1"/>
  <c r="J687" i="1" a="1"/>
  <c r="J687" i="1" s="1"/>
  <c r="L711" i="1" a="1"/>
  <c r="L711" i="1" s="1"/>
  <c r="I697" i="1" a="1"/>
  <c r="I697" i="1" s="1"/>
  <c r="H683" i="1" a="1"/>
  <c r="H683" i="1" s="1"/>
  <c r="G697" i="1" a="1"/>
  <c r="G697" i="1" s="1"/>
  <c r="G696" i="1" a="1"/>
  <c r="G696" i="1" s="1"/>
  <c r="I696" i="1" a="1"/>
  <c r="I696" i="1" s="1"/>
  <c r="J709" i="1" a="1"/>
  <c r="J709" i="1" s="1"/>
  <c r="L682" i="1" a="1"/>
  <c r="L682" i="1" s="1"/>
  <c r="J696" i="1" a="1"/>
  <c r="J696" i="1" s="1"/>
  <c r="I681" i="1" a="1"/>
  <c r="I681" i="1" s="1"/>
  <c r="K681" i="1" a="1"/>
  <c r="K681" i="1" s="1"/>
  <c r="J681" i="1" a="1"/>
  <c r="J681" i="1" s="1"/>
  <c r="I688" i="1" a="1"/>
  <c r="I688" i="1" s="1"/>
  <c r="I683" i="1" a="1"/>
  <c r="I683" i="1" s="1"/>
  <c r="H688" i="1" a="1"/>
  <c r="H688" i="1" s="1"/>
  <c r="K683" i="1" a="1"/>
  <c r="K683" i="1" s="1"/>
  <c r="J683" i="1" a="1"/>
  <c r="J683" i="1" s="1"/>
  <c r="K685" i="1" a="1"/>
  <c r="K685" i="1" s="1"/>
  <c r="F682" i="1" a="1"/>
  <c r="F682" i="1" s="1"/>
  <c r="G683" i="1" a="1"/>
  <c r="G683" i="1" s="1"/>
  <c r="G687" i="1" a="1"/>
  <c r="G687" i="1" s="1"/>
  <c r="G685" i="1" a="1"/>
  <c r="G685" i="1" s="1"/>
  <c r="J688" i="1" a="1"/>
  <c r="J688" i="1" s="1"/>
  <c r="F687" i="1" a="1"/>
  <c r="F687" i="1" s="1"/>
  <c r="G682" i="1" a="1"/>
  <c r="G682" i="1" s="1"/>
  <c r="L688" i="1" a="1"/>
  <c r="L688" i="1" s="1"/>
  <c r="F688" i="1" a="1"/>
  <c r="F688" i="1" s="1"/>
  <c r="G681" i="1" a="1"/>
  <c r="G681" i="1" s="1"/>
  <c r="F681" i="1" a="1"/>
  <c r="F681" i="1" s="1"/>
  <c r="F683" i="1" a="1"/>
  <c r="F683" i="1" s="1"/>
  <c r="J682" i="1" a="1"/>
  <c r="J682" i="1" s="1"/>
  <c r="I682" i="1" a="1"/>
  <c r="I682" i="1" s="1"/>
  <c r="L683" i="1" a="1"/>
  <c r="L683" i="1" s="1"/>
  <c r="I685" i="1" a="1"/>
  <c r="I685" i="1" s="1"/>
  <c r="H685" i="1" a="1"/>
  <c r="H685" i="1" s="1"/>
  <c r="H681" i="1" a="1"/>
  <c r="H681" i="1" s="1"/>
  <c r="J685" i="1" a="1"/>
  <c r="J685" i="1" s="1"/>
  <c r="L685" i="1" a="1"/>
  <c r="L685" i="1" s="1"/>
  <c r="K688" i="1" a="1"/>
  <c r="K688" i="1" s="1"/>
  <c r="L681" i="1" a="1"/>
  <c r="L681" i="1" s="1"/>
  <c r="I687" i="1" a="1"/>
  <c r="I687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 s="1"/>
  <c r="L45" i="1" a="1"/>
  <c r="L45" i="1" s="1"/>
  <c r="L25" i="1" a="1"/>
  <c r="L25" i="1" s="1"/>
  <c r="H21" i="1" a="1"/>
  <c r="H21" i="1" s="1"/>
  <c r="F10" i="1" a="1"/>
  <c r="F10" i="1" s="1"/>
  <c r="J4" i="1" a="1"/>
  <c r="J4" i="1" s="1"/>
  <c r="K27" i="1" a="1"/>
  <c r="K27" i="1" s="1"/>
  <c r="J17" i="1" a="1"/>
  <c r="J17" i="1" s="1"/>
  <c r="L11" i="1" a="1"/>
  <c r="L11" i="1" s="1"/>
  <c r="H5" i="1" a="1"/>
  <c r="H5" i="1" s="1"/>
  <c r="G11" i="1" a="1"/>
  <c r="G11" i="1" s="1"/>
  <c r="L17" i="1" a="1"/>
  <c r="L17" i="1" s="1"/>
  <c r="L4" i="1" a="1"/>
  <c r="L4" i="1" s="1"/>
  <c r="G21" i="1" a="1"/>
  <c r="G21" i="1" s="1"/>
  <c r="G27" i="1" a="1"/>
  <c r="G27" i="1" s="1"/>
  <c r="H9" i="1" a="1"/>
  <c r="H9" i="1" s="1"/>
  <c r="F21" i="1" a="1"/>
  <c r="F21" i="1" s="1"/>
  <c r="I21" i="1" a="1"/>
  <c r="I21" i="1" s="1"/>
  <c r="G5" i="1" a="1"/>
  <c r="G5" i="1" s="1"/>
  <c r="K50" i="1" a="1"/>
  <c r="K50" i="1" s="1"/>
  <c r="J56" i="1" a="1"/>
  <c r="J56" i="1" s="1"/>
  <c r="G45" i="1" a="1"/>
  <c r="G45" i="1" s="1"/>
  <c r="L56" i="1" a="1"/>
  <c r="L56" i="1" s="1"/>
  <c r="K56" i="1" a="1"/>
  <c r="K56" i="1" s="1"/>
  <c r="I50" i="1" a="1"/>
  <c r="I50" i="1" s="1"/>
  <c r="K45" i="1" a="1"/>
  <c r="K45" i="1" s="1"/>
  <c r="H45" i="1" a="1"/>
  <c r="H45" i="1" s="1"/>
  <c r="G50" i="1" a="1"/>
  <c r="G50" i="1" s="1"/>
  <c r="J50" i="1" a="1"/>
  <c r="J50" i="1" s="1"/>
  <c r="F50" i="1" a="1"/>
  <c r="F50" i="1" s="1"/>
  <c r="I45" i="1" a="1"/>
  <c r="I45" i="1" s="1"/>
  <c r="H56" i="1" a="1"/>
  <c r="H56" i="1" s="1"/>
  <c r="H50" i="1" a="1"/>
  <c r="H50" i="1" s="1"/>
  <c r="F56" i="1" a="1"/>
  <c r="F56" i="1" s="1"/>
  <c r="L50" i="1" a="1"/>
  <c r="L50" i="1" s="1"/>
  <c r="F45" i="1" a="1"/>
  <c r="F45" i="1" s="1"/>
  <c r="J45" i="1" a="1"/>
  <c r="J45" i="1" s="1"/>
  <c r="I56" i="1" a="1"/>
  <c r="I56" i="1" s="1"/>
  <c r="G56" i="1" a="1"/>
  <c r="G56" i="1" s="1"/>
  <c r="F44" i="1" a="1"/>
  <c r="F44" i="1" s="1"/>
  <c r="G28" i="1" a="1"/>
  <c r="G28" i="1" s="1"/>
  <c r="I28" i="1" a="1"/>
  <c r="I28" i="1" s="1"/>
  <c r="L28" i="1" a="1"/>
  <c r="L28" i="1" s="1"/>
  <c r="H28" i="1" a="1"/>
  <c r="H28" i="1" s="1"/>
  <c r="J43" i="1" a="1"/>
  <c r="J43" i="1" s="1"/>
  <c r="L44" i="1" a="1"/>
  <c r="L44" i="1" s="1"/>
  <c r="L43" i="1" a="1"/>
  <c r="L43" i="1" s="1"/>
  <c r="G43" i="1" a="1"/>
  <c r="G43" i="1" s="1"/>
  <c r="J28" i="1" a="1"/>
  <c r="J28" i="1" s="1"/>
  <c r="F43" i="1" a="1"/>
  <c r="F43" i="1" s="1"/>
  <c r="F28" i="1" a="1"/>
  <c r="F28" i="1" s="1"/>
  <c r="H24" i="1" a="1"/>
  <c r="H24" i="1" s="1"/>
  <c r="K24" i="1" a="1"/>
  <c r="K24" i="1" s="1"/>
  <c r="L24" i="1" a="1"/>
  <c r="L24" i="1" s="1"/>
  <c r="K44" i="1" a="1"/>
  <c r="K44" i="1" s="1"/>
  <c r="H26" i="1" a="1"/>
  <c r="H26" i="1" s="1"/>
  <c r="K28" i="1" a="1"/>
  <c r="K28" i="1" s="1"/>
  <c r="J27" i="1" a="1"/>
  <c r="J27" i="1" s="1"/>
  <c r="J44" i="1" a="1"/>
  <c r="J44" i="1" s="1"/>
  <c r="G44" i="1" a="1"/>
  <c r="G44" i="1" s="1"/>
  <c r="H43" i="1" a="1"/>
  <c r="H43" i="1" s="1"/>
  <c r="G24" i="1" a="1"/>
  <c r="G24" i="1" s="1"/>
  <c r="I43" i="1" a="1"/>
  <c r="I43" i="1" s="1"/>
  <c r="F25" i="1" a="1"/>
  <c r="F25" i="1" s="1"/>
  <c r="I44" i="1" a="1"/>
  <c r="I44" i="1" s="1"/>
  <c r="I25" i="1" a="1"/>
  <c r="I25" i="1" s="1"/>
  <c r="K43" i="1" a="1"/>
  <c r="K43" i="1" s="1"/>
  <c r="L21" i="1" a="1"/>
  <c r="L21" i="1" s="1"/>
  <c r="H44" i="1" a="1"/>
  <c r="H44" i="1" s="1"/>
  <c r="H25" i="1" a="1"/>
  <c r="H25" i="1" s="1"/>
  <c r="L27" i="1" a="1"/>
  <c r="L27" i="1" s="1"/>
  <c r="I27" i="1" a="1"/>
  <c r="I27" i="1" s="1"/>
  <c r="J5" i="1" a="1"/>
  <c r="J5" i="1" s="1"/>
  <c r="I10" i="1" a="1"/>
  <c r="I10" i="1" s="1"/>
  <c r="F9" i="1" a="1"/>
  <c r="F9" i="1" s="1"/>
  <c r="L7" i="1" a="1"/>
  <c r="L7" i="1" s="1"/>
  <c r="H4" i="1" a="1"/>
  <c r="H4" i="1" s="1"/>
  <c r="J9" i="1" a="1"/>
  <c r="J9" i="1" s="1"/>
  <c r="G9" i="1" a="1"/>
  <c r="G9" i="1" s="1"/>
  <c r="J7" i="1" a="1"/>
  <c r="J7" i="1" s="1"/>
  <c r="L9" i="1" a="1"/>
  <c r="L9" i="1" s="1"/>
  <c r="H6" i="1" a="1"/>
  <c r="H6" i="1" s="1"/>
  <c r="K6" i="1" a="1"/>
  <c r="K6" i="1" s="1"/>
  <c r="F6" i="1" a="1"/>
  <c r="F6" i="1" s="1"/>
  <c r="I9" i="1" a="1"/>
  <c r="I9" i="1" s="1"/>
  <c r="G4" i="1" a="1"/>
  <c r="G4" i="1" s="1"/>
  <c r="I4" i="1" a="1"/>
  <c r="I4" i="1" s="1"/>
  <c r="F7" i="1" a="1"/>
  <c r="F7" i="1" s="1"/>
  <c r="L6" i="1" a="1"/>
  <c r="L6" i="1" s="1"/>
  <c r="I7" i="1" a="1"/>
  <c r="I7" i="1" s="1"/>
  <c r="K5" i="1" a="1"/>
  <c r="K5" i="1" s="1"/>
  <c r="I6" i="1" a="1"/>
  <c r="I6" i="1" s="1"/>
  <c r="K7" i="1" a="1"/>
  <c r="K7" i="1" s="1"/>
  <c r="K9" i="1" a="1"/>
  <c r="K9" i="1" s="1"/>
  <c r="K4" i="1" a="1"/>
  <c r="K4" i="1" s="1"/>
  <c r="G7" i="1" a="1"/>
  <c r="G7" i="1" s="1"/>
  <c r="G6" i="1" a="1"/>
  <c r="G6" i="1" s="1"/>
  <c r="F5" i="1" a="1"/>
  <c r="F5" i="1" s="1"/>
  <c r="H10" i="1" a="1"/>
  <c r="H10" i="1" s="1"/>
  <c r="G10" i="1" a="1"/>
  <c r="G10" i="1" s="1"/>
  <c r="I5" i="1" a="1"/>
  <c r="I5" i="1" s="1"/>
  <c r="H7" i="1" a="1"/>
  <c r="H7" i="1" s="1"/>
  <c r="J6" i="1" a="1"/>
  <c r="J6" i="1" s="1"/>
  <c r="L5" i="1" a="1"/>
  <c r="L5" i="1" s="1"/>
  <c r="F27" i="1" a="1"/>
  <c r="F27" i="1" s="1"/>
  <c r="F4" i="1" a="1"/>
  <c r="F4" i="1" s="1"/>
  <c r="K11" i="1" a="1"/>
  <c r="K11" i="1" s="1"/>
  <c r="L16" i="1" a="1"/>
  <c r="L16" i="1" s="1"/>
  <c r="J11" i="1" a="1"/>
  <c r="J11" i="1" s="1"/>
  <c r="J21" i="1" a="1"/>
  <c r="J21" i="1" s="1"/>
  <c r="K16" i="1" a="1"/>
  <c r="K16" i="1" s="1"/>
  <c r="H17" i="1" a="1"/>
  <c r="H17" i="1" s="1"/>
  <c r="G17" i="1" a="1"/>
  <c r="G17" i="1" s="1"/>
  <c r="K21" i="1" a="1"/>
  <c r="K21" i="1" s="1"/>
  <c r="J10" i="1" a="1"/>
  <c r="J10" i="1" s="1"/>
  <c r="K17" i="1" a="1"/>
  <c r="K17" i="1" s="1"/>
  <c r="H11" i="1" a="1"/>
  <c r="H11" i="1" s="1"/>
  <c r="I16" i="1" a="1"/>
  <c r="I16" i="1" s="1"/>
  <c r="G16" i="1" a="1"/>
  <c r="G16" i="1" s="1"/>
  <c r="L10" i="1" a="1"/>
  <c r="L10" i="1" s="1"/>
  <c r="F17" i="1" a="1"/>
  <c r="F17" i="1" s="1"/>
  <c r="L26" i="1" a="1"/>
  <c r="L26" i="1" s="1"/>
  <c r="K10" i="1" a="1"/>
  <c r="K10" i="1" s="1"/>
  <c r="F11" i="1" a="1"/>
  <c r="F11" i="1" s="1"/>
  <c r="I11" i="1" a="1"/>
  <c r="I11" i="1" s="1"/>
  <c r="H16" i="1" a="1"/>
  <c r="H16" i="1" s="1"/>
  <c r="F16" i="1" a="1"/>
  <c r="F16" i="1" s="1"/>
  <c r="J16" i="1" a="1"/>
  <c r="J16" i="1" s="1"/>
  <c r="I17" i="1" a="1"/>
  <c r="I17" i="1" s="1"/>
  <c r="J26" i="1" a="1"/>
  <c r="J26" i="1" s="1"/>
  <c r="I24" i="1" a="1"/>
  <c r="I24" i="1" s="1"/>
  <c r="K25" i="1" a="1"/>
  <c r="K25" i="1" s="1"/>
  <c r="K26" i="1" a="1"/>
  <c r="K26" i="1" s="1"/>
  <c r="I26" i="1" a="1"/>
  <c r="I26" i="1" s="1"/>
  <c r="F24" i="1" a="1"/>
  <c r="F24" i="1" s="1"/>
  <c r="H27" i="1" a="1"/>
  <c r="H27" i="1" s="1"/>
  <c r="J25" i="1" a="1"/>
  <c r="J25" i="1" s="1"/>
  <c r="J24" i="1" a="1"/>
  <c r="J24" i="1" s="1"/>
  <c r="G26" i="1" a="1"/>
  <c r="G26" i="1" s="1"/>
  <c r="F26" i="1" a="1"/>
  <c r="F26" i="1" s="1"/>
  <c r="G25" i="1" a="1"/>
  <c r="G25" i="1" s="1"/>
  <c r="H284" i="1" a="1"/>
  <c r="H284" i="1" s="1"/>
  <c r="J284" i="1" a="1"/>
  <c r="J284" i="1" s="1"/>
  <c r="L284" i="1" a="1"/>
  <c r="L284" i="1" s="1"/>
  <c r="L242" i="1" a="1"/>
  <c r="L242" i="1" s="1"/>
  <c r="G275" i="1" a="1"/>
  <c r="G275" i="1" s="1"/>
  <c r="J275" i="1" a="1"/>
  <c r="J275" i="1" s="1"/>
  <c r="J274" i="1" s="1"/>
  <c r="K284" i="1" a="1"/>
  <c r="K284" i="1" s="1"/>
  <c r="K283" i="1" s="1"/>
  <c r="K382" i="1" s="1"/>
  <c r="K513" i="1" s="1"/>
  <c r="I284" i="1" a="1"/>
  <c r="I284" i="1" s="1"/>
  <c r="G242" i="1" a="1"/>
  <c r="G242" i="1" s="1"/>
  <c r="G317" i="1" s="1"/>
  <c r="G472" i="1" s="1"/>
  <c r="K275" i="1" a="1"/>
  <c r="K275" i="1" s="1"/>
  <c r="K274" i="1" s="1"/>
  <c r="F284" i="1" a="1"/>
  <c r="F284" i="1" s="1"/>
  <c r="H275" i="1" a="1"/>
  <c r="H275" i="1" s="1"/>
  <c r="H274" i="1" s="1"/>
  <c r="H363" i="1" s="1"/>
  <c r="H504" i="1" s="1"/>
  <c r="L275" i="1" a="1"/>
  <c r="L275" i="1" s="1"/>
  <c r="K242" i="1" a="1"/>
  <c r="K242" i="1" s="1"/>
  <c r="K241" i="1" s="1"/>
  <c r="F275" i="1" a="1"/>
  <c r="F275" i="1" s="1"/>
  <c r="F274" i="1" s="1"/>
  <c r="F363" i="1" s="1"/>
  <c r="F504" i="1" s="1"/>
  <c r="I275" i="1" a="1"/>
  <c r="I275" i="1" s="1"/>
  <c r="I274" i="1" s="1"/>
  <c r="G284" i="1" a="1"/>
  <c r="G284" i="1" s="1"/>
  <c r="G61" i="1" a="1"/>
  <c r="G61" i="1" s="1"/>
  <c r="H59" i="1" a="1"/>
  <c r="H59" i="1" s="1"/>
  <c r="I242" i="1" a="1"/>
  <c r="I242" i="1" s="1"/>
  <c r="K199" i="1" a="1"/>
  <c r="K199" i="1" s="1"/>
  <c r="L199" i="1" a="1"/>
  <c r="L199" i="1" s="1"/>
  <c r="L59" i="1" a="1"/>
  <c r="L59" i="1" s="1"/>
  <c r="I60" i="1" a="1"/>
  <c r="I60" i="1" s="1"/>
  <c r="K62" i="1" a="1"/>
  <c r="K62" i="1" s="1"/>
  <c r="H199" i="1" a="1"/>
  <c r="H199" i="1" s="1"/>
  <c r="H62" i="1" a="1"/>
  <c r="H62" i="1" s="1"/>
  <c r="L62" i="1" a="1"/>
  <c r="L62" i="1" s="1"/>
  <c r="F59" i="1" a="1"/>
  <c r="F59" i="1" s="1"/>
  <c r="J199" i="1" a="1"/>
  <c r="J199" i="1" s="1"/>
  <c r="I199" i="1" a="1"/>
  <c r="I199" i="1" s="1"/>
  <c r="F61" i="1" a="1"/>
  <c r="F61" i="1" s="1"/>
  <c r="G59" i="1" a="1"/>
  <c r="G59" i="1" s="1"/>
  <c r="J60" i="1" a="1"/>
  <c r="J60" i="1" s="1"/>
  <c r="F199" i="1" a="1"/>
  <c r="F199" i="1" s="1"/>
  <c r="F198" i="1" s="1"/>
  <c r="G199" i="1" a="1"/>
  <c r="G199" i="1" s="1"/>
  <c r="J62" i="1" a="1"/>
  <c r="J62" i="1" s="1"/>
  <c r="F62" i="1" a="1"/>
  <c r="F62" i="1" s="1"/>
  <c r="H60" i="1" a="1"/>
  <c r="H60" i="1" s="1"/>
  <c r="K60" i="1" a="1"/>
  <c r="K60" i="1" s="1"/>
  <c r="I62" i="1" a="1"/>
  <c r="I62" i="1" s="1"/>
  <c r="G62" i="1" a="1"/>
  <c r="G62" i="1" s="1"/>
  <c r="F242" i="1" a="1"/>
  <c r="F242" i="1" s="1"/>
  <c r="L61" i="1" a="1"/>
  <c r="L61" i="1" s="1"/>
  <c r="L60" i="1" a="1"/>
  <c r="L60" i="1" s="1"/>
  <c r="G60" i="1" a="1"/>
  <c r="G60" i="1" s="1"/>
  <c r="H242" i="1" a="1"/>
  <c r="H242" i="1" s="1"/>
  <c r="H241" i="1" s="1"/>
  <c r="H316" i="1" s="1"/>
  <c r="H471" i="1" s="1"/>
  <c r="J242" i="1" a="1"/>
  <c r="J242" i="1" s="1"/>
  <c r="J241" i="1" s="1"/>
  <c r="J316" i="1" s="1"/>
  <c r="J471" i="1" s="1"/>
  <c r="H61" i="1" a="1"/>
  <c r="H61" i="1" s="1"/>
  <c r="H52" i="1" a="1"/>
  <c r="H52" i="1" s="1"/>
  <c r="G52" i="1" a="1"/>
  <c r="G52" i="1" s="1"/>
  <c r="F55" i="1" a="1"/>
  <c r="F55" i="1" s="1"/>
  <c r="I59" i="1" a="1"/>
  <c r="I59" i="1" s="1"/>
  <c r="J59" i="1" a="1"/>
  <c r="J59" i="1" s="1"/>
  <c r="L55" i="1" a="1"/>
  <c r="L55" i="1" s="1"/>
  <c r="K59" i="1" a="1"/>
  <c r="K59" i="1" s="1"/>
  <c r="L54" i="1" a="1"/>
  <c r="L54" i="1" s="1"/>
  <c r="K55" i="1" a="1"/>
  <c r="K55" i="1" s="1"/>
  <c r="K54" i="1" a="1"/>
  <c r="K54" i="1" s="1"/>
  <c r="H54" i="1" a="1"/>
  <c r="H54" i="1" s="1"/>
  <c r="F52" i="1" a="1"/>
  <c r="F52" i="1" s="1"/>
  <c r="L52" i="1" a="1"/>
  <c r="L52" i="1" s="1"/>
  <c r="I55" i="1" a="1"/>
  <c r="I55" i="1" s="1"/>
  <c r="I53" i="1" a="1"/>
  <c r="I53" i="1" s="1"/>
  <c r="J55" i="1" a="1"/>
  <c r="J55" i="1" s="1"/>
  <c r="G55" i="1" a="1"/>
  <c r="G55" i="1" s="1"/>
  <c r="J54" i="1" a="1"/>
  <c r="J54" i="1" s="1"/>
  <c r="F54" i="1" a="1"/>
  <c r="F54" i="1" s="1"/>
  <c r="H55" i="1" a="1"/>
  <c r="H55" i="1" s="1"/>
  <c r="J52" i="1" a="1"/>
  <c r="J52" i="1" s="1"/>
  <c r="H53" i="1" a="1"/>
  <c r="H53" i="1" s="1"/>
  <c r="I52" i="1" a="1"/>
  <c r="I52" i="1" s="1"/>
  <c r="G54" i="1" a="1"/>
  <c r="G54" i="1" s="1"/>
  <c r="G53" i="1" a="1"/>
  <c r="G53" i="1" s="1"/>
  <c r="I54" i="1" a="1"/>
  <c r="I54" i="1" s="1"/>
  <c r="K52" i="1" a="1"/>
  <c r="K52" i="1" s="1"/>
  <c r="F53" i="1" a="1"/>
  <c r="F53" i="1" s="1"/>
  <c r="J13" i="1" a="1"/>
  <c r="J13" i="1" s="1"/>
  <c r="L14" i="1" a="1"/>
  <c r="L14" i="1" s="1"/>
  <c r="I14" i="1" a="1"/>
  <c r="I14" i="1" s="1"/>
  <c r="L13" i="1" a="1"/>
  <c r="L13" i="1" s="1"/>
  <c r="L15" i="1" a="1"/>
  <c r="L15" i="1" s="1"/>
  <c r="G15" i="1" a="1"/>
  <c r="G15" i="1" s="1"/>
  <c r="H15" i="1" a="1"/>
  <c r="H15" i="1" s="1"/>
  <c r="H14" i="1" a="1"/>
  <c r="H14" i="1" s="1"/>
  <c r="K15" i="1" a="1"/>
  <c r="K15" i="1" s="1"/>
  <c r="K13" i="1" a="1"/>
  <c r="K13" i="1" s="1"/>
  <c r="J15" i="1" a="1"/>
  <c r="J15" i="1" s="1"/>
  <c r="I15" i="1" a="1"/>
  <c r="I15" i="1" s="1"/>
  <c r="F15" i="1" a="1"/>
  <c r="F15" i="1" s="1"/>
  <c r="G14" i="1" a="1"/>
  <c r="G14" i="1" s="1"/>
  <c r="G13" i="1" a="1"/>
  <c r="G13" i="1" s="1"/>
  <c r="I13" i="1" a="1"/>
  <c r="I13" i="1" s="1"/>
  <c r="F14" i="1" a="1"/>
  <c r="F14" i="1" s="1"/>
  <c r="H13" i="1" a="1"/>
  <c r="H13" i="1" s="1"/>
  <c r="F60" i="1" a="1"/>
  <c r="F60" i="1" s="1"/>
  <c r="F13" i="1" a="1"/>
  <c r="F13" i="1" s="1"/>
  <c r="K61" i="1" a="1"/>
  <c r="K61" i="1" s="1"/>
  <c r="J61" i="1" a="1"/>
  <c r="J61" i="1" s="1"/>
  <c r="K14" i="1" a="1"/>
  <c r="K14" i="1" s="1"/>
  <c r="J14" i="1" a="1"/>
  <c r="J14" i="1" s="1"/>
  <c r="J141" i="1" a="1"/>
  <c r="J141" i="1" s="1"/>
  <c r="L140" i="1" a="1"/>
  <c r="L140" i="1" s="1"/>
  <c r="K140" i="1" a="1"/>
  <c r="K140" i="1" s="1"/>
  <c r="I140" i="1" a="1"/>
  <c r="I140" i="1" s="1"/>
  <c r="F139" i="1" a="1"/>
  <c r="F139" i="1" s="1"/>
  <c r="H139" i="1" a="1"/>
  <c r="H139" i="1" s="1"/>
  <c r="K139" i="1" a="1"/>
  <c r="K139" i="1" s="1"/>
  <c r="F140" i="1" a="1"/>
  <c r="F140" i="1" s="1"/>
  <c r="I139" i="1" a="1"/>
  <c r="I139" i="1" s="1"/>
  <c r="H138" i="1" a="1"/>
  <c r="H138" i="1" s="1"/>
  <c r="H141" i="1" a="1"/>
  <c r="H141" i="1" s="1"/>
  <c r="I61" i="1" a="1"/>
  <c r="I61" i="1" s="1"/>
  <c r="L139" i="1" a="1"/>
  <c r="L139" i="1" s="1"/>
  <c r="L53" i="1" a="1"/>
  <c r="L53" i="1" s="1"/>
  <c r="J138" i="1" a="1"/>
  <c r="J138" i="1" s="1"/>
  <c r="G139" i="1" a="1"/>
  <c r="G139" i="1" s="1"/>
  <c r="J140" i="1" a="1"/>
  <c r="J140" i="1" s="1"/>
  <c r="L138" i="1" a="1"/>
  <c r="L138" i="1" s="1"/>
  <c r="G138" i="1" a="1"/>
  <c r="G138" i="1" s="1"/>
  <c r="H140" i="1" a="1"/>
  <c r="H140" i="1" s="1"/>
  <c r="F141" i="1" a="1"/>
  <c r="F141" i="1" s="1"/>
  <c r="K53" i="1" a="1"/>
  <c r="K53" i="1" s="1"/>
  <c r="J53" i="1" a="1"/>
  <c r="J53" i="1" s="1"/>
  <c r="J139" i="1" a="1"/>
  <c r="J139" i="1" s="1"/>
  <c r="G141" i="1" a="1"/>
  <c r="G141" i="1" s="1"/>
  <c r="I141" i="1" a="1"/>
  <c r="I141" i="1" s="1"/>
  <c r="L141" i="1" a="1"/>
  <c r="L141" i="1" s="1"/>
  <c r="G140" i="1" a="1"/>
  <c r="G140" i="1" s="1"/>
  <c r="K138" i="1" a="1"/>
  <c r="K138" i="1" s="1"/>
  <c r="F138" i="1" a="1"/>
  <c r="F138" i="1" s="1"/>
  <c r="I138" i="1" a="1"/>
  <c r="I138" i="1" s="1"/>
  <c r="K141" i="1" a="1"/>
  <c r="K141" i="1" s="1"/>
  <c r="L319" i="1" l="1"/>
  <c r="L474" i="1" s="1"/>
  <c r="G386" i="1"/>
  <c r="G517" i="1" s="1"/>
  <c r="F400" i="1"/>
  <c r="F520" i="1" s="1"/>
  <c r="J742" i="1" a="1"/>
  <c r="J742" i="1" s="1"/>
  <c r="J744" i="1" s="1" a="1"/>
  <c r="J744" i="1" s="1"/>
  <c r="H398" i="1"/>
  <c r="H439" i="1" s="1"/>
  <c r="J385" i="1"/>
  <c r="J516" i="1" s="1"/>
  <c r="G398" i="1"/>
  <c r="G439" i="1" s="1"/>
  <c r="K301" i="1"/>
  <c r="K465" i="1" s="1"/>
  <c r="F380" i="1"/>
  <c r="F437" i="1" s="1"/>
  <c r="K385" i="1"/>
  <c r="K516" i="1" s="1"/>
  <c r="G315" i="1"/>
  <c r="G420" i="1" s="1"/>
  <c r="L398" i="1"/>
  <c r="L439" i="1" s="1"/>
  <c r="K318" i="1"/>
  <c r="K473" i="1" s="1"/>
  <c r="J321" i="1"/>
  <c r="J476" i="1" s="1"/>
  <c r="I324" i="1"/>
  <c r="I479" i="1" s="1"/>
  <c r="I783" i="1"/>
  <c r="F314" i="1"/>
  <c r="F419" i="1" s="1"/>
  <c r="L322" i="1"/>
  <c r="L477" i="1" s="1"/>
  <c r="G385" i="1"/>
  <c r="G516" i="1" s="1"/>
  <c r="G320" i="1"/>
  <c r="G475" i="1" s="1"/>
  <c r="F384" i="1"/>
  <c r="F515" i="1" s="1"/>
  <c r="L386" i="1"/>
  <c r="L517" i="1" s="1"/>
  <c r="G384" i="1"/>
  <c r="G515" i="1" s="1"/>
  <c r="F318" i="1"/>
  <c r="F473" i="1" s="1"/>
  <c r="L320" i="1"/>
  <c r="L475" i="1" s="1"/>
  <c r="K323" i="1"/>
  <c r="K478" i="1" s="1"/>
  <c r="H380" i="1"/>
  <c r="H437" i="1" s="1"/>
  <c r="F386" i="1"/>
  <c r="F517" i="1" s="1"/>
  <c r="J398" i="1"/>
  <c r="J439" i="1" s="1"/>
  <c r="L126" i="1"/>
  <c r="I314" i="1"/>
  <c r="I419" i="1" s="1"/>
  <c r="K386" i="1"/>
  <c r="K517" i="1" s="1"/>
  <c r="F322" i="1"/>
  <c r="F477" i="1" s="1"/>
  <c r="H322" i="1"/>
  <c r="H477" i="1" s="1"/>
  <c r="J384" i="1"/>
  <c r="J515" i="1" s="1"/>
  <c r="K319" i="1"/>
  <c r="K474" i="1" s="1"/>
  <c r="J322" i="1"/>
  <c r="J477" i="1" s="1"/>
  <c r="I325" i="1"/>
  <c r="I480" i="1" s="1"/>
  <c r="H400" i="1"/>
  <c r="H520" i="1" s="1"/>
  <c r="G301" i="1"/>
  <c r="G465" i="1" s="1"/>
  <c r="F320" i="1"/>
  <c r="F475" i="1" s="1"/>
  <c r="K325" i="1"/>
  <c r="K480" i="1" s="1"/>
  <c r="F398" i="1"/>
  <c r="F439" i="1" s="1"/>
  <c r="J301" i="1"/>
  <c r="J465" i="1" s="1"/>
  <c r="I323" i="1"/>
  <c r="I478" i="1" s="1"/>
  <c r="H384" i="1"/>
  <c r="H515" i="1" s="1"/>
  <c r="L318" i="1"/>
  <c r="L473" i="1" s="1"/>
  <c r="K321" i="1"/>
  <c r="K476" i="1" s="1"/>
  <c r="L783" i="1"/>
  <c r="K300" i="1"/>
  <c r="K413" i="1" s="1"/>
  <c r="L300" i="1"/>
  <c r="L413" i="1" s="1"/>
  <c r="G322" i="1"/>
  <c r="G477" i="1" s="1"/>
  <c r="F325" i="1"/>
  <c r="F480" i="1" s="1"/>
  <c r="L324" i="1"/>
  <c r="L479" i="1" s="1"/>
  <c r="J125" i="1"/>
  <c r="K400" i="1"/>
  <c r="K520" i="1" s="1"/>
  <c r="L400" i="1"/>
  <c r="L520" i="1" s="1"/>
  <c r="J126" i="1"/>
  <c r="K314" i="1"/>
  <c r="K419" i="1" s="1"/>
  <c r="F315" i="1"/>
  <c r="F420" i="1" s="1"/>
  <c r="L323" i="1"/>
  <c r="L478" i="1" s="1"/>
  <c r="I380" i="1"/>
  <c r="I437" i="1" s="1"/>
  <c r="K398" i="1"/>
  <c r="K439" i="1" s="1"/>
  <c r="J380" i="1"/>
  <c r="J437" i="1" s="1"/>
  <c r="I399" i="1"/>
  <c r="I519" i="1" s="1"/>
  <c r="I318" i="1"/>
  <c r="I473" i="1" s="1"/>
  <c r="K380" i="1"/>
  <c r="K437" i="1" s="1"/>
  <c r="F399" i="1"/>
  <c r="F519" i="1" s="1"/>
  <c r="H324" i="1"/>
  <c r="H479" i="1" s="1"/>
  <c r="L380" i="1"/>
  <c r="L437" i="1" s="1"/>
  <c r="J386" i="1"/>
  <c r="J517" i="1" s="1"/>
  <c r="J315" i="1"/>
  <c r="J420" i="1" s="1"/>
  <c r="H318" i="1"/>
  <c r="H473" i="1" s="1"/>
  <c r="G321" i="1"/>
  <c r="G476" i="1" s="1"/>
  <c r="F324" i="1"/>
  <c r="F479" i="1" s="1"/>
  <c r="L384" i="1"/>
  <c r="L515" i="1" s="1"/>
  <c r="K399" i="1"/>
  <c r="K519" i="1" s="1"/>
  <c r="H325" i="1"/>
  <c r="H480" i="1" s="1"/>
  <c r="H783" i="1"/>
  <c r="G726" i="1" a="1"/>
  <c r="G726" i="1" s="1"/>
  <c r="G728" i="1" s="1" a="1"/>
  <c r="G728" i="1" s="1"/>
  <c r="K786" i="1"/>
  <c r="K787" i="1" s="1"/>
  <c r="K783" i="1"/>
  <c r="G324" i="1"/>
  <c r="G479" i="1" s="1"/>
  <c r="F122" i="1"/>
  <c r="I128" i="1"/>
  <c r="I300" i="1"/>
  <c r="I413" i="1" s="1"/>
  <c r="F300" i="1"/>
  <c r="F413" i="1" s="1"/>
  <c r="L315" i="1"/>
  <c r="L420" i="1" s="1"/>
  <c r="J300" i="1"/>
  <c r="J413" i="1" s="1"/>
  <c r="K324" i="1"/>
  <c r="K479" i="1" s="1"/>
  <c r="J399" i="1"/>
  <c r="J519" i="1" s="1"/>
  <c r="G300" i="1"/>
  <c r="G413" i="1" s="1"/>
  <c r="G319" i="1"/>
  <c r="G474" i="1" s="1"/>
  <c r="G380" i="1"/>
  <c r="G437" i="1" s="1"/>
  <c r="I122" i="1"/>
  <c r="L314" i="1"/>
  <c r="L419" i="1" s="1"/>
  <c r="J324" i="1"/>
  <c r="J479" i="1" s="1"/>
  <c r="I384" i="1"/>
  <c r="I515" i="1" s="1"/>
  <c r="L399" i="1"/>
  <c r="L519" i="1" s="1"/>
  <c r="K122" i="1"/>
  <c r="H315" i="1"/>
  <c r="H420" i="1" s="1"/>
  <c r="I315" i="1"/>
  <c r="I420" i="1" s="1"/>
  <c r="K384" i="1"/>
  <c r="K515" i="1" s="1"/>
  <c r="G400" i="1"/>
  <c r="G520" i="1" s="1"/>
  <c r="L385" i="1"/>
  <c r="L516" i="1" s="1"/>
  <c r="F118" i="1"/>
  <c r="G123" i="1"/>
  <c r="K315" i="1"/>
  <c r="K420" i="1" s="1"/>
  <c r="H301" i="1"/>
  <c r="H465" i="1" s="1"/>
  <c r="I319" i="1"/>
  <c r="I474" i="1" s="1"/>
  <c r="G325" i="1"/>
  <c r="G480" i="1" s="1"/>
  <c r="K123" i="1"/>
  <c r="I301" i="1"/>
  <c r="I465" i="1" s="1"/>
  <c r="G314" i="1"/>
  <c r="G419" i="1" s="1"/>
  <c r="K322" i="1"/>
  <c r="K477" i="1" s="1"/>
  <c r="J325" i="1"/>
  <c r="J480" i="1" s="1"/>
  <c r="F385" i="1"/>
  <c r="F516" i="1" s="1"/>
  <c r="I400" i="1"/>
  <c r="I520" i="1" s="1"/>
  <c r="K118" i="1"/>
  <c r="H314" i="1"/>
  <c r="H419" i="1" s="1"/>
  <c r="J400" i="1"/>
  <c r="J520" i="1" s="1"/>
  <c r="H386" i="1"/>
  <c r="H517" i="1" s="1"/>
  <c r="J319" i="1"/>
  <c r="J474" i="1" s="1"/>
  <c r="L325" i="1"/>
  <c r="L480" i="1" s="1"/>
  <c r="H385" i="1"/>
  <c r="H516" i="1" s="1"/>
  <c r="F301" i="1"/>
  <c r="F465" i="1" s="1"/>
  <c r="I386" i="1"/>
  <c r="I517" i="1" s="1"/>
  <c r="L301" i="1"/>
  <c r="L465" i="1" s="1"/>
  <c r="J314" i="1"/>
  <c r="J419" i="1" s="1"/>
  <c r="H320" i="1"/>
  <c r="H475" i="1" s="1"/>
  <c r="G323" i="1"/>
  <c r="G478" i="1" s="1"/>
  <c r="I385" i="1"/>
  <c r="I516" i="1" s="1"/>
  <c r="L124" i="1"/>
  <c r="H323" i="1"/>
  <c r="H478" i="1" s="1"/>
  <c r="I398" i="1"/>
  <c r="I439" i="1" s="1"/>
  <c r="H321" i="1"/>
  <c r="H476" i="1" s="1"/>
  <c r="J320" i="1"/>
  <c r="J475" i="1" s="1"/>
  <c r="G783" i="1"/>
  <c r="G318" i="1"/>
  <c r="G473" i="1" s="1"/>
  <c r="K320" i="1"/>
  <c r="K475" i="1" s="1"/>
  <c r="J323" i="1"/>
  <c r="J478" i="1" s="1"/>
  <c r="F786" i="1"/>
  <c r="F787" i="1" s="1"/>
  <c r="G399" i="1"/>
  <c r="G519" i="1" s="1"/>
  <c r="J362" i="1"/>
  <c r="J429" i="1" s="1"/>
  <c r="J198" i="1"/>
  <c r="L726" i="1" a="1"/>
  <c r="L726" i="1" s="1"/>
  <c r="L728" i="1" s="1" a="1"/>
  <c r="L728" i="1" s="1"/>
  <c r="I383" i="1"/>
  <c r="I514" i="1" s="1"/>
  <c r="I283" i="1"/>
  <c r="G364" i="1"/>
  <c r="G274" i="1"/>
  <c r="G363" i="1" s="1"/>
  <c r="G504" i="1" s="1"/>
  <c r="L317" i="1"/>
  <c r="L472" i="1" s="1"/>
  <c r="L241" i="1"/>
  <c r="L316" i="1" s="1"/>
  <c r="L471" i="1" s="1"/>
  <c r="K742" i="1" a="1"/>
  <c r="K742" i="1" s="1"/>
  <c r="K744" i="1" s="1" a="1"/>
  <c r="K744" i="1" s="1"/>
  <c r="K726" i="1" a="1"/>
  <c r="K726" i="1" s="1"/>
  <c r="K728" i="1" s="1" a="1"/>
  <c r="K728" i="1" s="1"/>
  <c r="F742" i="1" a="1"/>
  <c r="F742" i="1" s="1"/>
  <c r="F744" i="1" s="1" a="1"/>
  <c r="F744" i="1" s="1"/>
  <c r="F726" i="1" a="1"/>
  <c r="F726" i="1" s="1"/>
  <c r="F728" i="1" s="1" a="1"/>
  <c r="F728" i="1" s="1"/>
  <c r="L283" i="1"/>
  <c r="L382" i="1" s="1"/>
  <c r="L513" i="1" s="1"/>
  <c r="L383" i="1"/>
  <c r="L514" i="1" s="1"/>
  <c r="L362" i="1"/>
  <c r="L429" i="1" s="1"/>
  <c r="L198" i="1"/>
  <c r="K362" i="1"/>
  <c r="K429" i="1" s="1"/>
  <c r="K198" i="1"/>
  <c r="K361" i="1" s="1"/>
  <c r="K428" i="1" s="1"/>
  <c r="G383" i="1"/>
  <c r="G514" i="1" s="1"/>
  <c r="G283" i="1"/>
  <c r="G382" i="1" s="1"/>
  <c r="G513" i="1" s="1"/>
  <c r="L364" i="1"/>
  <c r="L274" i="1"/>
  <c r="L363" i="1" s="1"/>
  <c r="L504" i="1" s="1"/>
  <c r="H726" i="1" a="1"/>
  <c r="H726" i="1" s="1"/>
  <c r="H728" i="1" s="1" a="1"/>
  <c r="H728" i="1" s="1"/>
  <c r="H742" i="1" a="1"/>
  <c r="H742" i="1" s="1"/>
  <c r="H744" i="1" s="1" a="1"/>
  <c r="H744" i="1" s="1"/>
  <c r="I742" i="1" a="1"/>
  <c r="I742" i="1" s="1"/>
  <c r="I744" i="1" s="1" a="1"/>
  <c r="I744" i="1" s="1"/>
  <c r="I726" i="1" a="1"/>
  <c r="I726" i="1" s="1"/>
  <c r="I728" i="1" s="1" a="1"/>
  <c r="I728" i="1" s="1"/>
  <c r="I362" i="1"/>
  <c r="I429" i="1" s="1"/>
  <c r="I198" i="1"/>
  <c r="I361" i="1" s="1"/>
  <c r="I428" i="1" s="1"/>
  <c r="F383" i="1"/>
  <c r="F514" i="1" s="1"/>
  <c r="F283" i="1"/>
  <c r="F382" i="1" s="1"/>
  <c r="F513" i="1" s="1"/>
  <c r="J383" i="1"/>
  <c r="J514" i="1" s="1"/>
  <c r="J283" i="1"/>
  <c r="J382" i="1" s="1"/>
  <c r="J513" i="1" s="1"/>
  <c r="H283" i="1"/>
  <c r="H382" i="1" s="1"/>
  <c r="H513" i="1" s="1"/>
  <c r="H383" i="1"/>
  <c r="H514" i="1" s="1"/>
  <c r="G198" i="1"/>
  <c r="G361" i="1" s="1"/>
  <c r="G428" i="1" s="1"/>
  <c r="G362" i="1"/>
  <c r="G429" i="1" s="1"/>
  <c r="H362" i="1"/>
  <c r="H429" i="1" s="1"/>
  <c r="H198" i="1"/>
  <c r="H361" i="1" s="1"/>
  <c r="H428" i="1" s="1"/>
  <c r="J726" i="1" a="1"/>
  <c r="J726" i="1" s="1"/>
  <c r="J728" i="1" s="1" a="1"/>
  <c r="J728" i="1" s="1"/>
  <c r="G742" i="1" a="1"/>
  <c r="G742" i="1" s="1"/>
  <c r="G744" i="1" s="1" a="1"/>
  <c r="G744" i="1" s="1"/>
  <c r="L742" i="1" a="1"/>
  <c r="L742" i="1" s="1"/>
  <c r="L744" i="1" s="1" a="1"/>
  <c r="L744" i="1" s="1"/>
  <c r="K383" i="1"/>
  <c r="K514" i="1" s="1"/>
  <c r="F241" i="1"/>
  <c r="F316" i="1" s="1"/>
  <c r="F471" i="1" s="1"/>
  <c r="I363" i="1"/>
  <c r="I504" i="1" s="1"/>
  <c r="J363" i="1"/>
  <c r="J504" i="1" s="1"/>
  <c r="K363" i="1"/>
  <c r="K504" i="1" s="1"/>
  <c r="F361" i="1"/>
  <c r="F428" i="1" s="1"/>
  <c r="F364" i="1"/>
  <c r="J361" i="1"/>
  <c r="J428" i="1" s="1"/>
  <c r="I364" i="1"/>
  <c r="H317" i="1"/>
  <c r="H472" i="1" s="1"/>
  <c r="J364" i="1"/>
  <c r="I382" i="1"/>
  <c r="I513" i="1" s="1"/>
  <c r="J317" i="1"/>
  <c r="J472" i="1" s="1"/>
  <c r="F362" i="1"/>
  <c r="F429" i="1" s="1"/>
  <c r="G119" i="1"/>
  <c r="I241" i="1"/>
  <c r="I316" i="1" s="1"/>
  <c r="I471" i="1" s="1"/>
  <c r="I322" i="1"/>
  <c r="I477" i="1" s="1"/>
  <c r="G126" i="1"/>
  <c r="H319" i="1"/>
  <c r="H474" i="1" s="1"/>
  <c r="F317" i="1"/>
  <c r="F472" i="1" s="1"/>
  <c r="H364" i="1"/>
  <c r="K126" i="1"/>
  <c r="I317" i="1"/>
  <c r="I472" i="1" s="1"/>
  <c r="L361" i="1"/>
  <c r="L428" i="1" s="1"/>
  <c r="K364" i="1"/>
  <c r="K316" i="1"/>
  <c r="K471" i="1" s="1"/>
  <c r="J783" i="1"/>
  <c r="L123" i="1"/>
  <c r="I320" i="1"/>
  <c r="I475" i="1" s="1"/>
  <c r="H128" i="1"/>
  <c r="F121" i="1"/>
  <c r="H124" i="1"/>
  <c r="F321" i="1"/>
  <c r="F476" i="1" s="1"/>
  <c r="K128" i="1"/>
  <c r="K317" i="1"/>
  <c r="K472" i="1" s="1"/>
  <c r="G118" i="1"/>
  <c r="I121" i="1"/>
  <c r="F129" i="1"/>
  <c r="I321" i="1"/>
  <c r="I476" i="1" s="1"/>
  <c r="H300" i="1"/>
  <c r="H413" i="1" s="1"/>
  <c r="I129" i="1"/>
  <c r="J118" i="1"/>
  <c r="J129" i="1"/>
  <c r="J318" i="1"/>
  <c r="J473" i="1" s="1"/>
  <c r="L321" i="1"/>
  <c r="L476" i="1" s="1"/>
  <c r="G241" i="1"/>
  <c r="G316" i="1" s="1"/>
  <c r="G471" i="1" s="1"/>
  <c r="G120" i="1"/>
  <c r="F319" i="1"/>
  <c r="F474" i="1" s="1"/>
  <c r="G925" i="1"/>
  <c r="G924" i="1" s="1"/>
  <c r="G899" i="1"/>
  <c r="G902" i="1"/>
  <c r="I925" i="1"/>
  <c r="I924" i="1" s="1"/>
  <c r="K925" i="1"/>
  <c r="K924" i="1" s="1"/>
  <c r="I899" i="1"/>
  <c r="I902" i="1"/>
  <c r="H903" i="1"/>
  <c r="H925" i="1"/>
  <c r="H924" i="1" s="1"/>
  <c r="J899" i="1"/>
  <c r="K899" i="1"/>
  <c r="L899" i="1"/>
  <c r="H902" i="1"/>
  <c r="L903" i="1"/>
  <c r="L925" i="1"/>
  <c r="L924" i="1" s="1"/>
  <c r="F895" i="1"/>
  <c r="F903" i="1" s="1"/>
  <c r="F925" i="1"/>
  <c r="F924" i="1" s="1"/>
  <c r="J903" i="1"/>
  <c r="J925" i="1"/>
  <c r="J924" i="1" s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0" i="1" l="1"/>
  <c r="L310" i="1"/>
  <c r="F902" i="1"/>
  <c r="F899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14" i="1" s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40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1004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652" i="1" l="1"/>
  <c r="L1160" i="1"/>
  <c r="L1555" i="1"/>
  <c r="L1653" i="1"/>
  <c r="L1651" i="1" s="1"/>
  <c r="L1650" i="1" s="1"/>
  <c r="L1603" i="1"/>
  <c r="L1556" i="1"/>
  <c r="L1554" i="1" s="1"/>
  <c r="L1553" i="1" s="1"/>
  <c r="L1512" i="1"/>
  <c r="L1161" i="1"/>
  <c r="L1159" i="1" s="1"/>
  <c r="L1158" i="1" s="1"/>
  <c r="L624" i="1"/>
  <c r="L1602" i="1"/>
  <c r="L1601" i="1" s="1"/>
  <c r="L1600" i="1" s="1"/>
  <c r="L1511" i="1"/>
  <c r="L1510" i="1" s="1"/>
  <c r="L1509" i="1" s="1"/>
  <c r="L2050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48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291" i="1" l="1"/>
  <c r="L375" i="1"/>
  <c r="L1206" i="1"/>
  <c r="L1331" i="1"/>
  <c r="L1415" i="1"/>
  <c r="L1610" i="1"/>
  <c r="L1563" i="1"/>
  <c r="L1184" i="1"/>
  <c r="L1571" i="1"/>
  <c r="L1618" i="1"/>
  <c r="L1207" i="1"/>
  <c r="L1345" i="1"/>
  <c r="L1429" i="1"/>
  <c r="L1562" i="1"/>
  <c r="L1561" i="1" s="1"/>
  <c r="L1560" i="1" s="1"/>
  <c r="L1658" i="1"/>
  <c r="L1659" i="1" s="1"/>
  <c r="L1617" i="1"/>
  <c r="L1428" i="1"/>
  <c r="L1570" i="1"/>
  <c r="L365" i="1"/>
  <c r="L1183" i="1"/>
  <c r="L1609" i="1"/>
  <c r="L1414" i="1"/>
  <c r="L1330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537" i="1"/>
  <c r="L692" i="1"/>
  <c r="L690" i="1"/>
  <c r="L503" i="1"/>
  <c r="L510" i="1"/>
  <c r="L548" i="1"/>
  <c r="L535" i="1"/>
  <c r="L536" i="1"/>
  <c r="L463" i="1" l="1"/>
  <c r="L1182" i="1"/>
  <c r="L425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I1653" i="1"/>
  <c r="F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I1571" i="1"/>
  <c r="F1618" i="1"/>
  <c r="G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H1603" i="1"/>
  <c r="G1556" i="1"/>
  <c r="F1563" i="1"/>
  <c r="F1610" i="1"/>
  <c r="G1603" i="1"/>
  <c r="I1603" i="1"/>
  <c r="I1563" i="1"/>
  <c r="F1603" i="1"/>
  <c r="G1610" i="1"/>
  <c r="I1610" i="1"/>
  <c r="H1556" i="1"/>
  <c r="H1610" i="1"/>
  <c r="G1563" i="1"/>
  <c r="F1556" i="1"/>
  <c r="I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H1512" i="1"/>
  <c r="F1415" i="1"/>
  <c r="G1512" i="1"/>
  <c r="G1429" i="1"/>
  <c r="H1429" i="1"/>
  <c r="F1512" i="1"/>
  <c r="I1415" i="1"/>
  <c r="H1415" i="1"/>
  <c r="I1429" i="1"/>
  <c r="G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I1331" i="1"/>
  <c r="I1345" i="1"/>
  <c r="F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H1207" i="1"/>
  <c r="H1184" i="1"/>
  <c r="I1184" i="1"/>
  <c r="F1207" i="1"/>
  <c r="F1184" i="1"/>
  <c r="G1184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F1161" i="1"/>
  <c r="G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6" i="1"/>
  <c r="I1615" i="1" s="1"/>
  <c r="I1569" i="1"/>
  <c r="I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571" i="1"/>
  <c r="K1345" i="1"/>
  <c r="K1207" i="1"/>
  <c r="K1429" i="1"/>
  <c r="K1618" i="1"/>
  <c r="K1206" i="1"/>
  <c r="K1428" i="1"/>
  <c r="K1570" i="1"/>
  <c r="K1344" i="1"/>
  <c r="K1617" i="1"/>
  <c r="J1429" i="1"/>
  <c r="J1618" i="1"/>
  <c r="J1571" i="1"/>
  <c r="J1207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I1652" i="1"/>
  <c r="I1555" i="1"/>
  <c r="I1602" i="1"/>
  <c r="I1511" i="1"/>
  <c r="I1510" i="1" s="1"/>
  <c r="I1509" i="1" s="1"/>
  <c r="I1160" i="1"/>
  <c r="I1159" i="1" s="1"/>
  <c r="I1158" i="1" s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413" i="1" s="1"/>
  <c r="I1412" i="1" s="1"/>
  <c r="I1330" i="1"/>
  <c r="I1329" i="1" s="1"/>
  <c r="I1328" i="1" s="1"/>
  <c r="I1183" i="1"/>
  <c r="I1182" i="1" s="1"/>
  <c r="I1181" i="1" s="1"/>
  <c r="G1159" i="1"/>
  <c r="G1158" i="1" s="1"/>
  <c r="G1651" i="1"/>
  <c r="G1554" i="1"/>
  <c r="G1553" i="1" s="1"/>
  <c r="G1601" i="1"/>
  <c r="G1600" i="1" s="1"/>
  <c r="G1510" i="1"/>
  <c r="G1509" i="1" s="1"/>
  <c r="H1182" i="1"/>
  <c r="H1181" i="1" s="1"/>
  <c r="I1608" i="1"/>
  <c r="I1607" i="1" s="1"/>
  <c r="F33" i="1"/>
  <c r="F1723" i="1" s="1"/>
  <c r="H33" i="1"/>
  <c r="H1723" i="1" s="1"/>
  <c r="G33" i="1"/>
  <c r="G1723" i="1" s="1"/>
  <c r="I33" i="1"/>
  <c r="I1723" i="1" s="1"/>
  <c r="I1651" i="1"/>
  <c r="I1601" i="1"/>
  <c r="I1600" i="1" s="1"/>
  <c r="I1554" i="1"/>
  <c r="I155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58" i="1" s="1"/>
  <c r="J1659" i="1" s="1"/>
  <c r="K38" i="1"/>
  <c r="K1330" i="1" s="1"/>
  <c r="J1183" i="1" l="1"/>
  <c r="J1609" i="1"/>
  <c r="K1414" i="1"/>
  <c r="J1414" i="1"/>
  <c r="K1183" i="1"/>
  <c r="K1562" i="1"/>
  <c r="K1609" i="1"/>
  <c r="J1330" i="1"/>
  <c r="J1562" i="1"/>
  <c r="K1658" i="1"/>
  <c r="K1659" i="1" s="1"/>
  <c r="K1160" i="1"/>
  <c r="J1512" i="1"/>
  <c r="J1161" i="1"/>
  <c r="J1653" i="1"/>
  <c r="J1603" i="1"/>
  <c r="J1556" i="1"/>
  <c r="J1652" i="1"/>
  <c r="J1555" i="1"/>
  <c r="K1511" i="1"/>
  <c r="K1602" i="1"/>
  <c r="J1602" i="1"/>
  <c r="K1415" i="1"/>
  <c r="K1563" i="1"/>
  <c r="K1610" i="1"/>
  <c r="K1184" i="1"/>
  <c r="K1331" i="1"/>
  <c r="J1160" i="1"/>
  <c r="J1331" i="1"/>
  <c r="J1415" i="1"/>
  <c r="J1610" i="1"/>
  <c r="J1563" i="1"/>
  <c r="J1184" i="1"/>
  <c r="K1161" i="1"/>
  <c r="K1556" i="1"/>
  <c r="K1603" i="1"/>
  <c r="K1512" i="1"/>
  <c r="K1653" i="1"/>
  <c r="J1511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<sst xmlns="http://schemas.openxmlformats.org/spreadsheetml/2006/main" count="5204" uniqueCount="2482">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</sst>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EM_Results/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  <cell r="I4">
            <v>2.5693736197176529E-3</v>
          </cell>
          <cell r="J4">
            <v>7.6371505668292505E-4</v>
          </cell>
          <cell r="K4">
            <v>0.27795328035162037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  <cell r="I5">
            <v>7.4420661081679826E-4</v>
          </cell>
          <cell r="J5">
            <v>1.8683183598521163E-4</v>
          </cell>
          <cell r="K5">
            <v>4.0598746426883402E-2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  <cell r="I6">
            <v>3.0973784146432214E-4</v>
          </cell>
          <cell r="J6">
            <v>9.7550432290110554E-5</v>
          </cell>
          <cell r="K6">
            <v>1.7988271432036772E-4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  <cell r="I7">
            <v>1.9169026097426876E-4</v>
          </cell>
          <cell r="J7">
            <v>7.8796696965874387E-5</v>
          </cell>
          <cell r="K7">
            <v>1.3875187915338551E-4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  <cell r="I8">
            <v>3.1383356886828469E-4</v>
          </cell>
          <cell r="J8">
            <v>9.79264191804538E-5</v>
          </cell>
          <cell r="K8">
            <v>1.8035441425616808E-4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  <cell r="I9">
            <v>3.2542830240588137E-4</v>
          </cell>
          <cell r="J9">
            <v>9.9793082349004065E-5</v>
          </cell>
          <cell r="K9">
            <v>7.4687445415076048E-2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  <cell r="I10">
            <v>3.7487401605929531E-4</v>
          </cell>
          <cell r="J10">
            <v>1.0528477756551099E-4</v>
          </cell>
          <cell r="K10">
            <v>0.16198817923899292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  <cell r="I11">
            <v>3.0960301912880242E-4</v>
          </cell>
          <cell r="J11">
            <v>9.7531812346759723E-5</v>
          </cell>
          <cell r="K11">
            <v>1.7992026293805289E-4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  <cell r="I12">
            <v>1.6060891903325068E-2</v>
          </cell>
          <cell r="J12">
            <v>1.8997662087126048E-2</v>
          </cell>
          <cell r="K12">
            <v>2.7089752606324069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  <cell r="I13">
            <v>1.6060891903325068E-2</v>
          </cell>
          <cell r="J13">
            <v>1.8997662087126048E-2</v>
          </cell>
          <cell r="K13">
            <v>2.7089752606324069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  <cell r="I14">
            <v>0.1092723199739</v>
          </cell>
          <cell r="J14">
            <v>0.15048744397032299</v>
          </cell>
          <cell r="K14">
            <v>0.51091754363379405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  <cell r="I15">
            <v>1.6306562821036699E-3</v>
          </cell>
          <cell r="J15">
            <v>1.92088582269047E-3</v>
          </cell>
          <cell r="K15">
            <v>0.31392314572848201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  <cell r="I16">
            <v>0.21508941265257792</v>
          </cell>
          <cell r="J16">
            <v>0.15760328710567301</v>
          </cell>
          <cell r="K16">
            <v>5.3744258693765062E-2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  <cell r="I17">
            <v>0.21508941265257792</v>
          </cell>
          <cell r="J17">
            <v>0.15760328710567301</v>
          </cell>
          <cell r="K17">
            <v>5.3744258693765062E-2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  <cell r="I18">
            <v>1.6036199726700655E-2</v>
          </cell>
          <cell r="J18">
            <v>6.6599537710038377E-3</v>
          </cell>
          <cell r="K18">
            <v>4.9698985921040731E-2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  <cell r="I19">
            <v>2.6098777028343408E-2</v>
          </cell>
          <cell r="J19">
            <v>7.5431175662982247E-3</v>
          </cell>
          <cell r="K19">
            <v>5.4930458123255664E-2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  <cell r="I20">
            <v>2.5469337155635099</v>
          </cell>
          <cell r="J20">
            <v>1.0509200467272</v>
          </cell>
          <cell r="K20">
            <v>7.8251209665663701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  <cell r="I21">
            <v>4.515839921211906E-2</v>
          </cell>
          <cell r="J21">
            <v>1.8633334161829756E-2</v>
          </cell>
          <cell r="K21">
            <v>0.13874327954904919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  <cell r="I22">
            <v>8.2466181780155095E-4</v>
          </cell>
          <cell r="J22">
            <v>1.1338707993303599E-6</v>
          </cell>
          <cell r="K22">
            <v>5.5620899631541399E-3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  <cell r="I23">
            <v>3.3671523721447065E-3</v>
          </cell>
          <cell r="J23">
            <v>1.5837367453015098E-3</v>
          </cell>
          <cell r="K23">
            <v>6.4143816163666359E-3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  <cell r="I24">
            <v>4.5134643902963181E-4</v>
          </cell>
          <cell r="J24">
            <v>3.8662199441847532E-4</v>
          </cell>
          <cell r="K24">
            <v>3.1519322210091851E-4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  <cell r="I25">
            <v>4.5134643902963181E-4</v>
          </cell>
          <cell r="J25">
            <v>3.8662199441847532E-4</v>
          </cell>
          <cell r="K25">
            <v>3.1519322210091851E-4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  <cell r="I26">
            <v>1.07591233376483E-6</v>
          </cell>
          <cell r="J26">
            <v>1.55560094992276E-6</v>
          </cell>
          <cell r="K26">
            <v>2.2155623167473102E-6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  <cell r="I27">
            <v>8.7892181935611546E-4</v>
          </cell>
          <cell r="J27">
            <v>8.7527641219908858E-4</v>
          </cell>
          <cell r="K27">
            <v>8.7410485483796485E-4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  <cell r="I28">
            <v>0.20977108023320298</v>
          </cell>
          <cell r="J28">
            <v>8.183046177957326E-2</v>
          </cell>
          <cell r="K28">
            <v>0.15023745881296272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  <cell r="I29">
            <v>0.20977108023320276</v>
          </cell>
          <cell r="J29">
            <v>8.1830461779573219E-2</v>
          </cell>
          <cell r="K29">
            <v>0.15023745881296249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  <cell r="I30">
            <v>0.23198050861823111</v>
          </cell>
          <cell r="J30">
            <v>9.0494169454919948E-2</v>
          </cell>
          <cell r="K30">
            <v>0.16614305933394383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  <cell r="I31">
            <v>0.23198050861823111</v>
          </cell>
          <cell r="J31">
            <v>9.0494169454919948E-2</v>
          </cell>
          <cell r="K31">
            <v>0.16614305933394383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  <cell r="I32">
            <v>7.4827754021287995E-2</v>
          </cell>
          <cell r="J32">
            <v>8.0749126686875797E-2</v>
          </cell>
          <cell r="K32">
            <v>0.13589537880597599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  <cell r="I33">
            <v>0.13891232557692978</v>
          </cell>
          <cell r="J33">
            <v>0.15575444169049218</v>
          </cell>
          <cell r="K33">
            <v>0.18952238639753638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  <cell r="I34">
            <v>0.83864918364052876</v>
          </cell>
          <cell r="J34">
            <v>0.61054023970794291</v>
          </cell>
          <cell r="K34">
            <v>1.007121468320994E-4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  <cell r="I35">
            <v>0.8377173512142625</v>
          </cell>
          <cell r="J35">
            <v>0.61054023970794358</v>
          </cell>
          <cell r="K35">
            <v>1.007121468320994E-4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  <cell r="I36">
            <v>0.93182751451421708</v>
          </cell>
          <cell r="J36">
            <v>0.65649435452969696</v>
          </cell>
          <cell r="K36">
            <v>1.007121468320994E-4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  <cell r="I37">
            <v>0.93182751451421708</v>
          </cell>
          <cell r="J37">
            <v>0.65649435452969696</v>
          </cell>
          <cell r="K37">
            <v>1.007121468320994E-4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  <cell r="I38">
            <v>3.2590289873965797E-2</v>
          </cell>
          <cell r="J38">
            <v>2.10617733655E-3</v>
          </cell>
          <cell r="K38">
            <v>1.9311123095552501E-5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  <cell r="I39">
            <v>5.2488180143293393E-2</v>
          </cell>
          <cell r="J39">
            <v>3.8144219200795998E-2</v>
          </cell>
          <cell r="K39">
            <v>2.3781258626955001E-3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  <cell r="I40">
            <v>1.3405723837991448E-3</v>
          </cell>
          <cell r="J40">
            <v>5.6257991065216827E-4</v>
          </cell>
          <cell r="K40">
            <v>4.7460731856210984E-4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  <cell r="I41">
            <v>3.7111294568821908E-4</v>
          </cell>
          <cell r="J41">
            <v>1.4151758900222215E-4</v>
          </cell>
          <cell r="K41">
            <v>1.1344421566096328E-4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  <cell r="I42">
            <v>1.5530732494756146E-4</v>
          </cell>
          <cell r="J42">
            <v>6.8625838625838425E-5</v>
          </cell>
          <cell r="K42">
            <v>5.4351133738247766E-5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  <cell r="I43">
            <v>1.130608116649128E-4</v>
          </cell>
          <cell r="J43">
            <v>5.7837283607802765E-5</v>
          </cell>
          <cell r="K43">
            <v>4.8668384154975492E-5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  <cell r="I44">
            <v>1.5657537946278766E-4</v>
          </cell>
          <cell r="J44">
            <v>6.8848307963147919E-5</v>
          </cell>
          <cell r="K44">
            <v>5.4449347745509675E-5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  <cell r="I45">
            <v>1.884892441730263E-4</v>
          </cell>
          <cell r="J45">
            <v>7.7080199660786223E-5</v>
          </cell>
          <cell r="K45">
            <v>7.1934365836526904E-5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  <cell r="I46">
            <v>2.0078059459046395E-4</v>
          </cell>
          <cell r="J46">
            <v>8.0057523158562027E-5</v>
          </cell>
          <cell r="K46">
            <v>7.7410219841135089E-5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  <cell r="I47">
            <v>1.5524608327217306E-4</v>
          </cell>
          <cell r="J47">
            <v>6.8613168633808769E-5</v>
          </cell>
          <cell r="K47">
            <v>5.4349651584751369E-5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0.27070943698467531</v>
          </cell>
          <cell r="K48">
            <v>0.32608876658903835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0.27344387574209605</v>
          </cell>
          <cell r="K49">
            <v>0.32938259251418017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  <cell r="I50">
            <v>4.3457838781509202E-6</v>
          </cell>
          <cell r="J50">
            <v>3.81184840231387E-2</v>
          </cell>
          <cell r="K50">
            <v>1.0596908644402001E-5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  <cell r="I51">
            <v>5.8030852411564297E-6</v>
          </cell>
          <cell r="J51">
            <v>3.8124287108379902E-2</v>
          </cell>
          <cell r="K51">
            <v>3.8134884017024299E-2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  <cell r="I52">
            <v>0.48344707332018044</v>
          </cell>
          <cell r="J52">
            <v>0.49837212434940537</v>
          </cell>
          <cell r="K52">
            <v>0.57682431824123859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  <cell r="I53">
            <v>0.48344707332018011</v>
          </cell>
          <cell r="J53">
            <v>0.49837212434940503</v>
          </cell>
          <cell r="K53">
            <v>0.57682431824123803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  <cell r="I54">
            <v>0.53462915498247177</v>
          </cell>
          <cell r="J54">
            <v>0.55113293030887467</v>
          </cell>
          <cell r="K54">
            <v>0.63789044973068831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  <cell r="I55">
            <v>0.53462915498247177</v>
          </cell>
          <cell r="J55">
            <v>0.55113293030887467</v>
          </cell>
          <cell r="K55">
            <v>0.63789044973068831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  <cell r="I56">
            <v>0.226000695824874</v>
          </cell>
          <cell r="J56">
            <v>0.18597293361138001</v>
          </cell>
          <cell r="K56">
            <v>0.60978626433370997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  <cell r="I57">
            <v>0.26231856006490645</v>
          </cell>
          <cell r="J57">
            <v>0.41218579297711255</v>
          </cell>
          <cell r="K57">
            <v>0.74271270099655184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8.5556444228746518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2196.4658238049378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-2196.4658238049401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2325.5941604951299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25.060281901887194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0.31917391084021401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0.31917391084021401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  <cell r="I65">
            <v>0.26706857905136189</v>
          </cell>
          <cell r="J65">
            <v>0.28786613754790208</v>
          </cell>
          <cell r="K65">
            <v>0.30974994124949889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  <cell r="I66">
            <v>8.2507432969101586</v>
          </cell>
          <cell r="J66">
            <v>8.665056172495051</v>
          </cell>
          <cell r="K66">
            <v>7.0759448761845603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  <cell r="I67">
            <v>3.8862331670653694</v>
          </cell>
          <cell r="J67">
            <v>4.1156980004261152</v>
          </cell>
          <cell r="K67">
            <v>3.4993805332680212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  <cell r="I68">
            <v>0.51837951985550812</v>
          </cell>
          <cell r="J68">
            <v>0.46558992742299943</v>
          </cell>
          <cell r="K68">
            <v>4.8064176259147455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  <cell r="I69">
            <v>0.42656916534610678</v>
          </cell>
          <cell r="J69">
            <v>0.49624351179127935</v>
          </cell>
          <cell r="K69">
            <v>0.55534833401108263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  <cell r="I70">
            <v>14.614401386244809</v>
          </cell>
          <cell r="J70">
            <v>15.304203602584222</v>
          </cell>
          <cell r="K70">
            <v>17.592916714441944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  <cell r="I71">
            <v>7.5898800553933596E-2</v>
          </cell>
          <cell r="J71">
            <v>4.94101089632916E-2</v>
          </cell>
          <cell r="K71">
            <v>2.5314679878506697E-7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  <cell r="I72">
            <v>0.85786804378554404</v>
          </cell>
          <cell r="J72">
            <v>0.90727815274883605</v>
          </cell>
          <cell r="K72">
            <v>0.90727840589563502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  <cell r="I73">
            <v>1.735001444246621E-2</v>
          </cell>
          <cell r="J73">
            <v>1.2176480684403254E-2</v>
          </cell>
          <cell r="K73">
            <v>3.1349039813895879E-4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  <cell r="I74">
            <v>1.733408238145388E-2</v>
          </cell>
          <cell r="J74">
            <v>1.2176480684403294E-2</v>
          </cell>
          <cell r="K74">
            <v>3.1349039813895901E-4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  <cell r="I75">
            <v>2.1026081809628502E-2</v>
          </cell>
          <cell r="J75">
            <v>1.4327394691023888E-2</v>
          </cell>
          <cell r="K75">
            <v>2.5108082267476207E-4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  <cell r="I76">
            <v>2.1026081809628502E-2</v>
          </cell>
          <cell r="J76">
            <v>1.4327394691023888E-2</v>
          </cell>
          <cell r="K76">
            <v>2.5108082267476207E-4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  <cell r="I77">
            <v>3.0801267544404401E-3</v>
          </cell>
          <cell r="J77">
            <v>8.8390529157494094E-5</v>
          </cell>
          <cell r="K77">
            <v>3.9622376814062803E-5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  <cell r="I78">
            <v>4.2033580844788301E-3</v>
          </cell>
          <cell r="J78">
            <v>3.1722285400949553E-3</v>
          </cell>
          <cell r="K78">
            <v>1.3786670664265473E-3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  <cell r="I79">
            <v>4.8906156120996922E-3</v>
          </cell>
          <cell r="J79">
            <v>4.2505996874338614E-3</v>
          </cell>
          <cell r="K79"/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  <cell r="I80">
            <v>1.8498491186667583E-3</v>
          </cell>
          <cell r="J80">
            <v>1.6424166693490066E-3</v>
          </cell>
          <cell r="K80"/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  <cell r="I81">
            <v>0.41053130677464755</v>
          </cell>
          <cell r="J81">
            <v>0.71490324794910387</v>
          </cell>
          <cell r="K81"/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  <cell r="I82">
            <v>9.5684122967415602E-5</v>
          </cell>
          <cell r="J82">
            <v>1.1801136885605899E-6</v>
          </cell>
          <cell r="K82">
            <v>8.1914900883690201E-8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  <cell r="I83">
            <v>1.6765566325392618E-4</v>
          </cell>
          <cell r="J83">
            <v>1.4594745638571831E-4</v>
          </cell>
          <cell r="K83">
            <v>1.8905167586552304E-5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  <cell r="I84">
            <v>1.1535659190434952E-3</v>
          </cell>
          <cell r="J84">
            <v>3.3862827112816783E-5</v>
          </cell>
          <cell r="K84">
            <v>4.4640298456509399E-4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  <cell r="I85">
            <v>0.106935560695332</v>
          </cell>
          <cell r="J85">
            <v>3.1390840733581198E-3</v>
          </cell>
          <cell r="K85">
            <v>4.1381556669184201E-2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  <cell r="I86">
            <v>1.1535659190434952E-3</v>
          </cell>
          <cell r="J86">
            <v>3.3862827112816783E-5</v>
          </cell>
          <cell r="K86">
            <v>4.4640298456509399E-4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  <cell r="I87">
            <v>9.3212084088523557E-3</v>
          </cell>
          <cell r="J87">
            <v>0.12390155361965829</v>
          </cell>
          <cell r="K87">
            <v>3.9061981542399778E-4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  <cell r="I88">
            <v>9.3126489888258873E-3</v>
          </cell>
          <cell r="J88">
            <v>0.1239015536196587</v>
          </cell>
          <cell r="K88">
            <v>3.9061981542399811E-4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  <cell r="I89">
            <v>1.129419570824268E-2</v>
          </cell>
          <cell r="J89">
            <v>0.14576865691373614</v>
          </cell>
          <cell r="K89">
            <v>3.0143519516041627E-4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  <cell r="I90">
            <v>1.129419570824268E-2</v>
          </cell>
          <cell r="J90">
            <v>0.14576865691373614</v>
          </cell>
          <cell r="K90">
            <v>3.0143519516041627E-4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  <cell r="I91">
            <v>7.9296735368901E-3</v>
          </cell>
          <cell r="J91">
            <v>7.2816608449955897E-4</v>
          </cell>
          <cell r="K91">
            <v>5.1860404162270499E-5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  <cell r="I92">
            <v>9.2854338065074503E-3</v>
          </cell>
          <cell r="J92">
            <v>8.8191936334980799E-3</v>
          </cell>
          <cell r="K92">
            <v>3.48607011021015E-3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111.19199525651585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-111.19199525651599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1.2183360704256068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4.6734144658634302E-3</v>
          </cell>
          <cell r="K96">
            <v>125.482238939699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8.2861958614599868E-5</v>
          </cell>
          <cell r="K97">
            <v>2.2248623925478541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5.8967521656492103E-7</v>
          </cell>
          <cell r="K98">
            <v>6.077681770245251E-2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1.2246909311178201E-6</v>
          </cell>
          <cell r="K99">
            <v>8.2133373113861499E-2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5.8967521656492103E-7</v>
          </cell>
          <cell r="K100">
            <v>6.0776817702452489E-2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1.3702333890735461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2095.7465938955984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-2095.7465938956002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12.140267827191623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2354.77145381528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25.374692390250864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7.4863743508299496E-2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7.4863743508299496E-2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  <cell r="I109">
            <v>8.0094800661997201E-2</v>
          </cell>
          <cell r="J109">
            <v>7.8607388529104497E-2</v>
          </cell>
          <cell r="K109"/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  <cell r="I110">
            <v>6.6561051543046249E-4</v>
          </cell>
          <cell r="J110">
            <v>6.5004407819103363E-4</v>
          </cell>
          <cell r="K110"/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  <cell r="I111">
            <v>6.1065184901877307E-4</v>
          </cell>
          <cell r="J111">
            <v>6.1324913036889977E-4</v>
          </cell>
          <cell r="K111"/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  <cell r="I112">
            <v>1.4201205791134258E-3</v>
          </cell>
          <cell r="J112">
            <v>1.3937480235656804E-3</v>
          </cell>
          <cell r="K112"/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  <cell r="I113">
            <v>2.54174641528843E-5</v>
          </cell>
          <cell r="J113">
            <v>1.4551635748839101E-7</v>
          </cell>
          <cell r="K113">
            <v>3.0431818556972999E-8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  <cell r="I114">
            <v>5.4273644500341815E-5</v>
          </cell>
          <cell r="J114">
            <v>5.4378000928215207E-5</v>
          </cell>
          <cell r="K114">
            <v>1.1428432120033501E-5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  <cell r="I115">
            <v>335.06987057475601</v>
          </cell>
          <cell r="J115">
            <v>115.847249710119</v>
          </cell>
          <cell r="K115">
            <v>65.2645111981425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  <cell r="I116">
            <v>7.3588462452210512</v>
          </cell>
          <cell r="J116">
            <v>3.4839456981429948</v>
          </cell>
          <cell r="K116">
            <v>5.6447886457231133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0.10803915386403773</v>
          </cell>
          <cell r="K117">
            <v>5.2355527224260345E-2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  <cell r="I118">
            <v>5.9409551520346788</v>
          </cell>
          <cell r="J118">
            <v>2.0540292501794042</v>
          </cell>
          <cell r="K118">
            <v>1.1571721843642291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  <cell r="I119">
            <v>1.4414054974108066</v>
          </cell>
          <cell r="J119">
            <v>1.4414091121752575</v>
          </cell>
          <cell r="K119">
            <v>4.5058903002764374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0.10803102926521481</v>
          </cell>
          <cell r="K120">
            <v>5.2340007054932781E-2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  <cell r="I121">
            <v>2.7284922087077298E-6</v>
          </cell>
          <cell r="J121">
            <v>3.57205391201949E-6</v>
          </cell>
          <cell r="K121">
            <v>6.00157221811232E-6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  <cell r="I122">
            <v>1.027535640572357</v>
          </cell>
          <cell r="J122">
            <v>1.027539212626269</v>
          </cell>
          <cell r="K122">
            <v>0.72470990097226717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  <cell r="I123">
            <v>291.22362415382702</v>
          </cell>
          <cell r="J123">
            <v>115.638219243192</v>
          </cell>
          <cell r="K123">
            <v>1.16028159661467E-3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  <cell r="I124">
            <v>4.9139943776349417</v>
          </cell>
          <cell r="J124">
            <v>2.5713516449036646</v>
          </cell>
          <cell r="K124">
            <v>1.0285220478847314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  <cell r="I125">
            <v>3.9514738691156968</v>
          </cell>
          <cell r="J125">
            <v>1.5690396098126402</v>
          </cell>
          <cell r="K125">
            <v>1.5743305245789353E-5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  <cell r="I126">
            <v>1.0459838768919019</v>
          </cell>
          <cell r="J126">
            <v>1.0459860104888576</v>
          </cell>
          <cell r="K126">
            <v>1.0459863741375195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  <cell r="I127">
            <v>6.2597100066547497</v>
          </cell>
          <cell r="J127">
            <v>2.9730067092697765</v>
          </cell>
          <cell r="K127">
            <v>2.5512403722071622E-4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  <cell r="I128">
            <v>413.18459109525901</v>
          </cell>
          <cell r="J128">
            <v>196.239212389579</v>
          </cell>
          <cell r="K128">
            <v>1.6839968766212399E-2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  <cell r="I129">
            <v>7.3259679272209084</v>
          </cell>
          <cell r="J129">
            <v>3.4794186593896979</v>
          </cell>
          <cell r="K129">
            <v>2.9858100649312751E-4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  <cell r="I130">
            <v>0.180717918742762</v>
          </cell>
          <cell r="J130">
            <v>1.1627445670822399E-5</v>
          </cell>
          <cell r="K130">
            <v>4.7735877837310502E-6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  <cell r="I131">
            <v>0.79397423713962612</v>
          </cell>
          <cell r="J131">
            <v>0.37722153849747098</v>
          </cell>
          <cell r="K131">
            <v>2.0665050412789765E-3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  <cell r="I132">
            <v>5.7598909699900167</v>
          </cell>
          <cell r="J132">
            <v>5.0214751852199324</v>
          </cell>
          <cell r="K132">
            <v>5.9815194600044483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  <cell r="I133">
            <v>5.7598909699900167</v>
          </cell>
          <cell r="J133">
            <v>5.0214751852199324</v>
          </cell>
          <cell r="K133">
            <v>5.9815194600044483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  <cell r="I134">
            <v>5.5512571976514503E-3</v>
          </cell>
          <cell r="J134">
            <v>5.5350251863629796E-3</v>
          </cell>
          <cell r="K134">
            <v>5.4990628940417199E-3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  <cell r="I135">
            <v>0.84384535687009854</v>
          </cell>
          <cell r="J135">
            <v>0.84384618439455528</v>
          </cell>
          <cell r="K135">
            <v>0.8541516684468522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  <cell r="I136">
            <v>1.2798581234746118</v>
          </cell>
          <cell r="J136">
            <v>1.2826617669148002</v>
          </cell>
          <cell r="K136">
            <v>1.2615334231517089E-4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  <cell r="I137">
            <v>12.3429573131951</v>
          </cell>
          <cell r="J137">
            <v>12.034791526778214</v>
          </cell>
          <cell r="K137">
            <v>1.1177186129124144E-3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  <cell r="I138">
            <v>2535.93375179132</v>
          </cell>
          <cell r="J138">
            <v>2541.4889409935899</v>
          </cell>
          <cell r="K138">
            <v>0.24996248631825199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  <cell r="I139">
            <v>27.326872325337469</v>
          </cell>
          <cell r="J139">
            <v>27.386734277948158</v>
          </cell>
          <cell r="K139">
            <v>2.6935612749811612E-3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  <cell r="I140">
            <v>5.6614446652348297E-3</v>
          </cell>
          <cell r="J140">
            <v>1.9605017494084401E-2</v>
          </cell>
          <cell r="K140">
            <v>5.7822174982893401E-8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  <cell r="I141">
            <v>6.9926377703688355E-2</v>
          </cell>
          <cell r="J141">
            <v>7.0079115964299138E-2</v>
          </cell>
          <cell r="K141">
            <v>4.5410232620494984E-5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  <cell r="I142">
            <v>0.96736287173929003</v>
          </cell>
          <cell r="J142">
            <v>0.41752912317812402</v>
          </cell>
          <cell r="K142"/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  <cell r="I143">
            <v>3.9358695243142351E-3</v>
          </cell>
          <cell r="J143">
            <v>1.7938324972133009E-3</v>
          </cell>
          <cell r="K143"/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  <cell r="I144">
            <v>8.9173585212533185E-3</v>
          </cell>
          <cell r="J144">
            <v>4.0282554323386368E-3</v>
          </cell>
          <cell r="K144"/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  <cell r="I145">
            <v>1.7151823967008678E-2</v>
          </cell>
          <cell r="J145">
            <v>7.4029986379099914E-3</v>
          </cell>
          <cell r="K145"/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  <cell r="I146">
            <v>5.2466842430813898E-5</v>
          </cell>
          <cell r="J146">
            <v>6.9772354011882999E-7</v>
          </cell>
          <cell r="K146">
            <v>3.9671249915998099E-7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  <cell r="I147">
            <v>4.6847083430420392E-4</v>
          </cell>
          <cell r="J147">
            <v>2.3395528486127616E-4</v>
          </cell>
          <cell r="K147">
            <v>4.8279193935518316E-5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  <cell r="I148">
            <v>2.4670127618731221E-3</v>
          </cell>
          <cell r="J148">
            <v>4.8501254114751563E-3</v>
          </cell>
          <cell r="K148"/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  <cell r="I149">
            <v>6.5624970020270353E-3</v>
          </cell>
          <cell r="J149">
            <v>1.2901811439392057E-2</v>
          </cell>
          <cell r="K149"/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  <cell r="I150">
            <v>0.41283541027966342</v>
          </cell>
          <cell r="J150">
            <v>0.72488658755293445</v>
          </cell>
          <cell r="K150"/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  <cell r="I151">
            <v>1.7807942741252E-4</v>
          </cell>
          <cell r="J151">
            <v>1.20915858123066E-4</v>
          </cell>
          <cell r="K151">
            <v>1.4567954337370901E-7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  <cell r="I152">
            <v>2.6778404416806203E-4</v>
          </cell>
          <cell r="J152">
            <v>3.6014252424808606E-4</v>
          </cell>
          <cell r="K152">
            <v>2.4665476426367997E-5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  <cell r="I153">
            <v>16.261636498630775</v>
          </cell>
          <cell r="J153">
            <v>10.112825543877966</v>
          </cell>
          <cell r="K153">
            <v>9.808123224703241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  <cell r="I154">
            <v>16.261636498630775</v>
          </cell>
          <cell r="J154">
            <v>10.112825543877966</v>
          </cell>
          <cell r="K154">
            <v>9.808123224703241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  <cell r="I155">
            <v>1.65722661797267E-6</v>
          </cell>
          <cell r="J155">
            <v>2.3539107129219301E-6</v>
          </cell>
          <cell r="K155">
            <v>3.3366254353237398E-6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  <cell r="I156">
            <v>1.6999928911038744</v>
          </cell>
          <cell r="J156">
            <v>1.1999993732255414</v>
          </cell>
          <cell r="K156">
            <v>1.1999994664561644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351.76132569819777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-351.76132569819799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0.98928906614670487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0.29163235471048465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485.22268863529501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5.2286927654665396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2.9142982710940301E-2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2.9142982710940301E-2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  <cell r="I165">
            <v>1.0271204503701199</v>
          </cell>
          <cell r="J165">
            <v>1.0440660252813001</v>
          </cell>
          <cell r="K165"/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  <cell r="I166">
            <v>8.5356623242637195E-3</v>
          </cell>
          <cell r="J166">
            <v>8.6339076984254803E-3</v>
          </cell>
          <cell r="K166"/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  <cell r="I167">
            <v>7.8308828662969863E-3</v>
          </cell>
          <cell r="J167">
            <v>8.145195941910828E-3</v>
          </cell>
          <cell r="K167"/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  <cell r="I168">
            <v>1.8211355503016228E-2</v>
          </cell>
          <cell r="J168">
            <v>1.8511808958888248E-2</v>
          </cell>
          <cell r="K168"/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  <cell r="I169">
            <v>5.5315086842234605E-4</v>
          </cell>
          <cell r="J169">
            <v>2.7242737633989E-5</v>
          </cell>
          <cell r="K169">
            <v>1.01818340116949E-7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  <cell r="I170">
            <v>6.9720502925153674E-4</v>
          </cell>
          <cell r="J170">
            <v>7.2433508078197811E-4</v>
          </cell>
          <cell r="K170">
            <v>4.2962203686881936E-5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  <cell r="I171">
            <v>5.4480835636158478E-3</v>
          </cell>
          <cell r="J171">
            <v>5.7188979020897906E-3</v>
          </cell>
          <cell r="K171">
            <v>5.9790157728472149E-3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  <cell r="I172">
            <v>5.4480835636158478E-3</v>
          </cell>
          <cell r="J172">
            <v>5.7188979020897906E-3</v>
          </cell>
          <cell r="K172">
            <v>5.9790157728472149E-3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  <cell r="I173">
            <v>4.93710607955435E-8</v>
          </cell>
          <cell r="J173">
            <v>2.38558330911063E-8</v>
          </cell>
          <cell r="K173">
            <v>3.18109797820605E-8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  <cell r="I174">
            <v>5.0077553270599798E-4</v>
          </cell>
          <cell r="J174">
            <v>5.0079938853908905E-4</v>
          </cell>
          <cell r="K174">
            <v>5.0083119951887102E-4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  <cell r="I175">
            <v>0.15097906515877507</v>
          </cell>
          <cell r="J175">
            <v>0.16815584521729707</v>
          </cell>
          <cell r="K175">
            <v>0.1968909045763963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  <cell r="I176">
            <v>7.5489532579387584</v>
          </cell>
          <cell r="J176">
            <v>8.4077922608648503</v>
          </cell>
          <cell r="K176">
            <v>9.8445452288198041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  <cell r="I177">
            <v>12.979885916078681</v>
          </cell>
          <cell r="J177">
            <v>14.456598235967054</v>
          </cell>
          <cell r="K177">
            <v>16.926992339153607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  <cell r="I178">
            <v>0.14763385049462599</v>
          </cell>
          <cell r="J178">
            <v>6.3855871431119302E-2</v>
          </cell>
          <cell r="K178">
            <v>0.166280900869757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  <cell r="I179">
            <v>0.28518350993481684</v>
          </cell>
          <cell r="J179">
            <v>0.31762817294660345</v>
          </cell>
          <cell r="K179">
            <v>0.37190571026466152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4.4607674343688997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-4.4607674343688899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2.8792904787941706E-2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3.1823736870883038E-2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3.5141879557327401E-3</v>
          </cell>
          <cell r="K184">
            <v>5.02427536615272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6.2308297087459871E-5</v>
          </cell>
          <cell r="K185">
            <v>8.9082896562991509E-2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2.0600410106312102E-3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2.0600410106312102E-3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  <cell r="I188">
            <v>11.285514505694056</v>
          </cell>
          <cell r="J188">
            <v>12.578865886798349</v>
          </cell>
          <cell r="K188">
            <v>13.895036261731333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  <cell r="I189">
            <v>11.285514505694056</v>
          </cell>
          <cell r="J189">
            <v>12.578865886798349</v>
          </cell>
          <cell r="K189">
            <v>13.895036261731333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  <cell r="I190">
            <v>11.285514505694101</v>
          </cell>
          <cell r="J190">
            <v>12.5788658867984</v>
          </cell>
          <cell r="K190">
            <v>13.895036261731301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  <cell r="I191">
            <v>0.62474423256459399</v>
          </cell>
          <cell r="J191">
            <v>0.78028589870406395</v>
          </cell>
          <cell r="K191">
            <v>2.72741438771427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  <cell r="I192">
            <v>3.2532853423473291</v>
          </cell>
          <cell r="J192">
            <v>3.6261209212000791</v>
          </cell>
          <cell r="K192">
            <v>4.00553433530217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  <cell r="I193">
            <v>11.070638272481794</v>
          </cell>
          <cell r="J193">
            <v>12.09499370716526</v>
          </cell>
          <cell r="K193">
            <v>10.294001452381703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  <cell r="I194">
            <v>12.01149451132336</v>
          </cell>
          <cell r="J194">
            <v>13.114304662082748</v>
          </cell>
          <cell r="K194">
            <v>11.146919825060253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  <cell r="I195">
            <v>5.8350344965514602E-7</v>
          </cell>
          <cell r="J195">
            <v>3.14471997816377E-7</v>
          </cell>
          <cell r="K195">
            <v>2.41290905725611E-7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  <cell r="I196">
            <v>0.84970147494436099</v>
          </cell>
          <cell r="J196">
            <v>0.84970178941635899</v>
          </cell>
          <cell r="K196">
            <v>0.84970203070726502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  <cell r="I197">
            <v>0.4648184255114659</v>
          </cell>
          <cell r="J197">
            <v>1.5438981064717683</v>
          </cell>
          <cell r="K197">
            <v>7.0065667444186257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  <cell r="I198">
            <v>0.4648184255114659</v>
          </cell>
          <cell r="J198">
            <v>1.5438981064717683</v>
          </cell>
          <cell r="K198">
            <v>7.0065667444186257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  <cell r="I199">
            <v>1.25074653782474E-6</v>
          </cell>
          <cell r="J199">
            <v>6.3439118230658301E-2</v>
          </cell>
          <cell r="K199">
            <v>0.36855945181000499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  <cell r="I200">
            <v>2.74875941863191E-2</v>
          </cell>
          <cell r="J200">
            <v>9.0926712416977404E-2</v>
          </cell>
          <cell r="K200">
            <v>0.45948616422698202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  <cell r="I201">
            <v>5.6140447117953365E-2</v>
          </cell>
          <cell r="J201">
            <v>6.2477140684543464E-2</v>
          </cell>
          <cell r="K201">
            <v>6.0352814709369047E-2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  <cell r="I202">
            <v>5.6140447117953365E-2</v>
          </cell>
          <cell r="J202">
            <v>6.2477140684543464E-2</v>
          </cell>
          <cell r="K202">
            <v>6.0352814709369047E-2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  <cell r="I203">
            <v>3.3159133146162502E-8</v>
          </cell>
          <cell r="J203"/>
          <cell r="K203">
            <v>1.6827913892506999E-8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  <cell r="I204">
            <v>5.0210496821945496E-3</v>
          </cell>
          <cell r="J204">
            <v>5.0210496821945496E-3</v>
          </cell>
          <cell r="K204">
            <v>5.0210665101084401E-3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  <cell r="I205">
            <v>8.1595875018178941</v>
          </cell>
          <cell r="J205">
            <v>8.9771629227474659</v>
          </cell>
          <cell r="K205">
            <v>5.9722759623025503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  <cell r="I206">
            <v>3.857259546313907</v>
          </cell>
          <cell r="J206">
            <v>4.2437497452987891</v>
          </cell>
          <cell r="K206">
            <v>2.823257727633925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  <cell r="I207">
            <v>11.474459423845003</v>
          </cell>
          <cell r="J207">
            <v>12.617945089652176</v>
          </cell>
          <cell r="K207">
            <v>9.0835608852583594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  <cell r="I208">
            <v>4.0818668740222802E-2</v>
          </cell>
          <cell r="J208">
            <v>0.123752902573957</v>
          </cell>
          <cell r="K208">
            <v>1.32596349102723E-2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  <cell r="I209">
            <v>0.15312395956502231</v>
          </cell>
          <cell r="J209">
            <v>0.21598564839938214</v>
          </cell>
          <cell r="K209">
            <v>0.12033680310153883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  <cell r="I210">
            <v>4.8208478829587951E-3</v>
          </cell>
          <cell r="J210">
            <v>4.9905199009848125E-3</v>
          </cell>
          <cell r="K210">
            <v>5.0068063771155184E-3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  <cell r="I211">
            <v>4.8208478829587951E-3</v>
          </cell>
          <cell r="J211">
            <v>4.9905199009848125E-3</v>
          </cell>
          <cell r="K211">
            <v>5.0068063771155184E-3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  <cell r="I212">
            <v>2.4787066904919001E-7</v>
          </cell>
          <cell r="J212">
            <v>3.6049548887284799E-7</v>
          </cell>
          <cell r="K212">
            <v>3.4351972863442002E-7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  <cell r="I213">
            <v>3.5526687559958998E-4</v>
          </cell>
          <cell r="J213">
            <v>3.5552727849689797E-4</v>
          </cell>
          <cell r="K213">
            <v>3.5607345447830302E-4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  <cell r="I214">
            <v>2.5644329002818083E-2</v>
          </cell>
          <cell r="J214">
            <v>4.7750491593209446E-2</v>
          </cell>
          <cell r="K214">
            <v>1.007121467644404E-4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  <cell r="I215">
            <v>2.5672854396592028E-2</v>
          </cell>
          <cell r="J215">
            <v>4.775049159320939E-2</v>
          </cell>
          <cell r="K215">
            <v>1.0071214676444037E-4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  <cell r="I216">
            <v>2.8514848998565486E-2</v>
          </cell>
          <cell r="J216">
            <v>5.1336938375760782E-2</v>
          </cell>
          <cell r="K216">
            <v>1.0071214676444037E-4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  <cell r="I217">
            <v>2.8514848998565486E-2</v>
          </cell>
          <cell r="J217">
            <v>5.1336938375760782E-2</v>
          </cell>
          <cell r="K217">
            <v>1.0071214676444037E-4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  <cell r="I218">
            <v>3.0581079912680598E-3</v>
          </cell>
          <cell r="J218">
            <v>6.7476549031451801E-5</v>
          </cell>
          <cell r="K218">
            <v>1.51572454028992E-5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  <cell r="I219">
            <v>3.9815131568748489E-3</v>
          </cell>
          <cell r="J219">
            <v>3.2795740777289487E-3</v>
          </cell>
          <cell r="K219">
            <v>1.3236449937921626E-3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  <cell r="I220">
            <v>1.9536119492961248</v>
          </cell>
          <cell r="J220">
            <v>2.0532881850970051</v>
          </cell>
          <cell r="K220">
            <v>2.2681373232345909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  <cell r="I221">
            <v>1.9536119492961248</v>
          </cell>
          <cell r="J221">
            <v>2.0532881850970051</v>
          </cell>
          <cell r="K221">
            <v>2.2681373232345909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  <cell r="I222">
            <v>1.9536119492961299</v>
          </cell>
          <cell r="J222">
            <v>2.0532881850970002</v>
          </cell>
          <cell r="K222">
            <v>2.2681373232345901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  <cell r="I223">
            <v>2.7342928071233799E-2</v>
          </cell>
          <cell r="J223">
            <v>2.8741388436426599E-2</v>
          </cell>
          <cell r="K223">
            <v>0.60330807796353003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  <cell r="I224">
            <v>0.56316995462333796</v>
          </cell>
          <cell r="J224">
            <v>0.591903850234898</v>
          </cell>
          <cell r="K224">
            <v>0.65383814242486304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  <cell r="I225">
            <v>5.6641265007825389E-3</v>
          </cell>
          <cell r="J225">
            <v>3.3708011017645126E-4</v>
          </cell>
          <cell r="K225">
            <v>0.32069474097114548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  <cell r="I226">
            <v>1.2048918164739526E-2</v>
          </cell>
          <cell r="J226">
            <v>7.1317207949974574E-4</v>
          </cell>
          <cell r="K226">
            <v>0.67128684746032385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  <cell r="I227">
            <v>1.3189647902875801</v>
          </cell>
          <cell r="J227">
            <v>9.0015561648467399E-2</v>
          </cell>
          <cell r="K227">
            <v>71.795946902920406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  <cell r="I228">
            <v>2.3385900537013837E-2</v>
          </cell>
          <cell r="J228">
            <v>1.5960205966040327E-3</v>
          </cell>
          <cell r="K228">
            <v>1.2729777819666757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  <cell r="I229">
            <v>6.2537652017453996E-6</v>
          </cell>
          <cell r="J229">
            <v>1.7707316104331099E-6</v>
          </cell>
          <cell r="K229">
            <v>4.2539811380975498E-2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  <cell r="I230">
            <v>7.4104848224310765E-4</v>
          </cell>
          <cell r="J230">
            <v>1.1477750626780192E-4</v>
          </cell>
          <cell r="K230">
            <v>4.2543910351269837E-2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  <cell r="I231">
            <v>12.745687148361164</v>
          </cell>
          <cell r="J231">
            <v>12.935788752263123</v>
          </cell>
          <cell r="K231">
            <v>13.229814110893454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  <cell r="I232">
            <v>12.745687148361164</v>
          </cell>
          <cell r="J232">
            <v>12.935788752263123</v>
          </cell>
          <cell r="K232">
            <v>13.229814110893454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  <cell r="I233">
            <v>15.932107468317886</v>
          </cell>
          <cell r="J233">
            <v>16.169734465387869</v>
          </cell>
          <cell r="K233">
            <v>16.537266592733793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  <cell r="I234">
            <v>15.932107468317886</v>
          </cell>
          <cell r="J234">
            <v>16.169734465387869</v>
          </cell>
          <cell r="K234">
            <v>16.537266592733793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  <cell r="I236">
            <v>1.5391637641109169E-2</v>
          </cell>
          <cell r="J236">
            <v>1.6310540658877645E-2</v>
          </cell>
          <cell r="K236">
            <v>3.1348969850412289E-4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  <cell r="I237">
            <v>1.5377503905901573E-2</v>
          </cell>
          <cell r="J237">
            <v>1.6310540658877701E-2</v>
          </cell>
          <cell r="K237">
            <v>3.1348969850412321E-4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  <cell r="I238">
            <v>1.8652291747349486E-2</v>
          </cell>
          <cell r="J238">
            <v>1.9190994659800328E-2</v>
          </cell>
          <cell r="K238">
            <v>2.5108046361480935E-4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  <cell r="I239">
            <v>1.8652291747349486E-2</v>
          </cell>
          <cell r="J239">
            <v>1.9190994659800328E-2</v>
          </cell>
          <cell r="K239">
            <v>2.5108046361480935E-4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  <cell r="I240">
            <v>3.1079740301063201E-3</v>
          </cell>
          <cell r="J240">
            <v>8.2164246346140001E-5</v>
          </cell>
          <cell r="K240">
            <v>3.9222135887794898E-5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  <cell r="I241">
            <v>4.1344868709448611E-3</v>
          </cell>
          <cell r="J241">
            <v>3.199707044709281E-3</v>
          </cell>
          <cell r="K241">
            <v>1.385380347559637E-3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  <cell r="I242">
            <v>1.3712988686660321E-3</v>
          </cell>
          <cell r="J242">
            <v>7.6329536417595446E-4</v>
          </cell>
          <cell r="K242">
            <v>2.2215336489806345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  <cell r="I243">
            <v>6.5105244452722173E-4</v>
          </cell>
          <cell r="J243">
            <v>3.4313277839102547E-4</v>
          </cell>
          <cell r="K243">
            <v>0.89640831450095926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  <cell r="I244">
            <v>0.145241795667163</v>
          </cell>
          <cell r="J244">
            <v>7.8990566127566705E-2</v>
          </cell>
          <cell r="K244">
            <v>219.81490842545199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  <cell r="I245">
            <v>2.5752091430348021E-3</v>
          </cell>
          <cell r="J245">
            <v>1.4005419526164301E-3</v>
          </cell>
          <cell r="K245">
            <v>3.897427454351992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  <cell r="I246">
            <v>1.8133978741337E-4</v>
          </cell>
          <cell r="J246">
            <v>2.4824559780840902E-7</v>
          </cell>
          <cell r="K246">
            <v>8.4082391498364495E-2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  <cell r="I247">
            <v>1.8133978741337E-4</v>
          </cell>
          <cell r="J247">
            <v>1.811274882270414E-4</v>
          </cell>
          <cell r="K247">
            <v>8.415893697799727E-2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  <cell r="I248">
            <v>5.063436159856903E-2</v>
          </cell>
          <cell r="J248">
            <v>0.26134366159724093</v>
          </cell>
          <cell r="K248">
            <v>7.2448141485358247E-2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  <cell r="I249">
            <v>5.0578101196792902E-2</v>
          </cell>
          <cell r="J249">
            <v>0.26134366159724098</v>
          </cell>
          <cell r="K249">
            <v>7.2448141485358247E-2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  <cell r="I250">
            <v>5.62646405029852E-2</v>
          </cell>
          <cell r="J250">
            <v>0.28101884030948998</v>
          </cell>
          <cell r="K250">
            <v>7.3182130288183614E-2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  <cell r="I251">
            <v>5.62646405029852E-2</v>
          </cell>
          <cell r="J251">
            <v>0.28101884030948998</v>
          </cell>
          <cell r="K251">
            <v>7.3182130288183614E-2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  <cell r="I252">
            <v>1.56130593867666E-2</v>
          </cell>
          <cell r="J252">
            <v>4.2043919096410698E-2</v>
          </cell>
          <cell r="K252">
            <v>5.43179678364935E-5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  <cell r="I253">
            <v>1.6913878871978181E-2</v>
          </cell>
          <cell r="J253">
            <v>5.7675575305794036E-2</v>
          </cell>
          <cell r="K253">
            <v>2.2664753054607502E-2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  <cell r="I254">
            <v>0.93500058565259003</v>
          </cell>
          <cell r="J254">
            <v>0.11602024808879099</v>
          </cell>
          <cell r="K254">
            <v>3.57658828864253E-2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  <cell r="I255">
            <v>1.2474694521394833E-2</v>
          </cell>
          <cell r="J255">
            <v>1.5479318146030265E-3</v>
          </cell>
          <cell r="K255">
            <v>4.77185223349066E-4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  <cell r="I256">
            <v>1.2686575110618587E-2</v>
          </cell>
          <cell r="J256">
            <v>1.5742231762386786E-3</v>
          </cell>
          <cell r="K256">
            <v>4.8529013414416939E-4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  <cell r="I257">
            <v>71.409204716170564</v>
          </cell>
          <cell r="J257">
            <v>71.394591013414839</v>
          </cell>
          <cell r="K257">
            <v>65.474671645042051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  <cell r="I258">
            <v>71.409204716170564</v>
          </cell>
          <cell r="J258">
            <v>71.394591013414839</v>
          </cell>
          <cell r="K258">
            <v>65.474671645042051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  <cell r="I260">
            <v>6.0603373335010704E-3</v>
          </cell>
          <cell r="J260">
            <v>5.5428094974281127E-3</v>
          </cell>
          <cell r="K260">
            <v>3.134969262536954E-4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  <cell r="I261">
            <v>6.0659074964914041E-3</v>
          </cell>
          <cell r="J261">
            <v>5.5428094974280953E-3</v>
          </cell>
          <cell r="K261">
            <v>3.1349692625369502E-4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  <cell r="I262">
            <v>7.3483764205392581E-3</v>
          </cell>
          <cell r="J262">
            <v>6.5230758562305853E-3</v>
          </cell>
          <cell r="K262">
            <v>2.5108491098883103E-4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  <cell r="I263">
            <v>7.3483764205392581E-3</v>
          </cell>
          <cell r="J263">
            <v>6.5230758562305853E-3</v>
          </cell>
          <cell r="K263">
            <v>2.5108491098883103E-4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  <cell r="I264">
            <v>3.1339067231769499E-3</v>
          </cell>
          <cell r="J264">
            <v>7.8332149088327304E-5</v>
          </cell>
          <cell r="K264">
            <v>3.8508731629752399E-5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  <cell r="I265">
            <v>3.9789801245970436E-3</v>
          </cell>
          <cell r="J265">
            <v>3.2651132171467316E-3</v>
          </cell>
          <cell r="K265">
            <v>1.3927591832980245E-3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  <cell r="I266">
            <v>3.8857850372974547E-3</v>
          </cell>
          <cell r="J266">
            <v>1.9763592791309701E-3</v>
          </cell>
          <cell r="K266">
            <v>1.4373768025692263E-3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  <cell r="I267">
            <v>49.441676298360726</v>
          </cell>
          <cell r="J267">
            <v>39.580626683532927</v>
          </cell>
          <cell r="K267">
            <v>38.103910021335665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  <cell r="I268">
            <v>2.5940303882609709E-3</v>
          </cell>
          <cell r="J268">
            <v>1.3403564091115363E-3</v>
          </cell>
          <cell r="K268">
            <v>1.1326968858648041E-3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  <cell r="I269">
            <v>49.44061051837398</v>
          </cell>
          <cell r="J269">
            <v>17.978913115082783</v>
          </cell>
          <cell r="K269">
            <v>17.196439531547224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  <cell r="I270">
            <v>7.5311894247686636E-3</v>
          </cell>
          <cell r="J270">
            <v>21.605030284138348</v>
          </cell>
          <cell r="K270">
            <v>20.910015387680431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  <cell r="I271">
            <v>6.7324960434548199E-7</v>
          </cell>
          <cell r="J271">
            <v>8.8946276278715898E-7</v>
          </cell>
          <cell r="K271">
            <v>1.8016608211874301E-6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  <cell r="I272">
            <v>4.4927399736553548</v>
          </cell>
          <cell r="J272">
            <v>4.4927409130409588</v>
          </cell>
          <cell r="K272">
            <v>4.4927427074013169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  <cell r="I273">
            <v>4.1947862006802854</v>
          </cell>
          <cell r="J273">
            <v>5.4018010651417807</v>
          </cell>
          <cell r="K273">
            <v>5.8850740094819409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  <cell r="I274">
            <v>4.1947862006802854</v>
          </cell>
          <cell r="J274">
            <v>5.4018010651417807</v>
          </cell>
          <cell r="K274">
            <v>5.8850740094819409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  <cell r="I275">
            <v>0.15464613645794401</v>
          </cell>
          <cell r="J275">
            <v>0.17491389894770501</v>
          </cell>
          <cell r="K275">
            <v>0.14744423989068101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  <cell r="I276">
            <v>0.15464682425588899</v>
          </cell>
          <cell r="J276">
            <v>0.20230512006203</v>
          </cell>
          <cell r="K276">
            <v>0.20735596663116301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  <cell r="I277">
            <v>9.2744974037003798E-8</v>
          </cell>
          <cell r="J277">
            <v>3.6364056727057386E-7</v>
          </cell>
          <cell r="K277">
            <v>6.5870783759859457E-7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  <cell r="I278">
            <v>9.2744974037003798E-8</v>
          </cell>
          <cell r="J278">
            <v>3.6364056727057386E-7</v>
          </cell>
          <cell r="K278">
            <v>6.5870783759859457E-7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  <cell r="I279">
            <v>9.2744974037003706E-8</v>
          </cell>
          <cell r="J279">
            <v>3.6364056727057402E-7</v>
          </cell>
          <cell r="K279">
            <v>6.58707837598595E-7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  <cell r="I280">
            <v>6.7243588561021305E-8</v>
          </cell>
          <cell r="J280">
            <v>8.0833755089406199E-8</v>
          </cell>
          <cell r="K280">
            <v>1.0857028490163E-7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  <cell r="I281">
            <v>1.2077953905802599E-7</v>
          </cell>
          <cell r="J281">
            <v>2.0161329414743199E-7</v>
          </cell>
          <cell r="K281">
            <v>3.10183579049062E-7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  <cell r="I282">
            <v>7.4918645727394644</v>
          </cell>
          <cell r="J282">
            <v>7.6680257449088485</v>
          </cell>
          <cell r="K282">
            <v>1.9945335636557841E-3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  <cell r="I283">
            <v>1944.9755419129201</v>
          </cell>
          <cell r="J283">
            <v>1990.7090396260201</v>
          </cell>
          <cell r="K283">
            <v>0.51780420764018398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  <cell r="I284">
            <v>20.958788167165171</v>
          </cell>
          <cell r="J284">
            <v>21.451606030452798</v>
          </cell>
          <cell r="K284">
            <v>5.5797867202606079E-3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  <cell r="I285">
            <v>8.9463277677780395E-2</v>
          </cell>
          <cell r="J285">
            <v>3.9371401570218997E-2</v>
          </cell>
          <cell r="K285">
            <v>6.0788981947369902E-8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  <cell r="I286">
            <v>0.27949088831616137</v>
          </cell>
          <cell r="J286">
            <v>0.28606090896359188</v>
          </cell>
          <cell r="K286">
            <v>1.229122356457002E-4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  <cell r="I287">
            <v>1.4655921303203623</v>
          </cell>
          <cell r="J287">
            <v>1.4655903959446728</v>
          </cell>
          <cell r="K287">
            <v>1.4655894120813804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  <cell r="I288">
            <v>1.4655921303203623</v>
          </cell>
          <cell r="J288">
            <v>1.4655903959446728</v>
          </cell>
          <cell r="K288">
            <v>1.4655894120813804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  <cell r="I289">
            <v>6.3881595463191871</v>
          </cell>
          <cell r="J289">
            <v>7.8501371137798142</v>
          </cell>
          <cell r="K289">
            <v>17.339745854771433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  <cell r="I290">
            <v>6.3881595463191871</v>
          </cell>
          <cell r="J290">
            <v>7.8501371137798142</v>
          </cell>
          <cell r="K290">
            <v>17.339745854771433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  <cell r="I291">
            <v>4.052403803832374</v>
          </cell>
          <cell r="J291">
            <v>4.4979146427517822</v>
          </cell>
          <cell r="K291">
            <v>5.4098818017494432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  <cell r="I292">
            <v>5.7891482911891066</v>
          </cell>
          <cell r="J292">
            <v>6.4255923467882603</v>
          </cell>
          <cell r="K292">
            <v>7.7284025739277729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  <cell r="I293">
            <v>5.6780919491604902E-2</v>
          </cell>
          <cell r="J293">
            <v>0.235927378471013</v>
          </cell>
          <cell r="K293">
            <v>0.35788642791125702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  <cell r="I294">
            <v>0.51401847571214099</v>
          </cell>
          <cell r="J294">
            <v>0.57052311225486496</v>
          </cell>
          <cell r="K294">
            <v>0.68618559144076197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  <cell r="I295"/>
          <cell r="J295">
            <v>6.9068276201306883E-4</v>
          </cell>
          <cell r="K295">
            <v>0.22382031116243126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  <cell r="I296"/>
          <cell r="J296">
            <v>7.4376189688747693E-2</v>
          </cell>
          <cell r="K296">
            <v>20.1522428581852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  <cell r="I297"/>
          <cell r="J297">
            <v>1.318726767530989E-3</v>
          </cell>
          <cell r="K297">
            <v>0.35730927053519934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  <cell r="I298"/>
          <cell r="J298">
            <v>1.70608919488105E-4</v>
          </cell>
          <cell r="K298">
            <v>1.3087854861058758E-2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  <cell r="I299"/>
          <cell r="J299">
            <v>3.5433606601624501E-4</v>
          </cell>
          <cell r="K299">
            <v>1.7209099297341501E-2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  <cell r="I300"/>
          <cell r="J300">
            <v>1.70608919488105E-4</v>
          </cell>
          <cell r="K300">
            <v>1.3087854861058715E-2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  <cell r="I301">
            <v>524.08798589766195</v>
          </cell>
          <cell r="J301">
            <v>281.43598655402599</v>
          </cell>
          <cell r="K301">
            <v>170.99458630325901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  <cell r="I302">
            <v>9.7439903872584228</v>
          </cell>
          <cell r="J302">
            <v>4.9742558950242186</v>
          </cell>
          <cell r="K302">
            <v>3.0216164949322177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  <cell r="I303">
            <v>2.4275122042286602E-3</v>
          </cell>
          <cell r="J303">
            <v>1.0095913541342426E-3</v>
          </cell>
          <cell r="K303"/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  <cell r="I304">
            <v>9.2923401754904535</v>
          </cell>
          <cell r="J304">
            <v>4.9899997615962004</v>
          </cell>
          <cell r="K304">
            <v>3.0318189060861531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  <cell r="I305">
            <v>0.48282859333763167</v>
          </cell>
          <cell r="J305">
            <v>2.1186074168799137E-4</v>
          </cell>
          <cell r="K305">
            <v>5.4403017750057612E-4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  <cell r="I306">
            <v>2.4238256647111807E-3</v>
          </cell>
          <cell r="J306">
            <v>1.0072935301364703E-3</v>
          </cell>
          <cell r="K306"/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  <cell r="I307">
            <v>8.5422469461040097E-7</v>
          </cell>
          <cell r="J307">
            <v>5.9829352008949396E-7</v>
          </cell>
          <cell r="K307">
            <v>1.1020413972182699E-6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  <cell r="I308">
            <v>2.2350560480760784</v>
          </cell>
          <cell r="J308">
            <v>2.2350566463695989</v>
          </cell>
          <cell r="K308">
            <v>1.1208960492747158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  <cell r="I309">
            <v>1.2040144026939539E-3</v>
          </cell>
          <cell r="J309">
            <v>1.0129597043745393E-3</v>
          </cell>
          <cell r="K309"/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  <cell r="I310">
            <v>3.1831631972513851E-3</v>
          </cell>
          <cell r="J310">
            <v>2.6215553477694086E-3</v>
          </cell>
          <cell r="K310"/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  <cell r="I311">
            <v>0.40860115088311982</v>
          </cell>
          <cell r="J311">
            <v>0.71229769327093917</v>
          </cell>
          <cell r="K311"/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  <cell r="I312">
            <v>5.0832344101072401E-5</v>
          </cell>
          <cell r="J312">
            <v>4.5619844103459402E-7</v>
          </cell>
          <cell r="K312">
            <v>5.3687888649521098E-8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  <cell r="I313">
            <v>1.0742290133199658E-4</v>
          </cell>
          <cell r="J313">
            <v>8.9885990221990448E-5</v>
          </cell>
          <cell r="K313">
            <v>1.01317854333271E-5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  <cell r="I314">
            <v>13.367119599126259</v>
          </cell>
          <cell r="J314">
            <v>12.612418539593907</v>
          </cell>
          <cell r="K314">
            <v>10.954226890745314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  <cell r="I315">
            <v>2.2699929915711518E-3</v>
          </cell>
          <cell r="J315">
            <v>1.438209789597582E-3</v>
          </cell>
          <cell r="K315">
            <v>2.0213571939192366E-2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  <cell r="I316">
            <v>16.482161383055782</v>
          </cell>
          <cell r="J316">
            <v>15.818835338367609</v>
          </cell>
          <cell r="K316">
            <v>12.595312354684719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  <cell r="I317">
            <v>11.640989022787235</v>
          </cell>
          <cell r="J317">
            <v>10.766210861813246</v>
          </cell>
          <cell r="K317">
            <v>10.075209985936317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  <cell r="I318">
            <v>15.84431813050675</v>
          </cell>
          <cell r="J318">
            <v>15.669331761641081</v>
          </cell>
          <cell r="K318">
            <v>12.892063677036672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  <cell r="I319">
            <v>57.336858128467583</v>
          </cell>
          <cell r="J319">
            <v>54.868201224490861</v>
          </cell>
          <cell r="K319">
            <v>46.536993524335024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  <cell r="I320">
            <v>1.2078444134217801E-7</v>
          </cell>
          <cell r="J320">
            <v>1.70917733229113E-7</v>
          </cell>
          <cell r="K320">
            <v>3.0813065640586001E-7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  <cell r="I321">
            <v>4.3300928716990716</v>
          </cell>
          <cell r="J321">
            <v>4.330093045691469</v>
          </cell>
          <cell r="K321">
            <v>4.3300933623197846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  <cell r="I322">
            <v>10.294862879614699</v>
          </cell>
          <cell r="J322">
            <v>4.7107369511971902</v>
          </cell>
          <cell r="K322"/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  <cell r="I323">
            <v>6.4814042959227033E-2</v>
          </cell>
          <cell r="J323">
            <v>2.979376794268359E-2</v>
          </cell>
          <cell r="K323"/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  <cell r="I324">
            <v>9.1795688930665781E-2</v>
          </cell>
          <cell r="J324">
            <v>4.4690651914025339E-2</v>
          </cell>
          <cell r="K324"/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  <cell r="I325">
            <v>0.18253302978040231</v>
          </cell>
          <cell r="J325">
            <v>8.3523704808460941E-2</v>
          </cell>
          <cell r="K325"/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  <cell r="I326">
            <v>2.6459878953252399E-6</v>
          </cell>
          <cell r="J326">
            <v>4.3913752510034602E-5</v>
          </cell>
          <cell r="K326">
            <v>2.29059803174829E-5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  <cell r="I327">
            <v>3.8340489747592417E-3</v>
          </cell>
          <cell r="J327">
            <v>2.0310630032647006E-3</v>
          </cell>
          <cell r="K327">
            <v>6.8465816843868684E-5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  <cell r="I328">
            <v>0.73277565445579596</v>
          </cell>
          <cell r="J328">
            <v>0.73073471971034043</v>
          </cell>
          <cell r="K328">
            <v>0.72669130442176155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  <cell r="I329">
            <v>0.73277565445579596</v>
          </cell>
          <cell r="J329">
            <v>0.73073471971034043</v>
          </cell>
          <cell r="K329">
            <v>0.72669130442176155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  <cell r="I330">
            <v>1.134438737871274E-3</v>
          </cell>
          <cell r="J330">
            <v>3.1554361131401227E-4</v>
          </cell>
          <cell r="K330">
            <v>8.5525562796549028E-3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  <cell r="I331">
            <v>1.135481420534757E-3</v>
          </cell>
          <cell r="J331">
            <v>3.1554361131401086E-4</v>
          </cell>
          <cell r="K331">
            <v>8.5525562796548958E-3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  <cell r="I332">
            <v>1.3787152619278793E-3</v>
          </cell>
          <cell r="J332">
            <v>3.7334714131640172E-4</v>
          </cell>
          <cell r="K332">
            <v>9.5059123332963489E-3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  <cell r="I333">
            <v>1.3787152619278793E-3</v>
          </cell>
          <cell r="J333">
            <v>3.7334714131640172E-4</v>
          </cell>
          <cell r="K333">
            <v>9.5059123332963489E-3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  <cell r="I334">
            <v>8.5871846209545501E-5</v>
          </cell>
          <cell r="J334">
            <v>9.5446810819576906E-5</v>
          </cell>
          <cell r="K334">
            <v>4.64410145897785E-2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  <cell r="I335">
            <v>4.830661572069207E-4</v>
          </cell>
          <cell r="J335">
            <v>3.1423951156777323E-4</v>
          </cell>
          <cell r="K335">
            <v>4.6602365675480137E-2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  <cell r="I336">
            <v>0.83942020909226223</v>
          </cell>
          <cell r="J336">
            <v>1.1437153230838054E-3</v>
          </cell>
          <cell r="K336">
            <v>0.38004669862074203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  <cell r="I337">
            <v>0.16930640122076621</v>
          </cell>
          <cell r="J337">
            <v>5.1594939462923763E-4</v>
          </cell>
          <cell r="K337">
            <v>0.17144551631564017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  <cell r="I338">
            <v>47.5043660960201</v>
          </cell>
          <cell r="J338">
            <v>0.17703447110260201</v>
          </cell>
          <cell r="K338">
            <v>48.009385693548701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  <cell r="I339">
            <v>0.64456399044803458</v>
          </cell>
          <cell r="J339">
            <v>2.4020959444043754E-3</v>
          </cell>
          <cell r="K339">
            <v>0.65141635947827292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  <cell r="I340">
            <v>9.7497835649343698E-3</v>
          </cell>
          <cell r="J340">
            <v>8.3408242225210005E-7</v>
          </cell>
          <cell r="K340">
            <v>1.2622037034145101E-2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  <cell r="I341">
            <v>2.9966922539971519E-2</v>
          </cell>
          <cell r="J341">
            <v>1.3110380187235995E-3</v>
          </cell>
          <cell r="K341">
            <v>1.317218858703495E-2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  <cell r="I342">
            <v>22.558006602757704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  <cell r="I343">
            <v>68.006058015912586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  <cell r="I344">
            <v>0.7667527810257001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  <cell r="I345">
            <v>1518.07038355842</v>
          </cell>
          <cell r="J345">
            <v>1028.01969901388</v>
          </cell>
          <cell r="K345">
            <v>368.184277167461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  <cell r="I346">
            <v>27.651119910301048</v>
          </cell>
          <cell r="J346">
            <v>18.169391514484559</v>
          </cell>
          <cell r="K346">
            <v>6.5077824930332975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  <cell r="I347">
            <v>4.0276129375689087E-3</v>
          </cell>
          <cell r="J347">
            <v>1.9031200743401698E-3</v>
          </cell>
          <cell r="K347"/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  <cell r="I348">
            <v>26.916141552454199</v>
          </cell>
          <cell r="J348">
            <v>18.227299627905577</v>
          </cell>
          <cell r="K348">
            <v>6.5280900206996746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  <cell r="I349">
            <v>0.82337815547051685</v>
          </cell>
          <cell r="J349">
            <v>2.1381285111929493E-4</v>
          </cell>
          <cell r="K349">
            <v>4.8236176072884889E-4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  <cell r="I350">
            <v>4.0260456250525876E-3</v>
          </cell>
          <cell r="J350">
            <v>1.9017291425606022E-3</v>
          </cell>
          <cell r="K350"/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  <cell r="I351">
            <v>2.3360623883009001E-7</v>
          </cell>
          <cell r="J351">
            <v>3.0907336245141702E-7</v>
          </cell>
          <cell r="K351">
            <v>5.4579739438320702E-7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  <cell r="I352">
            <v>3.0972413314034579</v>
          </cell>
          <cell r="J352">
            <v>3.0972416404768204</v>
          </cell>
          <cell r="K352">
            <v>1.5532844269145147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  <cell r="I353">
            <v>9.1625741439233202E-2</v>
          </cell>
          <cell r="J353">
            <v>8.99079320721657E-2</v>
          </cell>
          <cell r="K353"/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  <cell r="I354">
            <v>6.9856504997996944E-4</v>
          </cell>
          <cell r="J354">
            <v>7.0140939914455482E-4</v>
          </cell>
          <cell r="K354"/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  <cell r="I355">
            <v>7.6143590447816617E-4</v>
          </cell>
          <cell r="J355">
            <v>7.4349396309322867E-4</v>
          </cell>
          <cell r="K355"/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  <cell r="I356">
            <v>1.6245698836743476E-3</v>
          </cell>
          <cell r="J356">
            <v>1.5941122707830806E-3</v>
          </cell>
          <cell r="K356"/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  <cell r="I357">
            <v>3.0649832452714302E-5</v>
          </cell>
          <cell r="J357">
            <v>1.5583678045945599E-7</v>
          </cell>
          <cell r="K357">
            <v>3.0336510290154503E-8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  <cell r="I358">
            <v>6.2078129897097267E-5</v>
          </cell>
          <cell r="J358">
            <v>6.2193730851931863E-5</v>
          </cell>
          <cell r="K358">
            <v>1.13946616907688E-5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  <cell r="I359">
            <v>5.0856681270902383E-3</v>
          </cell>
          <cell r="J359">
            <v>1.4968105955605036E-3</v>
          </cell>
          <cell r="K359">
            <v>0.18480166815959781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  <cell r="I360">
            <v>7.5484429472553764E-3</v>
          </cell>
          <cell r="J360">
            <v>2.4946843259341742E-3</v>
          </cell>
          <cell r="K360">
            <v>0.36960333631919551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  <cell r="I361">
            <v>1.4446780760297356E-2</v>
          </cell>
          <cell r="J361">
            <v>4.5357896835166792E-3</v>
          </cell>
          <cell r="K361">
            <v>0.61600556053199329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  <cell r="I362">
            <v>5.7465899659621899E-4</v>
          </cell>
          <cell r="J362">
            <v>6.9309136701633705E-7</v>
          </cell>
          <cell r="K362">
            <v>4.4679876099754399E-2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  <cell r="I363">
            <v>5.7465899659621899E-4</v>
          </cell>
          <cell r="J363">
            <v>5.7488077746335688E-4</v>
          </cell>
          <cell r="K363">
            <v>4.4923039836749792E-2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  <cell r="I364">
            <v>30.40487940225432</v>
          </cell>
          <cell r="J364">
            <v>39.884271832113406</v>
          </cell>
          <cell r="K364">
            <v>35.618313497541187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  <cell r="I365">
            <v>30.396794502253453</v>
          </cell>
          <cell r="J365">
            <v>20.821936030000391</v>
          </cell>
          <cell r="K365">
            <v>16.343846383365417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  <cell r="I366">
            <v>8.0849000008556202E-3</v>
          </cell>
          <cell r="J366">
            <v>19.062335802113022</v>
          </cell>
          <cell r="K366">
            <v>19.274467114175753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  <cell r="I367">
            <v>0.45869029204223599</v>
          </cell>
          <cell r="J367">
            <v>5.9224514876307299E-6</v>
          </cell>
          <cell r="K367">
            <v>7.1611186845254598E-6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  <cell r="I368">
            <v>0.97409737885151604</v>
          </cell>
          <cell r="J368">
            <v>1.322329700658214</v>
          </cell>
          <cell r="K368">
            <v>1.3223380704844101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  <cell r="I369">
            <v>10.472740727565025</v>
          </cell>
          <cell r="J369">
            <v>13.36443090854705</v>
          </cell>
          <cell r="K369">
            <v>99.584719845128234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  <cell r="I370">
            <v>10.484390049842613</v>
          </cell>
          <cell r="J370">
            <v>13.364430908547032</v>
          </cell>
          <cell r="K370">
            <v>99.58471984512822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  <cell r="I371">
            <v>11.649311873769744</v>
          </cell>
          <cell r="J371">
            <v>14.370349067937861</v>
          </cell>
          <cell r="K371">
            <v>100.59062718372287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  <cell r="I372">
            <v>11.649311873769744</v>
          </cell>
          <cell r="J372">
            <v>14.370349067937861</v>
          </cell>
          <cell r="K372">
            <v>100.59062718372287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  <cell r="I373">
            <v>0.104458153343733</v>
          </cell>
          <cell r="J373">
            <v>0.59860660568621804</v>
          </cell>
          <cell r="K373">
            <v>5.7094400749764196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  <cell r="I374">
            <v>0.65544417414286349</v>
          </cell>
          <cell r="J374">
            <v>0.83390564340615514</v>
          </cell>
          <cell r="K374">
            <v>6.1880334124792178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  <cell r="I375">
            <v>2.2711796941910386E-2</v>
          </cell>
          <cell r="J375">
            <v>1.5298453448321224E-2</v>
          </cell>
          <cell r="K375">
            <v>1.0071214675125153E-4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  <cell r="I376">
            <v>2.2737060342290682E-2</v>
          </cell>
          <cell r="J376">
            <v>1.5298453448321214E-2</v>
          </cell>
          <cell r="K376">
            <v>1.0071214675125153E-4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  <cell r="I377">
            <v>2.5249312141850493E-2</v>
          </cell>
          <cell r="J377">
            <v>1.644078838605418E-2</v>
          </cell>
          <cell r="K377">
            <v>1.0071214675125153E-4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  <cell r="I378">
            <v>2.5249312141850493E-2</v>
          </cell>
          <cell r="J378">
            <v>1.644078838605418E-2</v>
          </cell>
          <cell r="K378">
            <v>1.0071214675125153E-4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  <cell r="I379">
            <v>2.9406367283650501E-3</v>
          </cell>
          <cell r="J379">
            <v>6.2223210036293103E-5</v>
          </cell>
          <cell r="K379">
            <v>1.7495511114062401E-5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  <cell r="I380">
            <v>3.8593860766183478E-3</v>
          </cell>
          <cell r="J380">
            <v>3.146303026699116E-3</v>
          </cell>
          <cell r="K380">
            <v>1.2747899864616276E-3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  <cell r="I381">
            <v>0.114287044657715</v>
          </cell>
          <cell r="J381">
            <v>2.9270061134638301E-3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  <cell r="I382">
            <v>1.459458673017327E-3</v>
          </cell>
          <cell r="J382">
            <v>3.7378203899344037E-5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  <cell r="I383">
            <v>1.4842473332170856E-3</v>
          </cell>
          <cell r="J383">
            <v>3.80130664086212E-5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  <cell r="I384">
            <v>415.23469619361401</v>
          </cell>
          <cell r="J384">
            <v>422.78197217139501</v>
          </cell>
          <cell r="K384"/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  <cell r="I385">
            <v>2.219534887510711</v>
          </cell>
          <cell r="J385">
            <v>2.2858359866214935</v>
          </cell>
          <cell r="K385"/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  <cell r="I386">
            <v>4.5312471801858027</v>
          </cell>
          <cell r="J386">
            <v>4.6091446943351384</v>
          </cell>
          <cell r="K386"/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  <cell r="I387">
            <v>7.3623173083974116</v>
          </cell>
          <cell r="J387">
            <v>7.4961342583580679</v>
          </cell>
          <cell r="K387"/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  <cell r="I388">
            <v>3.2847809424262298E-2</v>
          </cell>
          <cell r="J388">
            <v>5.1315626742009903E-3</v>
          </cell>
          <cell r="K388">
            <v>5.9162304224859699E-7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  <cell r="I389">
            <v>0.16470386695077485</v>
          </cell>
          <cell r="J389">
            <v>0.16970571651932034</v>
          </cell>
          <cell r="K389">
            <v>7.0899670242700885E-4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  <cell r="I390">
            <v>2.2692219709671744E-3</v>
          </cell>
          <cell r="J390">
            <v>3.1015387237814628E-3</v>
          </cell>
          <cell r="K390">
            <v>9.8423420324394496E-4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  <cell r="I391">
            <v>2.2692219709671744E-3</v>
          </cell>
          <cell r="J391">
            <v>3.1015387237814628E-3</v>
          </cell>
          <cell r="K391">
            <v>9.8423420324394496E-4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  <cell r="I392">
            <v>1.79947940888693E-5</v>
          </cell>
          <cell r="J392">
            <v>2.6963016095316001E-5</v>
          </cell>
          <cell r="K392">
            <v>4.197798709678E-5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  <cell r="I393">
            <v>1.4741407359055714E-3</v>
          </cell>
          <cell r="J393">
            <v>1.5857114430302133E-3</v>
          </cell>
          <cell r="K393">
            <v>9.1516583603246104E-4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  <cell r="I394">
            <v>6.2590704842551428E-2</v>
          </cell>
          <cell r="J394">
            <v>6.2614965979480977E-2</v>
          </cell>
          <cell r="K394">
            <v>0.34296076131578113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  <cell r="I395">
            <v>6.2590704842551234E-2</v>
          </cell>
          <cell r="J395">
            <v>6.2614965979480811E-2</v>
          </cell>
          <cell r="K395">
            <v>0.34296076131578002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  <cell r="I396">
            <v>7.2192539581231424E-2</v>
          </cell>
          <cell r="J396">
            <v>7.2219366828799425E-2</v>
          </cell>
          <cell r="K396">
            <v>0.39555472010555404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  <cell r="I397">
            <v>7.2192539581231424E-2</v>
          </cell>
          <cell r="J397">
            <v>7.2219366828799425E-2</v>
          </cell>
          <cell r="K397">
            <v>0.39555472010555404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  <cell r="I398">
            <v>2.12303096740382E-2</v>
          </cell>
          <cell r="J398">
            <v>5.5549620009084602E-2</v>
          </cell>
          <cell r="K398">
            <v>0.81631783338966402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  <cell r="I399">
            <v>3.9090172175682468E-2</v>
          </cell>
          <cell r="J399">
            <v>7.9458526202741492E-2</v>
          </cell>
          <cell r="K399">
            <v>0.84790073188985049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  <cell r="I400">
            <v>0.19264133992984295</v>
          </cell>
          <cell r="J400">
            <v>1.421234304338441</v>
          </cell>
          <cell r="K400">
            <v>2.8640105567101757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  <cell r="I401">
            <v>0.19264133992984295</v>
          </cell>
          <cell r="J401">
            <v>1.421234304338441</v>
          </cell>
          <cell r="K401">
            <v>2.8640105567101757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  <cell r="I402">
            <v>0.192641339929843</v>
          </cell>
          <cell r="J402">
            <v>1.4212343043384399</v>
          </cell>
          <cell r="K402">
            <v>2.8640105567101801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  <cell r="I403">
            <v>1.06055901538556E-2</v>
          </cell>
          <cell r="J403">
            <v>0.354167527862706</v>
          </cell>
          <cell r="K403">
            <v>0.46299193843845998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  <cell r="I404">
            <v>5.55328704263304E-2</v>
          </cell>
          <cell r="J404">
            <v>0.40970039828903598</v>
          </cell>
          <cell r="K404">
            <v>0.82561122503638296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  <cell r="I405">
            <v>7.9367016318305977E-2</v>
          </cell>
          <cell r="J405">
            <v>9.8192383383331153E-2</v>
          </cell>
          <cell r="K405">
            <v>3.9156349029913478E-4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  <cell r="I406">
            <v>7.9294135678895372E-2</v>
          </cell>
          <cell r="J406">
            <v>9.8192383383331486E-2</v>
          </cell>
          <cell r="K406">
            <v>3.9156349029913505E-4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  <cell r="I407">
            <v>9.6198205295507794E-2</v>
          </cell>
          <cell r="J407">
            <v>0.1155225795734881</v>
          </cell>
          <cell r="K407">
            <v>3.0197680628138234E-4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  <cell r="I408">
            <v>9.6198205295507794E-2</v>
          </cell>
          <cell r="J408">
            <v>0.1155225795734881</v>
          </cell>
          <cell r="K408">
            <v>3.0197680628138234E-4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  <cell r="I409">
            <v>6.9696272628158498E-3</v>
          </cell>
          <cell r="J409">
            <v>2.9272955388547702E-4</v>
          </cell>
          <cell r="K409">
            <v>3.7968041985445197E-5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  <cell r="I410">
            <v>8.7112718957771309E-3</v>
          </cell>
          <cell r="J410">
            <v>7.2734387958124256E-3</v>
          </cell>
          <cell r="K410">
            <v>3.0846168064288639E-3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  <cell r="I411">
            <v>3.2001002059807277E-3</v>
          </cell>
          <cell r="J411">
            <v>3.3834819094177306E-3</v>
          </cell>
          <cell r="K411">
            <v>3.7839731521876916E-3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  <cell r="I412">
            <v>3.2001002059807277E-3</v>
          </cell>
          <cell r="J412">
            <v>3.3834819094177306E-3</v>
          </cell>
          <cell r="K412">
            <v>3.7839731521876916E-3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  <cell r="I413">
            <v>3.2001002059807299E-3</v>
          </cell>
          <cell r="J413">
            <v>3.3834819094177302E-3</v>
          </cell>
          <cell r="K413">
            <v>3.7839731521876899E-3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  <cell r="I414">
            <v>7.8494432164159897E-5</v>
          </cell>
          <cell r="J414">
            <v>5.9768413378678999E-5</v>
          </cell>
          <cell r="K414">
            <v>9.6860197239133003E-4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  <cell r="I415">
            <v>9.2280306519552295E-4</v>
          </cell>
          <cell r="J415">
            <v>9.7576915280011699E-4</v>
          </cell>
          <cell r="K415">
            <v>1.0910808730548701E-3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  <cell r="I416">
            <v>3.2881155222888969</v>
          </cell>
          <cell r="J416">
            <v>4.9715230004723354</v>
          </cell>
          <cell r="K416">
            <v>1.4833444584627744E-3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  <cell r="I417">
            <v>3.2911376872909952</v>
          </cell>
          <cell r="J417">
            <v>4.9715230004723203</v>
          </cell>
          <cell r="K417">
            <v>1.4833444584627729E-3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  <cell r="I418">
            <v>3.9892535640502587</v>
          </cell>
          <cell r="J418">
            <v>5.8488527231104657</v>
          </cell>
          <cell r="K418">
            <v>1.6592894998173928E-3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  <cell r="I419">
            <v>3.9892535640502587</v>
          </cell>
          <cell r="J419">
            <v>5.8488527231104657</v>
          </cell>
          <cell r="K419">
            <v>1.6592894998173928E-3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  <cell r="I420">
            <v>0.101138056547161</v>
          </cell>
          <cell r="J420">
            <v>0.14239553383203901</v>
          </cell>
          <cell r="K420">
            <v>4.3783246130335301E-5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  <cell r="I421">
            <v>0.20889904283367031</v>
          </cell>
          <cell r="J421">
            <v>0.31542106782032292</v>
          </cell>
          <cell r="K421">
            <v>7.3596024267000015E-3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  <cell r="I422">
            <v>2.2697341478752353E-3</v>
          </cell>
          <cell r="J422">
            <v>1.4651801652985322E-3</v>
          </cell>
          <cell r="K422">
            <v>2.5432429785627868E-2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  <cell r="I423">
            <v>44.730515243745174</v>
          </cell>
          <cell r="J423">
            <v>40.861852279471421</v>
          </cell>
          <cell r="K423">
            <v>32.398595914408027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  <cell r="I424">
            <v>44.732784977893054</v>
          </cell>
          <cell r="J424">
            <v>40.863305845833807</v>
          </cell>
          <cell r="K424">
            <v>32.424015089272409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  <cell r="I425">
            <v>1.8528672746414499E-7</v>
          </cell>
          <cell r="J425">
            <v>2.4388961610227402E-7</v>
          </cell>
          <cell r="K425">
            <v>4.29768490572078E-7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  <cell r="I426">
            <v>4.3683893879041813</v>
          </cell>
          <cell r="J426">
            <v>4.3683896460007201</v>
          </cell>
          <cell r="K426">
            <v>4.368390090473377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  <cell r="I427">
            <v>2.6027502850931314E-3</v>
          </cell>
          <cell r="J427">
            <v>4.7102002235543091E-3</v>
          </cell>
          <cell r="K427">
            <v>9.2849823365361321E-4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  <cell r="I428">
            <v>6.8066728158375561E-3</v>
          </cell>
          <cell r="J428">
            <v>1.2318043725686095E-2</v>
          </cell>
          <cell r="K428">
            <v>2.4281944075695647E-3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  <cell r="I429">
            <v>0.59901125513007514</v>
          </cell>
          <cell r="J429">
            <v>0.71948536316556599</v>
          </cell>
          <cell r="K429">
            <v>1.5170457030312761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  <cell r="I430">
            <v>2.06832316302226E-4</v>
          </cell>
          <cell r="J430">
            <v>7.2455749416168799E-6</v>
          </cell>
          <cell r="K430">
            <v>1.9963382841879899E-6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  <cell r="I431">
            <v>4.4071107716658897E-4</v>
          </cell>
          <cell r="J431">
            <v>3.9102476993676605E-4</v>
          </cell>
          <cell r="K431">
            <v>1.6637392388713809E-4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  <cell r="J432">
            <v>4.0907724081203113E-3</v>
          </cell>
          <cell r="K432">
            <v>4.4189554330595262E-3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  <cell r="J433">
            <v>4.0907724081203113E-3</v>
          </cell>
          <cell r="K433">
            <v>4.4189554330595262E-3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  <cell r="I434">
            <v>1.7158541114643501E-6</v>
          </cell>
          <cell r="J434">
            <v>7.0743359392412E-4</v>
          </cell>
          <cell r="K434">
            <v>2.39894568454158E-4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  <cell r="I435">
            <v>1.7158541114643501E-6</v>
          </cell>
          <cell r="J435">
            <v>7.0773750930437803E-4</v>
          </cell>
          <cell r="K435">
            <v>4.8220560503387899E-4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  <cell r="I436">
            <v>126.59715792151799</v>
          </cell>
          <cell r="J436">
            <v>115.75768501903462</v>
          </cell>
          <cell r="K436">
            <v>80.29861559919658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  <cell r="I437">
            <v>128.66558926192354</v>
          </cell>
          <cell r="J437">
            <v>117.22793624705804</v>
          </cell>
          <cell r="K437">
            <v>80.740540618221104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  <cell r="I438">
            <v>3.6839960832977099E-7</v>
          </cell>
          <cell r="J438">
            <v>5.5186031403884598E-7</v>
          </cell>
          <cell r="K438">
            <v>1.7379062088380601E-6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  <cell r="I439">
            <v>15.305609864894739</v>
          </cell>
          <cell r="J439">
            <v>15.305610070800347</v>
          </cell>
          <cell r="K439">
            <v>15.305611155074153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  <cell r="I440">
            <v>12.259031539487497</v>
          </cell>
          <cell r="J440">
            <v>12.266940052631311</v>
          </cell>
          <cell r="K440">
            <v>12.283032234364937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  <cell r="I441">
            <v>12.259031539487497</v>
          </cell>
          <cell r="J441">
            <v>12.266940052631311</v>
          </cell>
          <cell r="K441">
            <v>12.283032234364937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  <cell r="I443">
            <v>8.7380491856675156E-3</v>
          </cell>
          <cell r="J443">
            <v>8.068356449315776E-3</v>
          </cell>
          <cell r="K443">
            <v>3.1315935951242935E-4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  <cell r="I444">
            <v>8.7460804808749178E-3</v>
          </cell>
          <cell r="J444">
            <v>8.06835644931575E-3</v>
          </cell>
          <cell r="K444">
            <v>3.1315935951242897E-4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  <cell r="I445">
            <v>1.0597070947071041E-2</v>
          </cell>
          <cell r="J445">
            <v>9.4943075413047029E-3</v>
          </cell>
          <cell r="K445">
            <v>2.5087613998934951E-4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  <cell r="I446">
            <v>1.0597070947071041E-2</v>
          </cell>
          <cell r="J446">
            <v>9.4943075413047029E-3</v>
          </cell>
          <cell r="K446">
            <v>2.5087613998934951E-4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  <cell r="I447">
            <v>3.13434701595977E-3</v>
          </cell>
          <cell r="J447">
            <v>7.83115628207119E-5</v>
          </cell>
          <cell r="K447">
            <v>3.8521926509593397E-5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  <cell r="I448">
            <v>3.9794233844759391E-3</v>
          </cell>
          <cell r="J448">
            <v>3.2655398172748216E-3</v>
          </cell>
          <cell r="K448">
            <v>1.3929402018737394E-3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  <cell r="I449">
            <v>2.1378028591438619E-4</v>
          </cell>
          <cell r="J449">
            <v>3.2388170229262871E-5</v>
          </cell>
          <cell r="K449">
            <v>9.4563474759435828E-6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  <cell r="I450">
            <v>1.84393641174837E-2</v>
          </cell>
          <cell r="J450">
            <v>2.79360307430589E-3</v>
          </cell>
          <cell r="K450">
            <v>8.1564599647042098E-4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  <cell r="I451">
            <v>2.5019489983017182E-4</v>
          </cell>
          <cell r="J451">
            <v>3.790506206656567E-5</v>
          </cell>
          <cell r="K451">
            <v>1.1067109857129186E-5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  <cell r="I452">
            <v>7.0594915515145797E-4</v>
          </cell>
          <cell r="J452">
            <v>4.9805678174494902E-5</v>
          </cell>
          <cell r="K452">
            <v>1.23146602963219E-5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  <cell r="I453">
            <v>7.7427418478926964E-4</v>
          </cell>
          <cell r="J453">
            <v>7.9105067553601413E-4</v>
          </cell>
          <cell r="K453">
            <v>6.1721232880523891E-4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  <cell r="I454">
            <v>9.5459499000953033E-2</v>
          </cell>
          <cell r="J454">
            <v>0.35824367449641348</v>
          </cell>
          <cell r="K454">
            <v>0.85742843551034753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  <cell r="I455">
            <v>3.1144518159248362E-3</v>
          </cell>
          <cell r="J455">
            <v>4.5622496957417723E-3</v>
          </cell>
          <cell r="K455">
            <v>1.5051364564127383E-3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  <cell r="I456">
            <v>2.2352983618197137E-3</v>
          </cell>
          <cell r="J456">
            <v>4.8520672989109358E-3</v>
          </cell>
          <cell r="K456">
            <v>1.92504887714705E-3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  <cell r="I457">
            <v>1.9141772670924591E-4</v>
          </cell>
          <cell r="J457">
            <v>5.2058210153656476E-4</v>
          </cell>
          <cell r="K457">
            <v>1.1225587193736879E-3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  <cell r="I458">
            <v>2.9138776844883321E-4</v>
          </cell>
          <cell r="J458">
            <v>5.197081075806999E-4</v>
          </cell>
          <cell r="K458">
            <v>3.8235982467715656E-4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  <cell r="I459">
            <v>2.1372370598795008E-2</v>
          </cell>
          <cell r="J459">
            <v>8.1777692652430733E-2</v>
          </cell>
          <cell r="K459">
            <v>0.26239698024334668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  <cell r="I460">
            <v>6.3176974898763163E-3</v>
          </cell>
          <cell r="J460">
            <v>3.9223825931552526E-2</v>
          </cell>
          <cell r="K460">
            <v>0.17756728736965946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  <cell r="I461">
            <v>6.3005025407679872E-3</v>
          </cell>
          <cell r="J461">
            <v>3.892258701756561E-2</v>
          </cell>
          <cell r="K461">
            <v>0.17698456025693188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  <cell r="I462">
            <v>6.3480521300615135E-3</v>
          </cell>
          <cell r="J462">
            <v>3.8688138551940726E-2</v>
          </cell>
          <cell r="K462">
            <v>0.17403075590427239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  <cell r="I463">
            <v>2.1041242874553947E-3</v>
          </cell>
          <cell r="J463">
            <v>2.3716255011279018E-3</v>
          </cell>
          <cell r="K463">
            <v>1.1339493466705267E-3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  <cell r="I464">
            <v>7.5243575467336034E-4</v>
          </cell>
          <cell r="J464">
            <v>1.5331836603580005E-3</v>
          </cell>
          <cell r="K464">
            <v>3.3411972685658048E-3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  <cell r="I465">
            <v>1.143972558064838E-2</v>
          </cell>
          <cell r="J465">
            <v>0.11201522524502948</v>
          </cell>
          <cell r="K465">
            <v>2.2648107442130344E-3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  <cell r="I466">
            <v>4.7198437751381486E-3</v>
          </cell>
          <cell r="J466">
            <v>1.6975182345469889E-3</v>
          </cell>
          <cell r="K466">
            <v>9.8801955497305983E-4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  <cell r="I467">
            <v>1.528614606143681E-3</v>
          </cell>
          <cell r="J467">
            <v>2.5528070459014326E-3</v>
          </cell>
          <cell r="K467">
            <v>1.626706985027791E-3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  <cell r="I468">
            <v>6.5355790908263401E-3</v>
          </cell>
          <cell r="J468">
            <v>5.6722329458816336E-3</v>
          </cell>
          <cell r="K468">
            <v>3.9416265462468856E-3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  <cell r="I469">
            <v>9.4744122162904714E-3</v>
          </cell>
          <cell r="J469">
            <v>9.3479335828207302E-3</v>
          </cell>
          <cell r="K469">
            <v>6.1487599509283033E-3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  <cell r="I470">
            <v>9.5551433347165343E-3</v>
          </cell>
          <cell r="J470">
            <v>1.0698122518822066E-2</v>
          </cell>
          <cell r="K470">
            <v>9.003238873898145E-3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  <cell r="I471">
            <v>4.1946727327334929E-4</v>
          </cell>
          <cell r="J471">
            <v>3.0368430310379768E-4</v>
          </cell>
          <cell r="K471">
            <v>2.272630063691039E-4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  <cell r="I472">
            <v>3.7141898464984147E-4</v>
          </cell>
          <cell r="J472">
            <v>2.8996968788676361E-4</v>
          </cell>
          <cell r="K472">
            <v>2.0448428238572299E-4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  <cell r="I473">
            <v>1.4615880566981425E-4</v>
          </cell>
          <cell r="J473">
            <v>1.3013301892404812E-4</v>
          </cell>
          <cell r="K473">
            <v>1.0254635305564886E-4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  <cell r="I474">
            <v>3.3067642952105519E-4</v>
          </cell>
          <cell r="J474">
            <v>3.8361768399369333E-4</v>
          </cell>
          <cell r="K474">
            <v>2.7456383588121935E-4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  <cell r="I475">
            <v>8.4906489597702322E-4</v>
          </cell>
          <cell r="J475">
            <v>6.5981414280077814E-4</v>
          </cell>
          <cell r="K475">
            <v>4.0033108135271192E-4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  <cell r="I476">
            <v>1.147729435950209E-3</v>
          </cell>
          <cell r="J476">
            <v>1.6029122320852347E-3</v>
          </cell>
          <cell r="K476">
            <v>3.1928627091500739E-2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  <cell r="I477">
            <v>0.38059688459452401</v>
          </cell>
          <cell r="J477">
            <v>1.33361902325973</v>
          </cell>
          <cell r="K477">
            <v>2.2645849333411698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  <cell r="I478">
            <v>0.3860554811348712</v>
          </cell>
          <cell r="J478">
            <v>1.7179255792101229</v>
          </cell>
          <cell r="K478">
            <v>3.3934157828674962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  <cell r="I479">
            <v>6.9022802336235838</v>
          </cell>
          <cell r="J479">
            <v>8.7697138356577558</v>
          </cell>
          <cell r="K479">
            <v>8.7697161505272625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  <cell r="I480">
            <v>6.9022802336235838</v>
          </cell>
          <cell r="J480">
            <v>8.7697138356577558</v>
          </cell>
          <cell r="K480">
            <v>8.7697161505272625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  <cell r="I481">
            <v>92.296070374721268</v>
          </cell>
          <cell r="J481">
            <v>122.64306450119965</v>
          </cell>
          <cell r="K481">
            <v>94.510459788661834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  <cell r="I482">
            <v>79.837405020627344</v>
          </cell>
          <cell r="J482">
            <v>38.80084914508317</v>
          </cell>
          <cell r="K482">
            <v>33.540285914912666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  <cell r="I483">
            <v>5.6052883252732423E-3</v>
          </cell>
          <cell r="J483">
            <v>3.6683310098579599E-3</v>
          </cell>
          <cell r="K483">
            <v>1.5464259901839712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  <cell r="I484">
            <v>177.71273602884492</v>
          </cell>
          <cell r="J484">
            <v>165.77700714253493</v>
          </cell>
          <cell r="K484">
            <v>131.65381860351314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  <cell r="I485">
            <v>4.6161700433062799E-7</v>
          </cell>
          <cell r="J485">
            <v>6.8963941202685704E-7</v>
          </cell>
          <cell r="K485">
            <v>2.16448095011632E-6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  <cell r="I486">
            <v>13.91419107802942</v>
          </cell>
          <cell r="J486">
            <v>13.914191354895552</v>
          </cell>
          <cell r="K486">
            <v>13.914192709627855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  <cell r="I487">
            <v>5.2572312167880595</v>
          </cell>
          <cell r="J487">
            <v>6.6795916390827283</v>
          </cell>
          <cell r="K487">
            <v>6.6795934022398145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  <cell r="I488">
            <v>6.9022802336235838</v>
          </cell>
          <cell r="J488">
            <v>8.7697138356577558</v>
          </cell>
          <cell r="K488">
            <v>8.7697161505272625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  <cell r="I489">
            <v>0.23186448066205401</v>
          </cell>
          <cell r="J489">
            <v>0.18046153662473099</v>
          </cell>
          <cell r="K489">
            <v>0.36893765295335701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  <cell r="I490">
            <v>0.66682993142566493</v>
          </cell>
          <cell r="J490">
            <v>0.84724196499088278</v>
          </cell>
          <cell r="K490">
            <v>0.84723471284105512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1.8626435651705387E-4</v>
          </cell>
          <cell r="K491">
            <v>0.6852085945618408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2.3748705455924361E-4</v>
          </cell>
          <cell r="K492">
            <v>0.90790138779443941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2.62632742689046E-2</v>
          </cell>
          <cell r="K493">
            <v>96.614411833219606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4.65660891292634E-4</v>
          </cell>
          <cell r="K494">
            <v>1.7130214864046023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6.3355152822972205E-5</v>
          </cell>
          <cell r="K495">
            <v>3.5121808687080897E-2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6.3355152822972205E-5</v>
          </cell>
          <cell r="K496">
            <v>3.5185027006261867E-2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  <cell r="I497">
            <v>101.75741376337304</v>
          </cell>
          <cell r="J497">
            <v>133.30938754756423</v>
          </cell>
          <cell r="K497">
            <v>114.60462469841046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  <cell r="I498">
            <v>4.1094322085377987E-3</v>
          </cell>
          <cell r="J498">
            <v>1.9519704082205159E-3</v>
          </cell>
          <cell r="K498">
            <v>0.3837754109946433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  <cell r="I499">
            <v>105.57884314154927</v>
          </cell>
          <cell r="J499">
            <v>137.81713628149146</v>
          </cell>
          <cell r="K499">
            <v>118.03001689861912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  <cell r="I500">
            <v>1.1277535408540901E-6</v>
          </cell>
          <cell r="J500">
            <v>1.6806282218966399E-6</v>
          </cell>
          <cell r="K500">
            <v>5.1509449654220702E-6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  <cell r="I501">
            <v>12.649267970160226</v>
          </cell>
          <cell r="J501">
            <v>12.649269244882197</v>
          </cell>
          <cell r="K501">
            <v>12.649272523974565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  <cell r="I502">
            <v>641.83661861630196</v>
          </cell>
          <cell r="J502">
            <v>205.748129491898</v>
          </cell>
          <cell r="K502">
            <v>9.7857329198857606E-4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  <cell r="I503">
            <v>8.5644849484165597</v>
          </cell>
          <cell r="J503">
            <v>2.7458251767768371</v>
          </cell>
          <cell r="K503">
            <v>0.17470365584131678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  <cell r="I504">
            <v>8.7087736582944562</v>
          </cell>
          <cell r="J504">
            <v>2.7916978221424356</v>
          </cell>
          <cell r="K504">
            <v>1.327779229292504E-5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  <cell r="I505">
            <v>1.1783040937198641E-3</v>
          </cell>
          <cell r="J505">
            <v>7.655654235554423E-4</v>
          </cell>
          <cell r="K505">
            <v>0.17765987912207903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  <cell r="I509">
            <v>51.057105363553546</v>
          </cell>
          <cell r="J509">
            <v>49.957721851895329</v>
          </cell>
          <cell r="K509">
            <v>47.7737412742378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  <cell r="I510">
            <v>51.057105363553546</v>
          </cell>
          <cell r="J510">
            <v>49.957721851895329</v>
          </cell>
          <cell r="K510">
            <v>47.7737412742378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  <cell r="I512">
            <v>5.0440291572259772</v>
          </cell>
          <cell r="J512">
            <v>9.0124376834273132</v>
          </cell>
          <cell r="K512">
            <v>9.955339266569629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  <cell r="I513">
            <v>1.7393203990434396</v>
          </cell>
          <cell r="J513">
            <v>3.1077371322163145</v>
          </cell>
          <cell r="K513">
            <v>3.4328756091619428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  <cell r="I514">
            <v>10.088058314451899</v>
          </cell>
          <cell r="J514">
            <v>18.024875366854602</v>
          </cell>
          <cell r="K514">
            <v>19.910678533139301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  <cell r="I515">
            <v>6.7826942080817298E-2</v>
          </cell>
          <cell r="J515">
            <v>0.31854393362427802</v>
          </cell>
          <cell r="K515">
            <v>0.21861349342222799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  <cell r="I516">
            <v>0.31060201010915928</v>
          </cell>
          <cell r="J516">
            <v>0.55494624116969793</v>
          </cell>
          <cell r="K516">
            <v>0.61304909383620032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  <cell r="I517">
            <v>6.4767573807530781</v>
          </cell>
          <cell r="J517">
            <v>6.4767565350642791</v>
          </cell>
          <cell r="K517">
            <v>6.7099369178734873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  <cell r="I518">
            <v>7.0271951639377894</v>
          </cell>
          <cell r="J518">
            <v>7.0225880624187251</v>
          </cell>
          <cell r="K518">
            <v>7.2658945309787546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  <cell r="I519">
            <v>2.14051390107433E-7</v>
          </cell>
          <cell r="J519">
            <v>1.6594406772762801E-7</v>
          </cell>
          <cell r="K519">
            <v>2.3785534776730801E-7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  <cell r="I520">
            <v>0.795473193396107</v>
          </cell>
          <cell r="J520">
            <v>0.79547335934017505</v>
          </cell>
          <cell r="K520">
            <v>0.79547359719552302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0.97451375600969381</v>
          </cell>
          <cell r="J521">
            <v>0.98510188828260792</v>
          </cell>
          <cell r="K521">
            <v>1.0422902715484279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0.98193797993219833</v>
          </cell>
          <cell r="J522">
            <v>0.99260677670515862</v>
          </cell>
          <cell r="K522">
            <v>1.0502308432648386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  <cell r="I523">
            <v>3.7834481308419002E-2</v>
          </cell>
          <cell r="J523">
            <v>4.8928478454824598E-5</v>
          </cell>
          <cell r="K523">
            <v>8.0505953767992796E-6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  <cell r="I524">
            <v>3.7835639987981701E-2</v>
          </cell>
          <cell r="J524">
            <v>3.7884568466436598E-2</v>
          </cell>
          <cell r="K524">
            <v>3.7892619061813397E-2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  <cell r="I525">
            <v>2.0611798383543354</v>
          </cell>
          <cell r="J525">
            <v>2.1663431199290506</v>
          </cell>
          <cell r="K525">
            <v>2.3930203669522916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  <cell r="I526">
            <v>2.0611798383543354</v>
          </cell>
          <cell r="J526">
            <v>2.1663431199290506</v>
          </cell>
          <cell r="K526">
            <v>2.3930203669522916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  <cell r="I527">
            <v>2.0611798383543301</v>
          </cell>
          <cell r="J527">
            <v>2.1663431199290502</v>
          </cell>
          <cell r="K527">
            <v>2.3930203669522898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  <cell r="I528">
            <v>0.11729602505568899</v>
          </cell>
          <cell r="J528">
            <v>0.25530407215595202</v>
          </cell>
          <cell r="K528">
            <v>0.34106547764322098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  <cell r="I529">
            <v>0.59417863798960702</v>
          </cell>
          <cell r="J529">
            <v>0.62449428209904101</v>
          </cell>
          <cell r="K529">
            <v>0.68983827424117905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  <cell r="I530">
            <v>0.64996405005267388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  <cell r="I531">
            <v>0.64996405005267388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383.67583754691378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-383.67583754691401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2.8442041690919653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1.3445328799343821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0.37618537674737029</v>
          </cell>
          <cell r="K537">
            <v>5.355481334029613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7.4909965661849306E-2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7.4909965661849306E-2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  <cell r="I540">
            <v>997.36665163578198</v>
          </cell>
          <cell r="J540">
            <v>274.946348837605</v>
          </cell>
          <cell r="K540">
            <v>1.2926108469267E-3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  <cell r="I541">
            <v>13.307936601770178</v>
          </cell>
          <cell r="J541">
            <v>3.6690730884967291</v>
          </cell>
          <cell r="K541">
            <v>0.37366034530108222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  <cell r="I542">
            <v>13.532790388545203</v>
          </cell>
          <cell r="J542">
            <v>3.730615316656785</v>
          </cell>
          <cell r="K542">
            <v>1.7538817461691966E-5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  <cell r="I543">
            <v>1.1794382208762395E-3</v>
          </cell>
          <cell r="J543">
            <v>7.764854036268979E-4</v>
          </cell>
          <cell r="K543">
            <v>0.37999672787923439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  <cell r="I544">
            <v>43.882496816635282</v>
          </cell>
          <cell r="J544">
            <v>22.829400104767561</v>
          </cell>
          <cell r="K544">
            <v>16.263385458427337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  <cell r="I545">
            <v>43.882496816635282</v>
          </cell>
          <cell r="J545">
            <v>22.829400104767561</v>
          </cell>
          <cell r="K545">
            <v>16.263385458427337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  <cell r="I546">
            <v>1.6393969307401601E-6</v>
          </cell>
          <cell r="J546">
            <v>2.3525087607510001E-6</v>
          </cell>
          <cell r="K546">
            <v>3.3707719790876201E-6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  <cell r="I547">
            <v>3.7499920055021461</v>
          </cell>
          <cell r="J547">
            <v>2.400000034985962</v>
          </cell>
          <cell r="K547">
            <v>2.400000112105821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775.21509752623615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-775.21509752623501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1.7181428087442137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0.70505940382598919</v>
          </cell>
          <cell r="K551">
            <v>8.0943907333368159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5.7553656167751804E-7</v>
          </cell>
          <cell r="K552">
            <v>8.9579064860319302E-2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2.77114525816287E-7</v>
          </cell>
          <cell r="K553">
            <v>6.6285829998691426E-2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  <cell r="I554">
            <v>1.4853489317204231E-3</v>
          </cell>
          <cell r="J554">
            <v>1.6795509133870503E-4</v>
          </cell>
          <cell r="K554">
            <v>8.1040193729709314E-5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  <cell r="I555">
            <v>0.36711152418967702</v>
          </cell>
          <cell r="J555">
            <v>5.4017706992482803E-2</v>
          </cell>
          <cell r="K555">
            <v>1.9432096657477499E-2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  <cell r="I556">
            <v>4.9811604367663168E-3</v>
          </cell>
          <cell r="J556">
            <v>7.329403933851134E-4</v>
          </cell>
          <cell r="K556">
            <v>2.6366481217744226E-4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  <cell r="I557">
            <v>1.9141259160293999E-3</v>
          </cell>
          <cell r="J557">
            <v>6.55230092560908E-6</v>
          </cell>
          <cell r="K557">
            <v>7.3041948363149597E-6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  <cell r="I558">
            <v>8.9988321595204125E-3</v>
          </cell>
          <cell r="J558">
            <v>4.8977093005753303E-3</v>
          </cell>
          <cell r="K558">
            <v>1.9468308398936376E-3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  <cell r="I559">
            <v>6.7453505421052089</v>
          </cell>
          <cell r="J559">
            <v>5.03111442539472</v>
          </cell>
          <cell r="K559">
            <v>1.4496216206822075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  <cell r="I560">
            <v>6.7453505421052089</v>
          </cell>
          <cell r="J560">
            <v>5.03111442539472</v>
          </cell>
          <cell r="K560">
            <v>1.4496216206822075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  <cell r="I561">
            <v>1.8174515103046474E-3</v>
          </cell>
          <cell r="J561">
            <v>2.3446538088090839E-3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  <cell r="I562">
            <v>2.841994601973452E-3</v>
          </cell>
          <cell r="J562">
            <v>3.5864467825513445E-3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  <cell r="I563">
            <v>0.61494250752186497</v>
          </cell>
          <cell r="J563">
            <v>1.0888037947973874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  <cell r="I564">
            <v>8.6161295712041094E-5</v>
          </cell>
          <cell r="J564">
            <v>6.8508753809221205E-7</v>
          </cell>
          <cell r="K564">
            <v>3.0011403858912199E-7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  <cell r="I565">
            <v>2.1472686423544381E-4</v>
          </cell>
          <cell r="J565">
            <v>1.7419148624908329E-4</v>
          </cell>
          <cell r="K565">
            <v>3.2838572913945248E-5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  <cell r="I566">
            <v>32.820794553139578</v>
          </cell>
          <cell r="J566">
            <v>32.820798390200295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  <cell r="I567">
            <v>98.945482985907859</v>
          </cell>
          <cell r="J567">
            <v>98.945494553568864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  <cell r="I568">
            <v>1.219999897329237</v>
          </cell>
          <cell r="J568">
            <v>1.2199999431683695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  <cell r="I569">
            <v>3.8576097700392901E-4</v>
          </cell>
          <cell r="J569">
            <v>2.189413499728041E-4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  <cell r="I570">
            <v>3.8576097700392901E-4</v>
          </cell>
          <cell r="J570">
            <v>2.189413499728041E-4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  <cell r="I571">
            <v>1.04631076496742E-4</v>
          </cell>
          <cell r="J571">
            <v>6.3661657146992E-5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  <cell r="I572">
            <v>1.7262449399260501E-4</v>
          </cell>
          <cell r="J572">
            <v>8.2194114648971204E-5</v>
          </cell>
          <cell r="K572">
            <v>2.1805470175798599E-5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  <cell r="I573">
            <v>3.5942677219486688E-3</v>
          </cell>
          <cell r="J573">
            <v>3.6368948801922718E-4</v>
          </cell>
          <cell r="K573">
            <v>3.1986003416425643E-2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  <cell r="I574">
            <v>0.535867939543057</v>
          </cell>
          <cell r="J574">
            <v>6.0237462049876803E-2</v>
          </cell>
          <cell r="K574">
            <v>4.3093568472609496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  <cell r="I575">
            <v>9.5012046018272435E-3</v>
          </cell>
          <cell r="J575">
            <v>1.0680401072673184E-3</v>
          </cell>
          <cell r="K575">
            <v>7.6407036298952985E-2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  <cell r="I576">
            <v>1.5176168121705844E-2</v>
          </cell>
          <cell r="J576">
            <v>1.5183140704279004E-2</v>
          </cell>
          <cell r="K576">
            <v>2.900125940349553E-2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  <cell r="I577">
            <v>8.6868892993393392E-6</v>
          </cell>
          <cell r="J577">
            <v>9.0659745112174703E-6</v>
          </cell>
          <cell r="K577">
            <v>2.1413566365594799E-2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  <cell r="I578">
            <v>1.5176168121705851E-2</v>
          </cell>
          <cell r="J578">
            <v>1.5183140704279076E-2</v>
          </cell>
          <cell r="K578">
            <v>2.9001259403495627E-2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  <cell r="I579">
            <v>3.2824462754448019E-4</v>
          </cell>
          <cell r="J579">
            <v>2.2549418312787879E-4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  <cell r="I580">
            <v>3.307453224820541E-4</v>
          </cell>
          <cell r="J580">
            <v>2.2721208531082846E-4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  <cell r="I581">
            <v>2.4325578396596001E-6</v>
          </cell>
          <cell r="J581">
            <v>5.0977786398389699E-7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  <cell r="I582">
            <v>1.10238303904691E-4</v>
          </cell>
          <cell r="J582">
            <v>1.1074808176867501E-4</v>
          </cell>
          <cell r="K582">
            <v>1.1074808176867501E-4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  <cell r="I583">
            <v>11.015860299659185</v>
          </cell>
          <cell r="J583">
            <v>10.5402932652887</v>
          </cell>
          <cell r="K583">
            <v>2.6072311877718919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  <cell r="I584">
            <v>11.015860299659185</v>
          </cell>
          <cell r="J584">
            <v>10.5402932652887</v>
          </cell>
          <cell r="K584">
            <v>2.6072311877718919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  <cell r="I585">
            <v>0.43312709084178802</v>
          </cell>
          <cell r="J585">
            <v>0.39579468687203201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  <cell r="I586">
            <v>4.6461328006964777E-3</v>
          </cell>
          <cell r="J586">
            <v>4.2807581381549562E-3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  <cell r="I587">
            <v>1.3824149234859192E-3</v>
          </cell>
          <cell r="J587">
            <v>1.2631745325703174E-3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  <cell r="I588">
            <v>7.6795583482586402E-3</v>
          </cell>
          <cell r="J588">
            <v>7.0176362920573087E-3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  <cell r="I589">
            <v>2.0229379262921401E-4</v>
          </cell>
          <cell r="J589">
            <v>8.82685279506704E-7</v>
          </cell>
          <cell r="K589">
            <v>1.8526767329754599E-7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  <cell r="I590">
            <v>2.7361623310719941E-4</v>
          </cell>
          <cell r="J590">
            <v>2.5169428277701389E-4</v>
          </cell>
          <cell r="K590">
            <v>8.5181355053870022E-5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  <cell r="I591">
            <v>7.4666034740023608E-4</v>
          </cell>
          <cell r="J591">
            <v>5.4689725495414949E-5</v>
          </cell>
          <cell r="K591">
            <v>2.1696247964992334E-5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  <cell r="I592">
            <v>3.8399675009154971E-3</v>
          </cell>
          <cell r="J592">
            <v>2.8126144540499071E-4</v>
          </cell>
          <cell r="K592">
            <v>1.115807038199604E-4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  <cell r="I593">
            <v>0.53451533121641703</v>
          </cell>
          <cell r="J593">
            <v>5.7425748061926601E-2</v>
          </cell>
          <cell r="K593">
            <v>1.57141812216571E-2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  <cell r="I594">
            <v>7.252582513112847E-3</v>
          </cell>
          <cell r="J594">
            <v>7.7918247031107926E-4</v>
          </cell>
          <cell r="K594">
            <v>2.1321819839426146E-4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  <cell r="I595">
            <v>1.8220975803968398E-5</v>
          </cell>
          <cell r="J595">
            <v>4.9111578920522297E-5</v>
          </cell>
          <cell r="K595">
            <v>5.6649584799419901E-5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  <cell r="I596">
            <v>7.1452906060601694E-4</v>
          </cell>
          <cell r="J596">
            <v>2.3977815865837678E-4</v>
          </cell>
          <cell r="K596">
            <v>1.1913142823156868E-4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0.1607846018316548</v>
          </cell>
          <cell r="K597">
            <v>0.1607860843924665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0.19523844508129434</v>
          </cell>
          <cell r="K598">
            <v>0.20289672554287397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0.38282048055155921</v>
          </cell>
          <cell r="K599">
            <v>0.38282401045825343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1.6172506302981001E-2</v>
          </cell>
          <cell r="K600">
            <v>3.0206961664597602E-6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1.6172506302981001E-2</v>
          </cell>
          <cell r="K601">
            <v>1.6175341232348466E-2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  <cell r="I602">
            <v>29.692076365081959</v>
          </cell>
          <cell r="J602">
            <v>40.847370342196385</v>
          </cell>
          <cell r="K602">
            <v>63.061466990957051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  <cell r="I603">
            <v>29.692076365081959</v>
          </cell>
          <cell r="J603">
            <v>40.847370342196385</v>
          </cell>
          <cell r="K603">
            <v>63.061466990957051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  <cell r="I604">
            <v>29.692076365081899</v>
          </cell>
          <cell r="J604">
            <v>40.847370342196399</v>
          </cell>
          <cell r="K604">
            <v>63.061466990957001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  <cell r="I605">
            <v>5.57947369179431</v>
          </cell>
          <cell r="J605">
            <v>3.9281762338286601</v>
          </cell>
          <cell r="K605">
            <v>9.8045449758973895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  <cell r="I606">
            <v>8.5593602447675607</v>
          </cell>
          <cell r="J606">
            <v>11.775106221700637</v>
          </cell>
          <cell r="K606">
            <v>18.1787824228552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  <cell r="I607">
            <v>0.85142286898264397</v>
          </cell>
          <cell r="J607">
            <v>0.62516116770501495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  <cell r="I608">
            <v>7.7292072744595298E-3</v>
          </cell>
          <cell r="J608">
            <v>6.5077666137922608E-3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  <cell r="I609">
            <v>3.4114532107404304E-3</v>
          </cell>
          <cell r="J609">
            <v>2.8979898202043672E-3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  <cell r="I610">
            <v>1.5096150159266745E-2</v>
          </cell>
          <cell r="J610">
            <v>1.1084417867110206E-2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  <cell r="I611">
            <v>1.6711051500066801E-5</v>
          </cell>
          <cell r="J611">
            <v>4.6623602819086603E-7</v>
          </cell>
          <cell r="K611">
            <v>2.3804602788894401E-7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  <cell r="I612">
            <v>3.0417657583059449E-4</v>
          </cell>
          <cell r="J612">
            <v>2.6789698651516757E-4</v>
          </cell>
          <cell r="K612">
            <v>1.7105128599463313E-5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  <cell r="I616">
            <v>7.517329883990757E-3</v>
          </cell>
          <cell r="J616">
            <v>0.75541539283797088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  <cell r="I617">
            <v>2.8259591971298574E-3</v>
          </cell>
          <cell r="J617">
            <v>0.2839802310113112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  <cell r="I618">
            <v>0.41412503400608192</v>
          </cell>
          <cell r="J618">
            <v>1.7348220245436157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  <cell r="I619">
            <v>1.9712608134891E-4</v>
          </cell>
          <cell r="J619">
            <v>2.0810492714755401E-2</v>
          </cell>
          <cell r="K619">
            <v>1.48298968308911E-7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  <cell r="I620">
            <v>2.9303941283982232E-4</v>
          </cell>
          <cell r="J620">
            <v>2.1073006777106648E-2</v>
          </cell>
          <cell r="K620">
            <v>2.4537796807999612E-5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  <cell r="I621">
            <v>0.58200914702866213</v>
          </cell>
          <cell r="J621">
            <v>0.43964439177021519</v>
          </cell>
          <cell r="K621">
            <v>3.9156406709600866E-4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  <cell r="I622">
            <v>0.58254408190644458</v>
          </cell>
          <cell r="J622">
            <v>0.43964439177021331</v>
          </cell>
          <cell r="K622">
            <v>3.9156406709600828E-4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  <cell r="I623">
            <v>0.70610979994773904</v>
          </cell>
          <cell r="J623">
            <v>0.51723082472286575</v>
          </cell>
          <cell r="K623">
            <v>3.0197786815752719E-4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  <cell r="I624">
            <v>0.70610979994773904</v>
          </cell>
          <cell r="J624">
            <v>0.51723082472286575</v>
          </cell>
          <cell r="K624">
            <v>3.0197786815752719E-4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  <cell r="I625">
            <v>5.1843745686854402E-3</v>
          </cell>
          <cell r="J625">
            <v>2.36860392213338E-3</v>
          </cell>
          <cell r="K625">
            <v>2.7651986617002499E-5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  <cell r="I626">
            <v>3.7329487526131348E-2</v>
          </cell>
          <cell r="J626">
            <v>2.8317359536923287E-2</v>
          </cell>
          <cell r="K626">
            <v>3.5390930328972011E-3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  <cell r="I631">
            <v>-9.7133553610129209E-8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  <cell r="I632">
            <v>0.1099293172767099</v>
          </cell>
          <cell r="J632">
            <v>3.6187745735455218E-2</v>
          </cell>
          <cell r="K632">
            <v>7.6229527124155427E-2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  <cell r="I633">
            <v>0.10992931727670997</v>
          </cell>
          <cell r="J633">
            <v>3.6187745735455246E-2</v>
          </cell>
          <cell r="K633">
            <v>7.6229527124155455E-2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  <cell r="I634">
            <v>0.12156901775794414</v>
          </cell>
          <cell r="J634">
            <v>4.0019496571384011E-2</v>
          </cell>
          <cell r="K634">
            <v>8.4300292992762246E-2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  <cell r="I635">
            <v>0.12156901775794414</v>
          </cell>
          <cell r="J635">
            <v>4.0019496571384011E-2</v>
          </cell>
          <cell r="K635">
            <v>8.4300292992762246E-2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  <cell r="I636">
            <v>3.88957115497831E-2</v>
          </cell>
          <cell r="J636">
            <v>3.8342010558268198E-2</v>
          </cell>
          <cell r="K636">
            <v>6.9435860704454899E-2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  <cell r="I637">
            <v>7.1759725566714394E-2</v>
          </cell>
          <cell r="J637">
            <v>7.7326141450129768E-2</v>
          </cell>
          <cell r="K637">
            <v>9.5489811147312517E-2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  <cell r="I638">
            <v>4.3506298154778907E-4</v>
          </cell>
          <cell r="J638">
            <v>4.0773160593600823E-4</v>
          </cell>
          <cell r="K638">
            <v>2.3702551096474973E-4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  <cell r="I639">
            <v>4.3506298154778907E-4</v>
          </cell>
          <cell r="J639">
            <v>4.0773160593600823E-4</v>
          </cell>
          <cell r="K639">
            <v>2.3702551096474973E-4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  <cell r="I640">
            <v>8.5470207200087196E-7</v>
          </cell>
          <cell r="J640">
            <v>1.3441227609347601E-6</v>
          </cell>
          <cell r="K640">
            <v>2.3537528508407599E-6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  <cell r="I641">
            <v>9.0353973505830076E-4</v>
          </cell>
          <cell r="J641">
            <v>9.0050713978651054E-4</v>
          </cell>
          <cell r="K641">
            <v>9.0216335428294769E-4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  <cell r="I642">
            <v>26.194831632578964</v>
          </cell>
          <cell r="J642">
            <v>23.196300642862219</v>
          </cell>
          <cell r="K642">
            <v>14.127994785725377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  <cell r="I643">
            <v>26.194831632578964</v>
          </cell>
          <cell r="J643">
            <v>23.196300642862219</v>
          </cell>
          <cell r="K643">
            <v>14.127994785725377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  <cell r="I644">
            <v>2.1381069173598301E-6</v>
          </cell>
          <cell r="J644">
            <v>3.09394990608315E-6</v>
          </cell>
          <cell r="K644">
            <v>4.52316762087055E-6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  <cell r="I645">
            <v>1.8891606432992949</v>
          </cell>
          <cell r="J645">
            <v>1.8891574228224233</v>
          </cell>
          <cell r="K645">
            <v>1.8891572205964573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  <cell r="I646">
            <v>9.2813659682114379E-3</v>
          </cell>
          <cell r="J646">
            <v>1.2366463976276144E-2</v>
          </cell>
          <cell r="K646">
            <v>3.9232721395760693E-4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  <cell r="I647">
            <v>9.2898966354616197E-3</v>
          </cell>
          <cell r="J647">
            <v>1.2366463976276108E-2</v>
          </cell>
          <cell r="K647">
            <v>3.923272139576065E-4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  <cell r="I648">
            <v>1.1256242043547774E-2</v>
          </cell>
          <cell r="J648">
            <v>1.4550904352316384E-2</v>
          </cell>
          <cell r="K648">
            <v>3.0241215101694391E-4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  <cell r="I649">
            <v>1.1256242043547774E-2</v>
          </cell>
          <cell r="J649">
            <v>1.4550904352316384E-2</v>
          </cell>
          <cell r="K649">
            <v>3.0241215101694391E-4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  <cell r="I650">
            <v>4.9940230463990497E-3</v>
          </cell>
          <cell r="J650">
            <v>1.1409506150234601E-4</v>
          </cell>
          <cell r="K650">
            <v>6.1109464434217498E-5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  <cell r="I651">
            <v>6.3399473188907839E-3</v>
          </cell>
          <cell r="J651">
            <v>5.1926855376076848E-3</v>
          </cell>
          <cell r="K651">
            <v>2.2120100171315053E-3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  <cell r="I652">
            <v>0.74904542739848801</v>
          </cell>
          <cell r="J652">
            <v>0.76076186197204199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  <cell r="I653">
            <v>5.7108073365487542E-3</v>
          </cell>
          <cell r="J653">
            <v>5.9350216182216028E-3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  <cell r="I654">
            <v>6.2247799968381491E-3</v>
          </cell>
          <cell r="J654">
            <v>6.2911229153148999E-3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  <cell r="I655">
            <v>1.328094729429943E-2</v>
          </cell>
          <cell r="J655">
            <v>1.3488685495958181E-2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  <cell r="I656">
            <v>3.8393018419919398E-4</v>
          </cell>
          <cell r="J656">
            <v>1.9359924143185099E-5</v>
          </cell>
          <cell r="K656">
            <v>1.02191722173167E-7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  <cell r="I657">
            <v>5.0871049186817954E-4</v>
          </cell>
          <cell r="J657">
            <v>5.2795239713617566E-4</v>
          </cell>
          <cell r="K657">
            <v>4.2489250330937992E-5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  <cell r="I658">
            <v>1.6747753134527079E-3</v>
          </cell>
          <cell r="J658">
            <v>4.372031639984628E-3</v>
          </cell>
          <cell r="K658">
            <v>2.5536411821893471E-3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  <cell r="I659">
            <v>1.6747753134527079E-3</v>
          </cell>
          <cell r="J659">
            <v>4.372031639984628E-3</v>
          </cell>
          <cell r="K659">
            <v>2.5536411821893471E-3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  <cell r="I660">
            <v>4.3783384567298E-6</v>
          </cell>
          <cell r="J660">
            <v>6.4764013149193897E-6</v>
          </cell>
          <cell r="K660">
            <v>9.9366174733183404E-6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  <cell r="I661">
            <v>2.6849127897790037E-3</v>
          </cell>
          <cell r="J661">
            <v>2.6846093970771534E-3</v>
          </cell>
          <cell r="K661">
            <v>2.6929688924717254E-3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  <cell r="I662">
            <v>4.8650854441136593E-2</v>
          </cell>
          <cell r="J662">
            <v>2.4661539424428006E-2</v>
          </cell>
          <cell r="K662">
            <v>2.8910137787491363E-2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  <cell r="I663">
            <v>4.8650854441136662E-2</v>
          </cell>
          <cell r="J663">
            <v>2.4661539424428027E-2</v>
          </cell>
          <cell r="K663">
            <v>2.891013778749139E-2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  <cell r="I664">
            <v>5.3803322932922552E-2</v>
          </cell>
          <cell r="J664">
            <v>2.7273070776417656E-2</v>
          </cell>
          <cell r="K664">
            <v>3.197144614000974E-2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  <cell r="I665">
            <v>5.3803322932922552E-2</v>
          </cell>
          <cell r="J665">
            <v>2.7273070776417656E-2</v>
          </cell>
          <cell r="K665">
            <v>3.197144614000974E-2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  <cell r="I666">
            <v>1.52915682506408E-2</v>
          </cell>
          <cell r="J666">
            <v>1.0334178931584099E-2</v>
          </cell>
          <cell r="K666">
            <v>2.3407059513610301E-2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  <cell r="I667">
            <v>2.5345011879678376E-2</v>
          </cell>
          <cell r="J667">
            <v>2.574789212605191E-2</v>
          </cell>
          <cell r="K667">
            <v>3.1272675322048117E-2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  <cell r="I668">
            <v>9.3012267583731517E-3</v>
          </cell>
          <cell r="J668">
            <v>1.4286862162927379E-2</v>
          </cell>
          <cell r="K668">
            <v>6.0206186481553232E-4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  <cell r="I669">
            <v>1.576095839231739E-3</v>
          </cell>
          <cell r="J669">
            <v>2.8206816082634208E-3</v>
          </cell>
          <cell r="K669">
            <v>1.7748171421870507E-4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  <cell r="I670">
            <v>2.3601006660468702</v>
          </cell>
          <cell r="J670">
            <v>4.2237866357249096</v>
          </cell>
          <cell r="K670">
            <v>0.26576728490247498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  <cell r="I671">
            <v>2.5432119246194745E-2</v>
          </cell>
          <cell r="J671">
            <v>4.5514942195311603E-2</v>
          </cell>
          <cell r="K671">
            <v>2.86387160455253E-3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  <cell r="I672">
            <v>1.34715514497836E-6</v>
          </cell>
          <cell r="J672">
            <v>7.1398005344294701E-7</v>
          </cell>
          <cell r="K672">
            <v>7.8819412068614895E-8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  <cell r="I673">
            <v>1.6832896744220392E-3</v>
          </cell>
          <cell r="J673">
            <v>1.6834274655896314E-3</v>
          </cell>
          <cell r="K673">
            <v>8.2071980652386953E-5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  <cell r="I674">
            <v>7.4070591239277896E-3</v>
          </cell>
          <cell r="J674">
            <v>1.3750944489897734E-3</v>
          </cell>
          <cell r="K674">
            <v>1.9717911641311106E-2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  <cell r="I675">
            <v>7.4070591239277792E-3</v>
          </cell>
          <cell r="J675">
            <v>1.3750944489897721E-3</v>
          </cell>
          <cell r="K675">
            <v>1.9717911641311103E-2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  <cell r="I676">
            <v>1.0585987239830378E-2</v>
          </cell>
          <cell r="J676">
            <v>1.9693657614509703E-3</v>
          </cell>
          <cell r="K676">
            <v>2.817109612240774E-2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  <cell r="I677">
            <v>1.0585987239830378E-2</v>
          </cell>
          <cell r="J677">
            <v>1.9693657614509703E-3</v>
          </cell>
          <cell r="K677">
            <v>2.817109612240774E-2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  <cell r="I678">
            <v>1.1244331294063799E-6</v>
          </cell>
          <cell r="J678">
            <v>1.5446410730604199E-6</v>
          </cell>
          <cell r="K678">
            <v>1.3451736228559301E-6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  <cell r="I679">
            <v>9.9996072857547968E-2</v>
          </cell>
          <cell r="J679">
            <v>9.9996733763913381E-2</v>
          </cell>
          <cell r="K679">
            <v>9.9997351433058018E-2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  <cell r="I680">
            <v>3.6107295037142002</v>
          </cell>
          <cell r="J680">
            <v>3.3019254556311699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  <cell r="I681">
            <v>3.754668347237046E-2</v>
          </cell>
          <cell r="J681">
            <v>3.5319908381343607E-2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  <cell r="I682">
            <v>1.8391442921423393E-2</v>
          </cell>
          <cell r="J682">
            <v>1.7516377327333008E-2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  <cell r="I683">
            <v>6.4020026661599311E-2</v>
          </cell>
          <cell r="J683">
            <v>5.8544777582112899E-2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  <cell r="I684">
            <v>8.1640942244259095E-5</v>
          </cell>
          <cell r="J684">
            <v>1.8150583246971899E-5</v>
          </cell>
          <cell r="K684">
            <v>2.69147042373577E-6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  <cell r="I685">
            <v>1.4895178036778891E-3</v>
          </cell>
          <cell r="J685">
            <v>1.4056792452315499E-3</v>
          </cell>
          <cell r="K685">
            <v>9.1786787972365015E-5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  <cell r="I686">
            <v>2.9930691914410996</v>
          </cell>
          <cell r="J686">
            <v>2.9497944517210204</v>
          </cell>
          <cell r="K686">
            <v>2.8714346448432329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  <cell r="I687">
            <v>2.9930691914410996</v>
          </cell>
          <cell r="J687">
            <v>2.9497944517210204</v>
          </cell>
          <cell r="K687">
            <v>2.8714346448432329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  <cell r="I688">
            <v>1.1649218239271291</v>
          </cell>
          <cell r="J688">
            <v>1.0059181593908362</v>
          </cell>
          <cell r="K688">
            <v>1.005907338594753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  <cell r="I689">
            <v>1.1059497944277683</v>
          </cell>
          <cell r="J689">
            <v>1.1059505020024332</v>
          </cell>
          <cell r="K689">
            <v>1.1059386051450713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  <cell r="I690">
            <v>2.9930691914410996</v>
          </cell>
          <cell r="J690">
            <v>2.9497944517210204</v>
          </cell>
          <cell r="K690">
            <v>2.8714346448432329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  <cell r="I691">
            <v>4.4078986702640398E-2</v>
          </cell>
          <cell r="J691">
            <v>3.11553958477493E-2</v>
          </cell>
          <cell r="K691">
            <v>4.3488859729673E-2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  <cell r="I692">
            <v>8.4746828638925839E-2</v>
          </cell>
          <cell r="J692">
            <v>8.4745429984321996E-2</v>
          </cell>
          <cell r="K692">
            <v>8.474426450661636E-2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  <cell r="I693">
            <v>3.6351017844769872E-3</v>
          </cell>
          <cell r="J693">
            <v>1.814621853438286E-3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  <cell r="I694">
            <v>2.5122517995598169E-3</v>
          </cell>
          <cell r="J694">
            <v>1.1423349377329534E-3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  <cell r="I695">
            <v>7.1627621369004602E-3</v>
          </cell>
          <cell r="J695">
            <v>3.3604108397005273E-3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  <cell r="I696">
            <v>1.66610623462543E-5</v>
          </cell>
          <cell r="J696">
            <v>7.5961078673459796E-7</v>
          </cell>
          <cell r="K696">
            <v>8.9791280096515593E-6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  <cell r="I697">
            <v>2.2184865005138321E-4</v>
          </cell>
          <cell r="J697">
            <v>1.5718775113526793E-4</v>
          </cell>
          <cell r="K697">
            <v>1.6442571764334639E-5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  <cell r="I698">
            <v>0.10994195807269644</v>
          </cell>
          <cell r="J698">
            <v>3.624688761932407E-2</v>
          </cell>
          <cell r="K698">
            <v>7.6533852236093505E-2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  <cell r="I699">
            <v>0.10994195807269649</v>
          </cell>
          <cell r="J699">
            <v>3.6246887619324104E-2</v>
          </cell>
          <cell r="K699">
            <v>7.6533852236093547E-2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  <cell r="I700">
            <v>0.12158299676922556</v>
          </cell>
          <cell r="J700">
            <v>4.0084899498748765E-2</v>
          </cell>
          <cell r="K700">
            <v>8.4636835420698123E-2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  <cell r="I701">
            <v>0.12158299676922556</v>
          </cell>
          <cell r="J701">
            <v>4.0084899498748765E-2</v>
          </cell>
          <cell r="K701">
            <v>8.4636835420698123E-2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  <cell r="I702">
            <v>3.88959874647846E-2</v>
          </cell>
          <cell r="J702">
            <v>3.83506416243121E-2</v>
          </cell>
          <cell r="K702">
            <v>6.9837525202257597E-2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  <cell r="I703">
            <v>7.1753909612191372E-2</v>
          </cell>
          <cell r="J703">
            <v>7.7334760982408532E-2</v>
          </cell>
          <cell r="K703">
            <v>9.5895852599582526E-2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  <cell r="I704">
            <v>577.322434767338</v>
          </cell>
          <cell r="J704">
            <v>132.67544282206899</v>
          </cell>
          <cell r="K704">
            <v>253.542744561082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0.32928174301946606</v>
          </cell>
          <cell r="J705">
            <v>0.12379825519277605</v>
          </cell>
          <cell r="K705">
            <v>0.16664662276101208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  <cell r="I706">
            <v>11.848137170614045</v>
          </cell>
          <cell r="J706">
            <v>3.9900494268276065</v>
          </cell>
          <cell r="K706">
            <v>6.126002794623826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  <cell r="I707">
            <v>10.236213382399615</v>
          </cell>
          <cell r="J707">
            <v>2.3524014684763905</v>
          </cell>
          <cell r="K707">
            <v>4.4954387333525103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  <cell r="I708">
            <v>1.6510387411292282</v>
          </cell>
          <cell r="J708">
            <v>1.6510396301712364</v>
          </cell>
          <cell r="K708">
            <v>1.6510416064815361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0.329279145869114</v>
          </cell>
          <cell r="J709">
            <v>0.12379769259924382</v>
          </cell>
          <cell r="K709">
            <v>0.16664662276106545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  <cell r="I710">
            <v>2.70698007931407E-6</v>
          </cell>
          <cell r="J710">
            <v>3.56884456717276E-6</v>
          </cell>
          <cell r="K710">
            <v>6.1798435607529997E-6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  <cell r="I711">
            <v>1.9844922395668121</v>
          </cell>
          <cell r="J711">
            <v>1.9844958084113793</v>
          </cell>
          <cell r="K711">
            <v>1.0954780554347601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  <cell r="I712">
            <v>2.9171538644695905</v>
          </cell>
          <cell r="J712">
            <v>5.7747958768405541</v>
          </cell>
          <cell r="K712">
            <v>6.1200033518095447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  <cell r="I713">
            <v>2.9171538644695905</v>
          </cell>
          <cell r="J713">
            <v>5.7747958768405541</v>
          </cell>
          <cell r="K713">
            <v>6.1200033518095447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  <cell r="I714">
            <v>0.60022142047592597</v>
          </cell>
          <cell r="J714">
            <v>6.8458392204210797E-6</v>
          </cell>
          <cell r="K714">
            <v>0.28805974369307102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  <cell r="I715">
            <v>0.4850052417382768</v>
          </cell>
          <cell r="J715">
            <v>0.96011574494338869</v>
          </cell>
          <cell r="K715">
            <v>1.01751010142514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  <cell r="I716">
            <v>0.19825628298833378</v>
          </cell>
          <cell r="J716">
            <v>0.12674222293417042</v>
          </cell>
          <cell r="K716">
            <v>4.0252690567704724E-2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  <cell r="I717">
            <v>0.19825628298833378</v>
          </cell>
          <cell r="J717">
            <v>0.12674222293417042</v>
          </cell>
          <cell r="K717">
            <v>4.0252690567704724E-2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  <cell r="I718">
            <v>4.6110752154804917</v>
          </cell>
          <cell r="J718">
            <v>4.8944681591365118</v>
          </cell>
          <cell r="K718">
            <v>5.5145731984009059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  <cell r="I719">
            <v>4.6110752154804917</v>
          </cell>
          <cell r="J719">
            <v>4.8944681591365118</v>
          </cell>
          <cell r="K719">
            <v>5.5145731984009059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  <cell r="I720">
            <v>4.6110752154804899</v>
          </cell>
          <cell r="J720">
            <v>4.89446815913651</v>
          </cell>
          <cell r="K720">
            <v>5.5145731984008997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  <cell r="I721">
            <v>0.29984595361146898</v>
          </cell>
          <cell r="J721">
            <v>0.66480122336159597</v>
          </cell>
          <cell r="K721">
            <v>0.68595422884976698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  <cell r="I722">
            <v>1.329238857256402</v>
          </cell>
          <cell r="J722">
            <v>1.41093285797778</v>
          </cell>
          <cell r="K722">
            <v>1.5896908984342499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1.5784930445532024E-2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-1.5784930445531999E-2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1.006095238888994E-4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1.4364286705434166E-5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1.8275436841434201E-5</v>
          </cell>
          <cell r="K727">
            <v>2.5593186438171798E-3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1.8275436841434201E-5</v>
          </cell>
          <cell r="K728">
            <v>2.5683488619603853E-3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  <cell r="I729">
            <v>0.71344981930786211</v>
          </cell>
          <cell r="J729">
            <v>0.73107300787344809</v>
          </cell>
          <cell r="K729">
            <v>0.66808498176274689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  <cell r="I730">
            <v>0.71344981930786211</v>
          </cell>
          <cell r="J730">
            <v>0.73107300787344809</v>
          </cell>
          <cell r="K730">
            <v>0.66808498176274689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  <cell r="I731">
            <v>4.1259231509003201E-2</v>
          </cell>
          <cell r="J731">
            <v>6.1297848216713101E-7</v>
          </cell>
          <cell r="K731">
            <v>4.5711052072714301E-5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  <cell r="I732">
            <v>7.5288178639540196E-2</v>
          </cell>
          <cell r="J732">
            <v>7.5288791618022294E-2</v>
          </cell>
          <cell r="K732">
            <v>7.5334502670095005E-2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  <cell r="I733">
            <v>6.7559283984944693E-2</v>
          </cell>
          <cell r="J733">
            <v>3.0481608050776585E-2</v>
          </cell>
          <cell r="K733">
            <v>8.2310447771032677E-2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  <cell r="I734">
            <v>6.7559283984944679E-2</v>
          </cell>
          <cell r="J734">
            <v>3.0481608050776564E-2</v>
          </cell>
          <cell r="K734">
            <v>8.2310447771032649E-2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  <cell r="I735">
            <v>7.5549538947300654E-2</v>
          </cell>
          <cell r="J735">
            <v>3.4087968284668417E-2</v>
          </cell>
          <cell r="K735">
            <v>9.2042536193457702E-2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  <cell r="I736">
            <v>7.5549538947300654E-2</v>
          </cell>
          <cell r="J736">
            <v>3.4087968284668417E-2</v>
          </cell>
          <cell r="K736">
            <v>9.2042536193457702E-2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  <cell r="I737">
            <v>9.9238501682035393E-3</v>
          </cell>
          <cell r="J737">
            <v>3.4480614310410197E-2</v>
          </cell>
          <cell r="K737">
            <v>5.0303462395477297E-2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  <cell r="I738">
            <v>1.7784602939660783E-2</v>
          </cell>
          <cell r="J738">
            <v>4.5508482474928086E-2</v>
          </cell>
          <cell r="K738">
            <v>6.93362382105671E-2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  <cell r="I739">
            <v>4.8645174770963924E-2</v>
          </cell>
          <cell r="J739">
            <v>2.4657815452217766E-2</v>
          </cell>
          <cell r="K739">
            <v>2.8903701734710033E-2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  <cell r="I740">
            <v>4.864517477096398E-2</v>
          </cell>
          <cell r="J740">
            <v>2.4657815452217791E-2</v>
          </cell>
          <cell r="K740">
            <v>2.890370173471005E-2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  <cell r="I741">
            <v>5.3797041985622865E-2</v>
          </cell>
          <cell r="J741">
            <v>2.7268952566646739E-2</v>
          </cell>
          <cell r="K741">
            <v>3.1964328735804126E-2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  <cell r="I742">
            <v>5.3797041985622865E-2</v>
          </cell>
          <cell r="J742">
            <v>2.7268952566646739E-2</v>
          </cell>
          <cell r="K742">
            <v>3.1964328735804126E-2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  <cell r="I743">
            <v>1.52905261108049E-2</v>
          </cell>
          <cell r="J743">
            <v>1.0333196901666701E-2</v>
          </cell>
          <cell r="K743">
            <v>2.34023070580134E-2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  <cell r="I744">
            <v>2.5342889669253774E-2</v>
          </cell>
          <cell r="J744">
            <v>2.5745764254262293E-2</v>
          </cell>
          <cell r="K744">
            <v>3.1267247493960607E-2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  <cell r="I745">
            <v>4.1432790860275936E-3</v>
          </cell>
          <cell r="J745">
            <v>3.7750190963933925E-3</v>
          </cell>
          <cell r="K745">
            <v>3.7991858992533619E-3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  <cell r="I746">
            <v>4.1432790860275936E-3</v>
          </cell>
          <cell r="J746">
            <v>3.7750190963933925E-3</v>
          </cell>
          <cell r="K746">
            <v>3.7991858992533619E-3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  <cell r="I747">
            <v>5.1784807099435077E-3</v>
          </cell>
          <cell r="J747">
            <v>4.7181557227223888E-3</v>
          </cell>
          <cell r="K747">
            <v>4.7482742496716161E-3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  <cell r="I748">
            <v>5.1784807099435077E-3</v>
          </cell>
          <cell r="J748">
            <v>4.7181557227223888E-3</v>
          </cell>
          <cell r="K748">
            <v>4.7482742496716161E-3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  <cell r="I749">
            <v>9.8117427773749806E-8</v>
          </cell>
          <cell r="J749">
            <v>1.5035913449073901E-7</v>
          </cell>
          <cell r="K749">
            <v>4.8100653807570604E-7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  <cell r="I750">
            <v>3.57821257901016E-4</v>
          </cell>
          <cell r="J750">
            <v>3.5788436822372901E-4</v>
          </cell>
          <cell r="K750">
            <v>3.5817905511760999E-4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  <cell r="I751">
            <v>2240.4540404670602</v>
          </cell>
          <cell r="J751">
            <v>2266.0985836268301</v>
          </cell>
          <cell r="K751">
            <v>2340.56427655174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  <cell r="I752">
            <v>48.285660492502622</v>
          </cell>
          <cell r="J752">
            <v>48.838340308400888</v>
          </cell>
          <cell r="K752">
            <v>50.443195615339157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  <cell r="I753">
            <v>24.142823711929541</v>
          </cell>
          <cell r="J753">
            <v>24.419165771840845</v>
          </cell>
          <cell r="K753">
            <v>25.221597807669582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  <cell r="I754">
            <v>24.142823711929541</v>
          </cell>
          <cell r="J754">
            <v>24.419165771840845</v>
          </cell>
          <cell r="K754">
            <v>25.221597807669582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2196.4658238049378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111.19199525651585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2095.7465938955984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351.76132569819777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4.4607674343688997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383.67583754691378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775.21509752623615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330.51331608266935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1.5784930445532024E-2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6248.9733502482495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6248.9733502482495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6248.9733502482495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  <cell r="H4">
            <v>16.819400549030199</v>
          </cell>
          <cell r="I4">
            <v>28.252936227205002</v>
          </cell>
          <cell r="J4">
            <v>55.730433899128798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  <cell r="H5">
            <v>2.2692219709671744E-3</v>
          </cell>
          <cell r="I5">
            <v>3.1015387237814628E-3</v>
          </cell>
          <cell r="J5">
            <v>9.8423420324394496E-4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  <cell r="H6">
            <v>38.714726224310986</v>
          </cell>
          <cell r="I6">
            <v>34.565657336244008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  <cell r="H7">
            <v>5.7598909699900167</v>
          </cell>
          <cell r="I7">
            <v>5.0214751852199324</v>
          </cell>
          <cell r="J7">
            <v>5.9815194600044483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  <cell r="H8">
            <v>5.7598909699900167</v>
          </cell>
          <cell r="I8">
            <v>5.0214751852199324</v>
          </cell>
          <cell r="J8">
            <v>5.9815194600044483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  <cell r="H9">
            <v>16.261636498630775</v>
          </cell>
          <cell r="I9">
            <v>10.112825543877966</v>
          </cell>
          <cell r="J9">
            <v>9.808123224703241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  <cell r="H10">
            <v>16.261636498630775</v>
          </cell>
          <cell r="I10">
            <v>10.112825543877966</v>
          </cell>
          <cell r="J10">
            <v>9.808123224703241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  <cell r="H11">
            <v>63.847364707116952</v>
          </cell>
          <cell r="I11">
            <v>63.841746569486077</v>
          </cell>
          <cell r="J11">
            <v>67.134678889880689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  <cell r="H12">
            <v>43.882496816635282</v>
          </cell>
          <cell r="I12">
            <v>22.829400104767561</v>
          </cell>
          <cell r="J12">
            <v>16.263385458427337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  <cell r="H13">
            <v>2.1335494357468097</v>
          </cell>
          <cell r="I13">
            <v>2.134871212880542</v>
          </cell>
          <cell r="J13">
            <v>2.1345041755423835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  <cell r="H14">
            <v>2.1512687484730687E-3</v>
          </cell>
          <cell r="I14">
            <v>8.3381688570501858E-4</v>
          </cell>
          <cell r="J14">
            <v>1.2021963559427301E-3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  <cell r="H15">
            <v>167.60150505187323</v>
          </cell>
          <cell r="I15">
            <v>98.945494553568864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  <cell r="H16">
            <v>4.3506298154778907E-4</v>
          </cell>
          <cell r="I16">
            <v>4.0773160593600823E-4</v>
          </cell>
          <cell r="J16">
            <v>2.3702551096474973E-4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  <cell r="H17">
            <v>1.6747753134527079E-3</v>
          </cell>
          <cell r="I17">
            <v>4.372031639984628E-3</v>
          </cell>
          <cell r="J17">
            <v>2.5536411821893471E-3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  <cell r="H18">
            <v>0.87511823203571171</v>
          </cell>
          <cell r="I18">
            <v>0.87512684145895914</v>
          </cell>
          <cell r="J18">
            <v>0.87513008465460895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  <cell r="H19">
            <v>2.0293962419476195</v>
          </cell>
          <cell r="I19">
            <v>2.3070425934143355</v>
          </cell>
          <cell r="J19">
            <v>2.3070605909876774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  <cell r="H20">
            <v>12.540439512048358</v>
          </cell>
          <cell r="I20">
            <v>12.540427609619254</v>
          </cell>
          <cell r="J20">
            <v>12.540427311036078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  <cell r="H21">
            <v>8.3488906994706111E-3</v>
          </cell>
          <cell r="I21">
            <v>2.5886454478751166</v>
          </cell>
          <cell r="J21">
            <v>2.9350325657067251</v>
          </cell>
        </row>
        <row r="22">
          <cell r="A22" t="str">
            <v>RNWMNR2</v>
          </cell>
          <cell r="C22" t="str">
            <v>MNR</v>
          </cell>
          <cell r="I22">
            <v>2.0900690454787965</v>
          </cell>
          <cell r="J22">
            <v>6.2702114858131752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  <cell r="H23">
            <v>2.7876418794369009E-3</v>
          </cell>
          <cell r="I23">
            <v>2.7149478373244243E-3</v>
          </cell>
          <cell r="J23">
            <v>1.9355950842531052E-3</v>
          </cell>
        </row>
        <row r="24">
          <cell r="A24" t="str">
            <v>RNWMNR3</v>
          </cell>
          <cell r="C24" t="str">
            <v>MNR</v>
          </cell>
          <cell r="I24">
            <v>2.3323225118464888</v>
          </cell>
          <cell r="J24">
            <v>3.3699756488547266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  <cell r="H25">
            <v>26.207119588248101</v>
          </cell>
          <cell r="I25">
            <v>8.0947184179825804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  <cell r="H26">
            <v>1.5186050150429716E-3</v>
          </cell>
          <cell r="I26">
            <v>1.2775941626279206E-3</v>
          </cell>
          <cell r="J26">
            <v>8.5646925232025974E-4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  <cell r="H27">
            <v>2.1143118125236806</v>
          </cell>
          <cell r="I27">
            <v>2.2890512195271949E-4</v>
          </cell>
          <cell r="J27">
            <v>5.3486600262516758E-5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  <cell r="H28">
            <v>67.277595703564899</v>
          </cell>
          <cell r="I28">
            <v>54.843932537586099</v>
          </cell>
          <cell r="J28">
            <v>23.884473155013598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  <cell r="H29">
            <v>26.79383117201704</v>
          </cell>
          <cell r="I29">
            <v>11.343525770092832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  <cell r="H30">
            <v>15.849135732873483</v>
          </cell>
          <cell r="I30">
            <v>16.266394093671817</v>
          </cell>
          <cell r="J30">
            <v>16.956994922867857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  <cell r="H31">
            <v>7.6690246858529774</v>
          </cell>
          <cell r="I31">
            <v>7.6690258810768253</v>
          </cell>
          <cell r="J31">
            <v>7.6690284365955339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  <cell r="H32">
            <v>4.8053827120180399</v>
          </cell>
          <cell r="I32">
            <v>4.8053842914062042</v>
          </cell>
          <cell r="J32">
            <v>4.8053873011821269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  <cell r="H33">
            <v>19.38393211256491</v>
          </cell>
          <cell r="I33">
            <v>18.967381742528172</v>
          </cell>
          <cell r="J33">
            <v>18.27760651708941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  <cell r="H34">
            <v>2.5335570841715253E-3</v>
          </cell>
          <cell r="I34">
            <v>1.8219111165147669E-3</v>
          </cell>
          <cell r="J34">
            <v>9.9595136509653234E-4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  <cell r="H35">
            <v>34.93760162948027</v>
          </cell>
          <cell r="I35">
            <v>35.159448732412471</v>
          </cell>
          <cell r="J35">
            <v>35.852898963112906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  <cell r="H36">
            <v>52.986078390124369</v>
          </cell>
          <cell r="I36">
            <v>67.483187107516756</v>
          </cell>
          <cell r="J36">
            <v>94.006893980840331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  <cell r="H37">
            <v>1.4842473332170856E-3</v>
          </cell>
          <cell r="I37">
            <v>3.80130664086212E-5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  <cell r="H38">
            <v>72.138715427381825</v>
          </cell>
          <cell r="I38">
            <v>72.144661683375475</v>
          </cell>
          <cell r="J38">
            <v>68.851731887437253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  <cell r="H39">
            <v>1.3767360057513194</v>
          </cell>
          <cell r="I39">
            <v>0.3386164459376283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  <cell r="H40">
            <v>4.0700105189269413</v>
          </cell>
          <cell r="I40">
            <v>4.0678276135334359</v>
          </cell>
          <cell r="J40">
            <v>8.4798977183813236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  <cell r="H41">
            <v>1.1535659190434952E-3</v>
          </cell>
          <cell r="I41">
            <v>3.3862827112816783E-5</v>
          </cell>
          <cell r="J41">
            <v>4.4640298456509399E-4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  <cell r="H42">
            <v>2.2955106006614416</v>
          </cell>
          <cell r="I42">
            <v>4.4117773816206203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  <cell r="H43">
            <v>26.194831632578964</v>
          </cell>
          <cell r="I43">
            <v>23.196300642862219</v>
          </cell>
          <cell r="J43">
            <v>14.127994785725377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  <cell r="H44">
            <v>26.194831632578964</v>
          </cell>
          <cell r="I44">
            <v>23.196300642862219</v>
          </cell>
          <cell r="J44">
            <v>14.127994785725377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  <cell r="H45">
            <v>37.122709628008224</v>
          </cell>
          <cell r="I45">
            <v>39.018772436771279</v>
          </cell>
          <cell r="J45">
            <v>42.318105862943426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  <cell r="H46">
            <v>52.3900413434664</v>
          </cell>
          <cell r="I46">
            <v>27.635321779047906</v>
          </cell>
          <cell r="J46">
            <v>15.223408557313753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  <cell r="H47">
            <v>4.5134643902963181E-4</v>
          </cell>
          <cell r="I47">
            <v>3.8662199441847532E-4</v>
          </cell>
          <cell r="J47">
            <v>3.1519322210091851E-4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  <cell r="H48">
            <v>4.5134643902963181E-4</v>
          </cell>
          <cell r="I48">
            <v>3.8662199441847532E-4</v>
          </cell>
          <cell r="J48">
            <v>3.1519322210091851E-4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  <cell r="L317"/>
          <cell r="M317"/>
          <cell r="N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  <cell r="I4">
            <v>9.1375821808739008</v>
          </cell>
          <cell r="J4">
            <v>-475997.36450130393</v>
          </cell>
          <cell r="K4">
            <v>-64.013785109540862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2196.4658238049378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111.19199525651585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2095.7465938955984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351.76132569819777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4.4607674343688997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383.67583754691378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775.21509752623615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330.51331608266935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1.5784930445532024E-2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6248.9733502482495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  <cell r="I15">
            <v>9.1375821808739008</v>
          </cell>
          <cell r="J15">
            <v>-475997.36450130393</v>
          </cell>
          <cell r="K15">
            <v>-57.599539312105044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-475997.36450130393</v>
          </cell>
          <cell r="K16">
            <v>-64.013785109540862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  <cell r="I17">
            <v>9.1435633134340399</v>
          </cell>
          <cell r="J17">
            <v>4.7407004015891898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  <cell r="I18">
            <v>19.610871420802699</v>
          </cell>
          <cell r="J18">
            <v>23.1705975854399</v>
          </cell>
          <cell r="K18">
            <v>24.8289991610933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  <cell r="I19">
            <v>8.0094800661997201E-2</v>
          </cell>
          <cell r="J19">
            <v>7.8607388529104497E-2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  <cell r="I20">
            <v>0.96736287173929003</v>
          </cell>
          <cell r="J20">
            <v>0.41752912317812402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  <cell r="I21">
            <v>1.0271204503701199</v>
          </cell>
          <cell r="J21">
            <v>1.0440660252813001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  <cell r="I22">
            <v>433.07289322233402</v>
          </cell>
          <cell r="J22">
            <v>113.88846574796599</v>
          </cell>
          <cell r="K22">
            <v>39.769263567427998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  <cell r="I23">
            <v>62.950828249980901</v>
          </cell>
          <cell r="J23">
            <v>73.840848237016601</v>
          </cell>
          <cell r="K23">
            <v>63.388473274332398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  <cell r="I24">
            <v>507.45426072679697</v>
          </cell>
          <cell r="J24">
            <v>135.12886029369599</v>
          </cell>
          <cell r="K24">
            <v>15.3785333682937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  <cell r="I25">
            <v>42.241327819359697</v>
          </cell>
          <cell r="J25">
            <v>37.180264665213201</v>
          </cell>
          <cell r="K25">
            <v>26.877458628195299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  <cell r="I26">
            <v>2.6218430238707402</v>
          </cell>
          <cell r="J26">
            <v>2.6882362822685599</v>
          </cell>
          <cell r="K26">
            <v>1.8539245943128599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  <cell r="I27">
            <v>2.9773483935099598</v>
          </cell>
          <cell r="J27">
            <v>2.18797773361708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  <cell r="I28">
            <v>9.1625741439233202E-2</v>
          </cell>
          <cell r="J28">
            <v>8.99079320721657E-2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  <cell r="I29">
            <v>415.23469619361401</v>
          </cell>
          <cell r="J29">
            <v>422.78197217139501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  <cell r="I30">
            <v>24.525083161771001</v>
          </cell>
          <cell r="J30">
            <v>28.511981818716801</v>
          </cell>
          <cell r="K30">
            <v>29.219044996338901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  <cell r="I31">
            <v>245.77428310302901</v>
          </cell>
          <cell r="J31">
            <v>96.578217681896405</v>
          </cell>
          <cell r="K31">
            <v>41.709420414224098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  <cell r="I32">
            <v>181.26883689264599</v>
          </cell>
          <cell r="J32">
            <v>78.555507740012601</v>
          </cell>
          <cell r="K32">
            <v>33.896385143197001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  <cell r="I33">
            <v>168.23681897474799</v>
          </cell>
          <cell r="J33">
            <v>59.542624488302998</v>
          </cell>
          <cell r="K33">
            <v>3.5925094772706698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  <cell r="I34">
            <v>292.98345796759401</v>
          </cell>
          <cell r="J34">
            <v>68.810521604390402</v>
          </cell>
          <cell r="K34">
            <v>8.5678816710572203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  <cell r="I35">
            <v>0.85142286898264397</v>
          </cell>
          <cell r="J35">
            <v>0.62516116770501495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  <cell r="I36">
            <v>0.74904542739848801</v>
          </cell>
          <cell r="J36">
            <v>0.76076186197204199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  <cell r="I37">
            <v>3.6107295037142002</v>
          </cell>
          <cell r="J37">
            <v>3.3019254556311699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  <cell r="I39">
            <v>123.982264381208</v>
          </cell>
          <cell r="J39">
            <v>141.24461869452199</v>
          </cell>
          <cell r="K39">
            <v>105.495903506345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  <cell r="I40">
            <v>0.86941567280187204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  <cell r="I41">
            <v>2540.3251941818098</v>
          </cell>
          <cell r="J41">
            <v>1295.1693541004099</v>
          </cell>
          <cell r="K41">
            <v>394.57779780208898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  <cell r="I42">
            <v>131.28980108923599</v>
          </cell>
          <cell r="J42">
            <v>150.013783764018</v>
          </cell>
          <cell r="K42">
            <v>120.556885097749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  <cell r="I43">
            <v>10.294862879614699</v>
          </cell>
          <cell r="J43">
            <v>4.7107369511971902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  <cell r="I44">
            <v>407.54439387763802</v>
          </cell>
          <cell r="J44">
            <v>125.429007865386</v>
          </cell>
          <cell r="K44">
            <v>49.8624152369893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  <cell r="I45">
            <v>0.43312709084178802</v>
          </cell>
          <cell r="J45">
            <v>0.39579468687203201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  <cell r="I46">
            <v>631.20254069830105</v>
          </cell>
          <cell r="J46">
            <v>202.36731552845299</v>
          </cell>
          <cell r="K46">
            <v>12.875659435505099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  <cell r="I47">
            <v>1180.7647256356299</v>
          </cell>
          <cell r="J47">
            <v>482.91663879592602</v>
          </cell>
          <cell r="K47">
            <v>183.294959770243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  <cell r="I49">
            <v>9.1315746125292502E-2</v>
          </cell>
          <cell r="J49">
            <v>8.8483483886878697E-2</v>
          </cell>
          <cell r="K49">
            <v>7.6498341439393713E-2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  <cell r="I50">
            <v>0.19446678631737352</v>
          </cell>
          <cell r="J50">
            <v>0.12000803511895951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  <cell r="I51">
            <v>1.4169681880466176</v>
          </cell>
          <cell r="J51">
            <v>0.40978569881453786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  <cell r="I52">
            <v>42.295850633634728</v>
          </cell>
          <cell r="J52">
            <v>3.5249958869795708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  <cell r="I53">
            <v>2.3989758093407052</v>
          </cell>
          <cell r="J53">
            <v>0.30867990293878123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  <cell r="I54">
            <v>255.36839642360849</v>
          </cell>
          <cell r="J54">
            <v>174.63994655651715</v>
          </cell>
          <cell r="K54">
            <v>78.967009012641654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  <cell r="I57">
            <v>7.4220501111828697E-3</v>
          </cell>
          <cell r="J57">
            <v>4.0511152562820625E-3</v>
          </cell>
          <cell r="K57">
            <v>1.0380187867513901E-3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  <cell r="I58">
            <v>1.5439260712916559E-2</v>
          </cell>
          <cell r="J58">
            <v>1.0036388962844872E-2</v>
          </cell>
          <cell r="K58">
            <v>2.5836918710837398E-3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  <cell r="I59">
            <v>0.74187501024830005</v>
          </cell>
          <cell r="J59">
            <v>0.37565718327608921</v>
          </cell>
          <cell r="K59">
            <v>0.1061686682408786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  <cell r="I60">
            <v>2.2614315823414381E-2</v>
          </cell>
          <cell r="J60">
            <v>1.4055878715138866E-2</v>
          </cell>
          <cell r="K60">
            <v>3.6718747338174299E-3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  <cell r="I61">
            <v>1.6995694805963711E-2</v>
          </cell>
          <cell r="J61">
            <v>1.2051730999124401E-2</v>
          </cell>
          <cell r="K61">
            <v>3.1335502226925E-3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  <cell r="I62">
            <v>0.2176831848833492</v>
          </cell>
          <cell r="J62">
            <v>8.118182111703523E-2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  <cell r="I63">
            <v>0.22930711062447751</v>
          </cell>
          <cell r="J63">
            <v>8.4348605983124034E-2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  <cell r="I64">
            <v>0.16720524692026312</v>
          </cell>
          <cell r="J64">
            <v>6.190020528176806E-2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  <cell r="I65">
            <v>0.27565861140574272</v>
          </cell>
          <cell r="J65">
            <v>9.7539459780429411E-2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  <cell r="I66">
            <v>0.21608157866237648</v>
          </cell>
          <cell r="J66">
            <v>8.5945546906157369E-2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  <cell r="I67">
            <v>0.40218814404924552</v>
          </cell>
          <cell r="J67">
            <v>0.15747362784773339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  <cell r="I68">
            <v>0.2472843905401611</v>
          </cell>
          <cell r="J68">
            <v>9.2978098838720297E-2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  <cell r="I69">
            <v>0.14881979214543228</v>
          </cell>
          <cell r="J69">
            <v>3.2009261781148477</v>
          </cell>
          <cell r="K69">
            <v>5.5047038077218753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  <cell r="I70">
            <v>0.10355587580632131</v>
          </cell>
          <cell r="J70">
            <v>3.3053565443415367E-2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  <cell r="I71">
            <v>7.0119354753406693</v>
          </cell>
          <cell r="J71">
            <v>2.4269313950057989</v>
          </cell>
          <cell r="K71">
            <v>0.43735266601243394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  <cell r="I72">
            <v>9.6884258903874798</v>
          </cell>
          <cell r="J72">
            <v>8.5499291424715604</v>
          </cell>
          <cell r="K72">
            <v>1.8706496140899238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  <cell r="I73">
            <v>9.9858319058611002E-3</v>
          </cell>
          <cell r="J73">
            <v>1.5089960682548351E-2</v>
          </cell>
          <cell r="K73">
            <v>2.7522339001563468E-3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  <cell r="I75">
            <v>17.625821029296699</v>
          </cell>
          <cell r="J75">
            <v>6.1733560112206902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  <cell r="I76">
            <v>68.374295290095944</v>
          </cell>
          <cell r="J76">
            <v>38.339349082198012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  <cell r="I77">
            <v>962.50339474934503</v>
          </cell>
          <cell r="J77">
            <v>973.12746241399395</v>
          </cell>
          <cell r="K77">
            <v>149.70731831748799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  <cell r="I78">
            <v>0.79434520495675554</v>
          </cell>
          <cell r="J78">
            <v>4.9605810179749646E-2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  <cell r="I79">
            <v>1.0455657470144994</v>
          </cell>
          <cell r="J79">
            <v>0.46976061309668588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  <cell r="I81">
            <v>3.8404828448512327</v>
          </cell>
          <cell r="J81">
            <v>3.8054006316516205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  <cell r="I84">
            <v>1.0641761573033669E-2</v>
          </cell>
          <cell r="J84">
            <v>9.3402999086242625E-3</v>
          </cell>
          <cell r="K84">
            <v>8.7021792479183759E-3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  <cell r="I97">
            <v>40.63332453816362</v>
          </cell>
          <cell r="J97">
            <v>5.5411587484839311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  <cell r="I98">
            <v>64.837095260546022</v>
          </cell>
          <cell r="J98">
            <v>9.2580246518745835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  <cell r="I99">
            <v>13.080348449900496</v>
          </cell>
          <cell r="J99">
            <v>0.63802810903603913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  <cell r="I100">
            <v>0.22403561721157786</v>
          </cell>
          <cell r="J100">
            <v>8.8538706857642535E-2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  <cell r="I101">
            <v>124.10355906408745</v>
          </cell>
          <cell r="J101">
            <v>9.7755122280737332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  <cell r="I102">
            <v>1.7825530534280944</v>
          </cell>
          <cell r="J102">
            <v>0.1300522895613847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  <cell r="I103">
            <v>1577.2543840218714</v>
          </cell>
          <cell r="J103">
            <v>996.21070466114691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  <cell r="I104">
            <v>10.366072423874298</v>
          </cell>
          <cell r="J104">
            <v>0.12647355216690193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  <cell r="I105">
            <v>5.8357607423118507</v>
          </cell>
          <cell r="J105">
            <v>6.9618205827987903E-2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  <cell r="I107">
            <v>0.10905175262994252</v>
          </cell>
          <cell r="J107">
            <v>0.27109990348837254</v>
          </cell>
          <cell r="K107">
            <v>17.236131414423156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  <cell r="I108">
            <v>0.106028387317605</v>
          </cell>
          <cell r="J108">
            <v>0.14505682928105712</v>
          </cell>
          <cell r="K108">
            <v>6.5201785125452702E-2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  <cell r="I109">
            <v>40.29737074083306</v>
          </cell>
          <cell r="J109">
            <v>46.331550164608316</v>
          </cell>
          <cell r="K109">
            <v>2.0982620236136817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  <cell r="I110">
            <v>92.313839112214367</v>
          </cell>
          <cell r="J110">
            <v>56.59932091517836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  <cell r="I111">
            <v>9.4373461509647989E-3</v>
          </cell>
          <cell r="J111">
            <v>1.2893260184237469E-2</v>
          </cell>
          <cell r="K111">
            <v>1.8560103291497469E-3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  <cell r="I112">
            <v>4.6127461360533799E-2</v>
          </cell>
          <cell r="J112">
            <v>4.7877802387808102E-2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  <cell r="I113">
            <v>66.70137041305189</v>
          </cell>
          <cell r="J113">
            <v>17.007579446549673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  <cell r="I114">
            <v>64.820894410065634</v>
          </cell>
          <cell r="J114">
            <v>53.485752255154793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  <cell r="I115">
            <v>13.46618136414568</v>
          </cell>
          <cell r="J115">
            <v>9.8156778814105741E-2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  <cell r="I116">
            <v>240.84505626024392</v>
          </cell>
          <cell r="J116">
            <v>111.25229044304902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  <cell r="I117">
            <v>1.3407132848775059</v>
          </cell>
          <cell r="J117">
            <v>0.10629933797925854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  <cell r="I118">
            <v>0.62558892221102591</v>
          </cell>
          <cell r="J118">
            <v>0.10045756994488531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  <cell r="I119">
            <v>1.0932843531068006</v>
          </cell>
          <cell r="J119">
            <v>0.10750283811757057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  <cell r="I120">
            <v>1081.2708029063381</v>
          </cell>
          <cell r="J120">
            <v>1126.7482421565719</v>
          </cell>
          <cell r="K120">
            <v>116.6393858352447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  <cell r="I121">
            <v>0.1990530975401098</v>
          </cell>
          <cell r="J121">
            <v>0.22853564806725601</v>
          </cell>
          <cell r="K121">
            <v>3.7476075996910399E-2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  <cell r="I122">
            <v>0.1999791472146602</v>
          </cell>
          <cell r="J122">
            <v>0.1263678698441586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  <cell r="I123">
            <v>1.0109842564522631</v>
          </cell>
          <cell r="J123">
            <v>0.66765832229847955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  <cell r="I124">
            <v>246.22186353309536</v>
          </cell>
          <cell r="J124">
            <v>81.609591351064665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  <cell r="I126">
            <v>0.98113758009046292</v>
          </cell>
          <cell r="J126">
            <v>0.38255095034892661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  <cell r="I130">
            <v>8.6816675439754695E-5</v>
          </cell>
          <cell r="J130">
            <v>5.7604906437919697E-5</v>
          </cell>
          <cell r="K130">
            <v>4.94780207849906E-5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  <cell r="I135">
            <v>5250.9347705403297</v>
          </cell>
          <cell r="J135">
            <v>3887.9183880371902</v>
          </cell>
          <cell r="K135">
            <v>495.858378264664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-2196.4658238049401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  <cell r="I137">
            <v>7939.93020142982</v>
          </cell>
          <cell r="J137">
            <v>7125.9597881402397</v>
          </cell>
          <cell r="K137">
            <v>3917.8661296016498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  <cell r="I138">
            <v>0.106935560695332</v>
          </cell>
          <cell r="J138">
            <v>3.1390840733581198E-3</v>
          </cell>
          <cell r="K138">
            <v>4.1381556669184201E-2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-111.19199525651599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-2095.7465938956002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  <cell r="I141">
            <v>335.06987057475601</v>
          </cell>
          <cell r="J141">
            <v>115.847249710119</v>
          </cell>
          <cell r="K141">
            <v>65.2645111981425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  <cell r="I142">
            <v>291.22362415382702</v>
          </cell>
          <cell r="J142">
            <v>115.638219243192</v>
          </cell>
          <cell r="K142">
            <v>1.16028159661467E-3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-351.76132569819799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-4.4607674343688899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  <cell r="I145">
            <v>2837.7894322419902</v>
          </cell>
          <cell r="J145">
            <v>2533.6626827466898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  <cell r="I146">
            <v>2085.53574796267</v>
          </cell>
          <cell r="J146">
            <v>2077.4140630017</v>
          </cell>
          <cell r="K146">
            <v>2063.7564520165702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  <cell r="I147">
            <v>0.93500058565259003</v>
          </cell>
          <cell r="J147">
            <v>0.11602024808879099</v>
          </cell>
          <cell r="K147">
            <v>3.57658828864253E-2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  <cell r="I148">
            <v>0.13243621066455799</v>
          </cell>
          <cell r="J148">
            <v>0.13777023016919199</v>
          </cell>
          <cell r="K148">
            <v>8.7166895647562997E-2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  <cell r="I149">
            <v>524.08798589766195</v>
          </cell>
          <cell r="J149">
            <v>281.43598655402599</v>
          </cell>
          <cell r="K149">
            <v>170.99458630325901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  <cell r="I150">
            <v>-3799.08097267632</v>
          </cell>
          <cell r="J150">
            <v>-4045.25785255647</v>
          </cell>
          <cell r="K150">
            <v>-3917.86603482281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  <cell r="I151">
            <v>1518.07038355842</v>
          </cell>
          <cell r="J151">
            <v>1028.01969901388</v>
          </cell>
          <cell r="K151">
            <v>368.184277167461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  <cell r="I152">
            <v>0.114287044657715</v>
          </cell>
          <cell r="J152">
            <v>2.9270061134638301E-3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  <cell r="I153">
            <v>641.83661861630196</v>
          </cell>
          <cell r="J153">
            <v>205.748129491898</v>
          </cell>
          <cell r="K153">
            <v>9.7857329198857606E-4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-383.67583754691401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  <cell r="I156">
            <v>997.36665163578198</v>
          </cell>
          <cell r="J156">
            <v>274.946348837605</v>
          </cell>
          <cell r="K156">
            <v>1.2926108469267E-3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  <cell r="I157">
            <v>1977.3847404948599</v>
          </cell>
          <cell r="J157">
            <v>837.15220183285101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-775.21509752623501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-330.51331608266901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  <cell r="I160">
            <v>1001.7553907487101</v>
          </cell>
          <cell r="J160">
            <v>996.69825874104697</v>
          </cell>
          <cell r="K160">
            <v>986.585780886355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  <cell r="I161">
            <v>100.22638121869601</v>
          </cell>
          <cell r="J161">
            <v>24.651277264259299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  <cell r="I162">
            <v>577.322434767338</v>
          </cell>
          <cell r="J162">
            <v>132.67544282206899</v>
          </cell>
          <cell r="K162">
            <v>253.542744561082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-1.5784930445531999E-2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  <cell r="I164">
            <v>2240.4540404670602</v>
          </cell>
          <cell r="J164">
            <v>2266.0985836268301</v>
          </cell>
          <cell r="K164">
            <v>2340.56427655174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  <cell r="I165">
            <v>19270.261190493198</v>
          </cell>
          <cell r="J165">
            <v>13970.949935038399</v>
          </cell>
          <cell r="K165">
            <v>5.55930475500264E-4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  <cell r="I166">
            <v>-8.0278652504007106E-2</v>
          </cell>
          <cell r="J166">
            <v>-0.139255269288834</v>
          </cell>
          <cell r="K166">
            <v>-0.60180619490610399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6248.9733502482495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6248.9733502482495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-475939.76344491466</v>
          </cell>
          <cell r="K169">
            <v>2.3550684838247582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  <cell r="I170">
            <v>3956.0584202378986</v>
          </cell>
          <cell r="J170">
            <v>3322.4320498981997</v>
          </cell>
          <cell r="K170">
            <v>3303.9275193022754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  <cell r="I171">
            <v>2515.4370351941984</v>
          </cell>
          <cell r="J171">
            <v>1302.9660478514807</v>
          </cell>
          <cell r="K171">
            <v>368.1855697783086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  <cell r="I172">
            <v>4914.0600527711313</v>
          </cell>
          <cell r="J172">
            <v>3395.2416543215672</v>
          </cell>
          <cell r="K172">
            <v>8.7166895647563025E-2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  <cell r="I173">
            <v>2576.4589116274669</v>
          </cell>
          <cell r="J173">
            <v>2382.0618535850349</v>
          </cell>
          <cell r="K173">
            <v>2405.8645536327645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  <cell r="I174">
            <v>1165.9246045139637</v>
          </cell>
          <cell r="J174">
            <v>487.18411604592319</v>
          </cell>
          <cell r="K174">
            <v>170.99556487655104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  <cell r="I175">
            <v>2576.4589116274669</v>
          </cell>
          <cell r="J175">
            <v>2382.0618535850349</v>
          </cell>
          <cell r="K175">
            <v>-2772.7616305558331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  <cell r="I176">
            <v>3956.0811730642399</v>
          </cell>
          <cell r="J176">
            <v>3322.5584366682324</v>
          </cell>
          <cell r="K176">
            <v>2233.5061496534804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  <cell r="I177">
            <v>21660.479109036369</v>
          </cell>
          <cell r="J177">
            <v>16594.506011955473</v>
          </cell>
          <cell r="K177">
            <v>5709.8048935831885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6.1167761862522801E-4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6248.9733502482404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7.8668902793785407E-6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  <cell r="I182">
            <v>2085.5357479626728</v>
          </cell>
          <cell r="J182">
            <v>2077.4140630017037</v>
          </cell>
          <cell r="K182">
            <v>2063.7564520165702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  <cell r="I183">
            <v>2085.5357479626728</v>
          </cell>
          <cell r="J183">
            <v>2077.4140630017037</v>
          </cell>
          <cell r="K183">
            <v>2063.7564520165702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2325.5941604951299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4.6734144658634302E-3</v>
          </cell>
          <cell r="K185">
            <v>125.482238939699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2354.77145381528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  <cell r="I187">
            <v>413.18459109525901</v>
          </cell>
          <cell r="J187">
            <v>196.239212389579</v>
          </cell>
          <cell r="K187">
            <v>1.6839968766212399E-2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  <cell r="I188">
            <v>2535.93375179132</v>
          </cell>
          <cell r="J188">
            <v>2541.4889409935899</v>
          </cell>
          <cell r="K188">
            <v>0.24996248631825199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  <cell r="I189">
            <v>1.3189647902875801</v>
          </cell>
          <cell r="J189">
            <v>9.0015561648467399E-2</v>
          </cell>
          <cell r="K189">
            <v>71.795946902920406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  <cell r="I190">
            <v>1944.9755419129201</v>
          </cell>
          <cell r="J190">
            <v>1990.7090396260201</v>
          </cell>
          <cell r="K190">
            <v>0.51780420764018398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7.4376189688747693E-2</v>
          </cell>
          <cell r="K191">
            <v>20.1522428581852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  <cell r="I192">
            <v>1.84393641174837E-2</v>
          </cell>
          <cell r="J192">
            <v>2.79360307430589E-3</v>
          </cell>
          <cell r="K192">
            <v>8.1564599647042098E-4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2.62632742689046E-2</v>
          </cell>
          <cell r="K193">
            <v>96.614411833219606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  <cell r="I194">
            <v>0.36711152418967702</v>
          </cell>
          <cell r="J194">
            <v>5.4017706992482803E-2</v>
          </cell>
          <cell r="K194">
            <v>1.9432096657477499E-2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  <cell r="I195">
            <v>0.535867939543057</v>
          </cell>
          <cell r="J195">
            <v>6.0237462049876803E-2</v>
          </cell>
          <cell r="K195">
            <v>4.3093568472609496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  <cell r="I196">
            <v>0.53451533121641703</v>
          </cell>
          <cell r="J196">
            <v>5.7425748061926601E-2</v>
          </cell>
          <cell r="K196">
            <v>1.57141812216571E-2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  <cell r="I197">
            <v>4896.8687837488596</v>
          </cell>
          <cell r="J197">
            <v>4728.8069959694403</v>
          </cell>
          <cell r="K197">
            <v>4999.5403802783003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  <cell r="I198">
            <v>2.5469337155635099</v>
          </cell>
          <cell r="J198">
            <v>1.0509200467272</v>
          </cell>
          <cell r="K198">
            <v>7.8251209665663701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  <cell r="I199">
            <v>665.37046981301796</v>
          </cell>
          <cell r="J199">
            <v>223.87081924156399</v>
          </cell>
          <cell r="K199">
            <v>98.870640764359507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485.22268863529501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  <cell r="I201">
            <v>314.65823228500699</v>
          </cell>
          <cell r="J201">
            <v>189.33389342584701</v>
          </cell>
          <cell r="K201">
            <v>27.794808239467901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3.5141879557327401E-3</v>
          </cell>
          <cell r="K202">
            <v>5.02427536615272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0.145241795667163</v>
          </cell>
          <cell r="J203">
            <v>7.8990566127566705E-2</v>
          </cell>
          <cell r="K203">
            <v>219.81490842545199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  <cell r="I204">
            <v>0.106935560695332</v>
          </cell>
          <cell r="J204">
            <v>3.1390840733581198E-3</v>
          </cell>
          <cell r="K204">
            <v>4.1381556669184201E-2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  <cell r="I205">
            <v>47.5043660960201</v>
          </cell>
          <cell r="J205">
            <v>0.17703447110260201</v>
          </cell>
          <cell r="K205">
            <v>48.009385693548701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  <cell r="I206">
            <v>999.400825234541</v>
          </cell>
          <cell r="J206">
            <v>992.48125816117795</v>
          </cell>
          <cell r="K206">
            <v>501.11515083053803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0.17397251866519101</v>
          </cell>
          <cell r="J207">
            <v>4.1457701717528099E-2</v>
          </cell>
          <cell r="K207">
            <v>13.979197725037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  <cell r="I208">
            <v>2.3601006660468702</v>
          </cell>
          <cell r="J208">
            <v>4.2237866357249096</v>
          </cell>
          <cell r="K208">
            <v>0.26576728490247498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  <cell r="I209">
            <v>0.112378317822334</v>
          </cell>
          <cell r="J209">
            <v>2.8781217002494899E-3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  <cell r="I210">
            <v>2032.3794560030501</v>
          </cell>
          <cell r="J210">
            <v>1411.2676916437199</v>
          </cell>
          <cell r="K210">
            <v>1407.96332548799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  <cell r="I4">
            <v>9.3180808721706704E-7</v>
          </cell>
          <cell r="J4">
            <v>6.6607138579057495E-7</v>
          </cell>
          <cell r="K4">
            <v>5.1407311839358898E-7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3.6919124361774499E-3</v>
          </cell>
          <cell r="K5">
            <v>6.8413631126417796E-4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  <cell r="I6">
            <v>2.5283977972187101E-5</v>
          </cell>
          <cell r="J6">
            <v>0.82875291825018704</v>
          </cell>
          <cell r="K6">
            <v>0.96220565985855999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  <cell r="I7">
            <v>1.7808143491310199E-6</v>
          </cell>
          <cell r="J7">
            <v>1.1681452657139599E-6</v>
          </cell>
          <cell r="K7">
            <v>8.4352192380942496E-7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  <cell r="I8">
            <v>2.7284922087077298E-6</v>
          </cell>
          <cell r="J8">
            <v>3.57205391201949E-6</v>
          </cell>
          <cell r="K8">
            <v>6.00157221811232E-6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1.8973718511869E-6</v>
          </cell>
          <cell r="K9">
            <v>3.2679667906288E-4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  <cell r="I10">
            <v>0.14763385049462599</v>
          </cell>
          <cell r="J10">
            <v>6.3855871431119302E-2</v>
          </cell>
          <cell r="K10">
            <v>0.166280900869757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  <cell r="I11">
            <v>1.8680019854246201E-2</v>
          </cell>
          <cell r="J11">
            <v>1.99366576250464E-2</v>
          </cell>
          <cell r="K11">
            <v>0.16512924349410199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  <cell r="I12">
            <v>4.6042235887148099E-7</v>
          </cell>
          <cell r="J12">
            <v>4.28134027033374E-7</v>
          </cell>
          <cell r="K12">
            <v>1.00736736339613E-6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  <cell r="I13">
            <v>2.4984784815175198E-6</v>
          </cell>
          <cell r="J13">
            <v>1.4606888665081801E-6</v>
          </cell>
          <cell r="K13">
            <v>1.14411109813539E-6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  <cell r="I14">
            <v>6.7243588561021305E-8</v>
          </cell>
          <cell r="J14">
            <v>8.0833755089406199E-8</v>
          </cell>
          <cell r="K14">
            <v>1.0857028490163E-7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  <cell r="I15">
            <v>8.5422469461040097E-7</v>
          </cell>
          <cell r="J15">
            <v>5.9829352008949396E-7</v>
          </cell>
          <cell r="K15">
            <v>1.1020413972182699E-6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  <cell r="I16">
            <v>1.6299054935001099E-5</v>
          </cell>
          <cell r="J16">
            <v>0.14415800677224599</v>
          </cell>
          <cell r="K16">
            <v>0.14307167104982901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  <cell r="I17">
            <v>2.3360623883009001E-7</v>
          </cell>
          <cell r="J17">
            <v>3.0907336245141702E-7</v>
          </cell>
          <cell r="K17">
            <v>5.4579739438320702E-7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  <cell r="I18">
            <v>0.20524213501343</v>
          </cell>
          <cell r="J18">
            <v>0.29156789504428798</v>
          </cell>
          <cell r="K18">
            <v>0.50994155354784798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  <cell r="I19">
            <v>8.7624883530996093E-6</v>
          </cell>
          <cell r="J19">
            <v>1.54620125591421E-2</v>
          </cell>
          <cell r="K19">
            <v>1.8307728216592899E-2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  <cell r="I20">
            <v>2.70698007931407E-6</v>
          </cell>
          <cell r="J20">
            <v>3.56884456717276E-6</v>
          </cell>
          <cell r="K20">
            <v>6.1798435607529997E-6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  <cell r="I21">
            <v>2.6915125477360101E-6</v>
          </cell>
          <cell r="J21">
            <v>1.51805176328733E-6</v>
          </cell>
          <cell r="K21">
            <v>1.20475008573761E-6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1.8275436841434201E-5</v>
          </cell>
          <cell r="K22">
            <v>2.5593186438171798E-3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  <cell r="I23">
            <v>1.311016282335803E-6</v>
          </cell>
          <cell r="J23">
            <v>1.3428000543074671E-6</v>
          </cell>
          <cell r="K23">
            <v>9.9955786194178995E-7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3.6919124361774499E-3</v>
          </cell>
          <cell r="K24">
            <v>4.3759640197939161E-3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  <cell r="I25">
            <v>2.9686354286500683E-5</v>
          </cell>
          <cell r="J25">
            <v>0.82878204719524606</v>
          </cell>
          <cell r="K25">
            <v>1.7909788572538745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  <cell r="I26">
            <v>2.8173970722683391E-6</v>
          </cell>
          <cell r="J26">
            <v>3.1518657884086098E-6</v>
          </cell>
          <cell r="K26">
            <v>2.3899205350513296E-6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  <cell r="I27">
            <v>1.027535640572357</v>
          </cell>
          <cell r="J27">
            <v>1.027539212626269</v>
          </cell>
          <cell r="K27">
            <v>0.72470990097226717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1.8973718511869E-6</v>
          </cell>
          <cell r="K28">
            <v>3.28694050914067E-4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  <cell r="I29">
            <v>0.28518350993481684</v>
          </cell>
          <cell r="J29">
            <v>0.31762817294660345</v>
          </cell>
          <cell r="K29">
            <v>0.37190571026466152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  <cell r="I30">
            <v>0.14376590308186724</v>
          </cell>
          <cell r="J30">
            <v>0.10107071081854035</v>
          </cell>
          <cell r="K30">
            <v>0.20121163385152482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  <cell r="I31">
            <v>0.95961931328982797</v>
          </cell>
          <cell r="J31">
            <v>0.95961974142385498</v>
          </cell>
          <cell r="K31">
            <v>0.48125640514516232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  <cell r="I32">
            <v>3.4546414044883829E-6</v>
          </cell>
          <cell r="J32">
            <v>3.6563956262991096E-6</v>
          </cell>
          <cell r="K32">
            <v>2.55564964341078E-6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  <cell r="I33">
            <v>1.2077953905802599E-7</v>
          </cell>
          <cell r="J33">
            <v>2.0161329414743199E-7</v>
          </cell>
          <cell r="K33">
            <v>3.10183579049062E-7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  <cell r="I34">
            <v>2.2350560480760784</v>
          </cell>
          <cell r="J34">
            <v>2.2350566463695989</v>
          </cell>
          <cell r="K34">
            <v>1.1208960492747158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  <cell r="I35">
            <v>0.16241445352492909</v>
          </cell>
          <cell r="J35">
            <v>0.21967239663055677</v>
          </cell>
          <cell r="K35">
            <v>0.28724113288031045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  <cell r="I36">
            <v>3.0972413314034579</v>
          </cell>
          <cell r="J36">
            <v>3.0972416404768204</v>
          </cell>
          <cell r="K36">
            <v>1.5532844269145147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  <cell r="I37">
            <v>0.20567466872344844</v>
          </cell>
          <cell r="J37">
            <v>0.49697339266221074</v>
          </cell>
          <cell r="K37">
            <v>0.96506283338676291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  <cell r="I38">
            <v>-9.7133553610129209E-8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  <cell r="I39">
            <v>5.4942413338871593E-2</v>
          </cell>
          <cell r="J39">
            <v>4.3763197393461899E-2</v>
          </cell>
          <cell r="K39">
            <v>3.3774955095198893E-2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  <cell r="I41">
            <v>1.9844922395668121</v>
          </cell>
          <cell r="J41">
            <v>1.9844958084113793</v>
          </cell>
          <cell r="K41">
            <v>1.0954780554347601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  <cell r="I42">
            <v>3.4970853961807716E-6</v>
          </cell>
          <cell r="J42">
            <v>3.5643059069816396E-6</v>
          </cell>
          <cell r="K42">
            <v>2.5625075183836204E-6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1.8275436841434201E-5</v>
          </cell>
          <cell r="K43">
            <v>2.5683488619603853E-3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  <cell r="I44">
            <v>0.15097906515877507</v>
          </cell>
          <cell r="J44">
            <v>0.16815584521729707</v>
          </cell>
          <cell r="K44">
            <v>0.1968909045763963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  <cell r="I45">
            <v>9.8449650616128892</v>
          </cell>
          <cell r="J45">
            <v>12.375024453570473</v>
          </cell>
          <cell r="K45">
            <v>13.473813994046031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1.5784930445532024E-2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  <cell r="I47">
            <v>12.979885916078681</v>
          </cell>
          <cell r="J47">
            <v>14.599611199207066</v>
          </cell>
          <cell r="K47">
            <v>17.096515385782169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0.14302964821543498</v>
          </cell>
          <cell r="K48">
            <v>0.16953944201850374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  <cell r="I49">
            <v>12.979885916078681</v>
          </cell>
          <cell r="J49">
            <v>14.456598235967054</v>
          </cell>
          <cell r="K49">
            <v>16.926992339153607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  <cell r="I50">
            <v>1.6600493534163598E-3</v>
          </cell>
          <cell r="J50">
            <v>4.7354664005578304E-4</v>
          </cell>
          <cell r="K50">
            <v>9.9249628549401715E-4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  <cell r="I51">
            <v>5.9409551520346788</v>
          </cell>
          <cell r="J51">
            <v>2.0540292501794042</v>
          </cell>
          <cell r="K51">
            <v>1.1571721843642291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  <cell r="I52">
            <v>2.348159763555983E-3</v>
          </cell>
          <cell r="J52">
            <v>2.4427345774679509E-3</v>
          </cell>
          <cell r="K52">
            <v>1.5455123341766486E-3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  <cell r="I53">
            <v>9.2923401754904535</v>
          </cell>
          <cell r="J53">
            <v>4.9899997615962004</v>
          </cell>
          <cell r="K53">
            <v>3.0318189060861531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  <cell r="I54">
            <v>26.916141552454199</v>
          </cell>
          <cell r="J54">
            <v>18.227299627905577</v>
          </cell>
          <cell r="K54">
            <v>6.5280900206996746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  <cell r="I55">
            <v>10.236213382399615</v>
          </cell>
          <cell r="J55">
            <v>2.3524014684763905</v>
          </cell>
          <cell r="K55">
            <v>4.4954387333525103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  <cell r="I56">
            <v>335.06987057475601</v>
          </cell>
          <cell r="J56">
            <v>115.847249710119</v>
          </cell>
          <cell r="K56">
            <v>65.2645111981425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  <cell r="I57">
            <v>291.22362415382702</v>
          </cell>
          <cell r="J57">
            <v>115.638219243192</v>
          </cell>
          <cell r="K57">
            <v>1.16028159661467E-3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  <cell r="I58">
            <v>0.13243621066455799</v>
          </cell>
          <cell r="J58">
            <v>0.13777023016919199</v>
          </cell>
          <cell r="K58">
            <v>8.7166895647562997E-2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  <cell r="I59">
            <v>524.08798589766195</v>
          </cell>
          <cell r="J59">
            <v>281.43598655402599</v>
          </cell>
          <cell r="K59">
            <v>170.99458630325901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  <cell r="I60">
            <v>1518.07038355842</v>
          </cell>
          <cell r="J60">
            <v>1028.01969901388</v>
          </cell>
          <cell r="K60">
            <v>368.184277167461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  <cell r="I61">
            <v>641.83661861630196</v>
          </cell>
          <cell r="J61">
            <v>205.748129491898</v>
          </cell>
          <cell r="K61">
            <v>9.7857329198857606E-4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  <cell r="I62">
            <v>997.36665163578198</v>
          </cell>
          <cell r="J62">
            <v>274.946348837605</v>
          </cell>
          <cell r="K62">
            <v>1.2926108469267E-3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  <cell r="I63">
            <v>1977.3847404948599</v>
          </cell>
          <cell r="J63">
            <v>837.15220183285101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  <cell r="I64">
            <v>577.322434767338</v>
          </cell>
          <cell r="J64">
            <v>132.67544282206899</v>
          </cell>
          <cell r="K64">
            <v>253.542744561082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-1.5784930445531999E-2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  <cell r="I66">
            <v>7.3588462452210512</v>
          </cell>
          <cell r="J66">
            <v>3.4839456981429948</v>
          </cell>
          <cell r="K66">
            <v>5.6447886457231133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  <cell r="I67">
            <v>4.9139943776349417</v>
          </cell>
          <cell r="J67">
            <v>2.5713516449036646</v>
          </cell>
          <cell r="K67">
            <v>1.0285220478847314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1.006095238888994E-4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1.006095238888994E-4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0.10803915386403773</v>
          </cell>
          <cell r="K70">
            <v>5.2355527224260345E-2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  <cell r="I71">
            <v>1.7832835437225809</v>
          </cell>
          <cell r="J71">
            <v>1.188930186604696</v>
          </cell>
          <cell r="K71">
            <v>5.0844498306297208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  <cell r="I72">
            <v>2.1331817951298824</v>
          </cell>
          <cell r="J72">
            <v>2.1346069879929574</v>
          </cell>
          <cell r="K72">
            <v>2.1343528724686909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  <cell r="I73">
            <v>4.3991616381045366</v>
          </cell>
          <cell r="J73">
            <v>3.0926952527875322</v>
          </cell>
          <cell r="K73">
            <v>6.1570467372985558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  <cell r="I74">
            <v>1.4414054974108066</v>
          </cell>
          <cell r="J74">
            <v>1.4414091121752575</v>
          </cell>
          <cell r="K74">
            <v>4.5058903002764374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  <cell r="I75">
            <v>6.737468838943527E-4</v>
          </cell>
          <cell r="J75">
            <v>1.1663968606329234E-4</v>
          </cell>
          <cell r="K75">
            <v>2.0198615265559834E-4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  <cell r="I76">
            <v>0.48282859333763167</v>
          </cell>
          <cell r="J76">
            <v>2.1186074168799137E-4</v>
          </cell>
          <cell r="K76">
            <v>5.4403017750057612E-4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  <cell r="I77">
            <v>0.82337815547051685</v>
          </cell>
          <cell r="J77">
            <v>2.1381285111929493E-4</v>
          </cell>
          <cell r="K77">
            <v>4.8236176072884889E-4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  <cell r="I78">
            <v>1.6510387411292282</v>
          </cell>
          <cell r="J78">
            <v>1.6510396301712364</v>
          </cell>
          <cell r="K78">
            <v>1.6510416064815361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  <cell r="I79">
            <v>3.9514738691156968</v>
          </cell>
          <cell r="J79">
            <v>1.5690396098126402</v>
          </cell>
          <cell r="K79">
            <v>1.5743305245789353E-5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  <cell r="I80">
            <v>8.7087736582944562</v>
          </cell>
          <cell r="J80">
            <v>2.7916978221424356</v>
          </cell>
          <cell r="K80">
            <v>1.327779229292504E-5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  <cell r="I81">
            <v>13.532790388545203</v>
          </cell>
          <cell r="J81">
            <v>3.730615316656785</v>
          </cell>
          <cell r="K81">
            <v>1.7538817461691966E-5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  <cell r="I82">
            <v>12.540439512048358</v>
          </cell>
          <cell r="J82">
            <v>16.962819166944548</v>
          </cell>
          <cell r="K82">
            <v>22.180614445703991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  <cell r="I83">
            <v>2.9723904432020719E-3</v>
          </cell>
          <cell r="J83">
            <v>2.5013162502812436E-3</v>
          </cell>
          <cell r="K83">
            <v>1.7535552454990108E-3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  <cell r="I84">
            <v>1.3644301786865551</v>
          </cell>
          <cell r="J84">
            <v>1.2084288449406961</v>
          </cell>
          <cell r="K84">
            <v>0.97699733688425561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  <cell r="I85">
            <v>26.79383117201704</v>
          </cell>
          <cell r="J85">
            <v>11.343525770092832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  <cell r="I86">
            <v>1.4655921303203623</v>
          </cell>
          <cell r="J86">
            <v>1.4655903959446728</v>
          </cell>
          <cell r="K86">
            <v>1.4655894120813804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  <cell r="I87">
            <v>9.7439903872584228</v>
          </cell>
          <cell r="J87">
            <v>4.9742558950242186</v>
          </cell>
          <cell r="K87">
            <v>3.0216164949322177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  <cell r="I88">
            <v>3.7640277682069964E-5</v>
          </cell>
          <cell r="J88">
            <v>5.160593117892511E-5</v>
          </cell>
          <cell r="K88">
            <v>2.0808578898887724E-5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  <cell r="I89">
            <v>1.9597977093119647E-4</v>
          </cell>
          <cell r="J89">
            <v>2.2054014055091828</v>
          </cell>
          <cell r="K89">
            <v>5.6481035063835421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  <cell r="I90">
            <v>2.8464613369912709E-5</v>
          </cell>
          <cell r="J90">
            <v>2.3728785396382628E-5</v>
          </cell>
          <cell r="K90">
            <v>2.085929156814217E-5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  <cell r="I91">
            <v>3.5339829128265958E-5</v>
          </cell>
          <cell r="J91">
            <v>2.9566141349831699E-5</v>
          </cell>
          <cell r="K91">
            <v>2.0906189408538685E-5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  <cell r="I92">
            <v>9.4535050750947622E-5</v>
          </cell>
          <cell r="J92">
            <v>2.205296504651256</v>
          </cell>
          <cell r="K92">
            <v>5.6480409323236556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  <cell r="I93">
            <v>3.9734575771342201E-5</v>
          </cell>
          <cell r="J93">
            <v>5.6198904601840876E-5</v>
          </cell>
          <cell r="K93">
            <v>1.6562217333848108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  <cell r="I94">
            <v>1.9395440718106537E-4</v>
          </cell>
          <cell r="J94">
            <v>2.1833529314027693</v>
          </cell>
          <cell r="K94">
            <v>5.5916613015400589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  <cell r="I95">
            <v>8.7413672848031643E-5</v>
          </cell>
          <cell r="J95">
            <v>1.944925150069915</v>
          </cell>
          <cell r="K95">
            <v>2.254117570111696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  <cell r="I96">
            <v>3.9508773329077026E-5</v>
          </cell>
          <cell r="J96">
            <v>0.23833295785373315</v>
          </cell>
          <cell r="K96">
            <v>1.6812836101346933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  <cell r="I97">
            <v>2.7297385232614244E-5</v>
          </cell>
          <cell r="J97">
            <v>3.8624574517692516E-5</v>
          </cell>
          <cell r="K97">
            <v>3.8387908852966163E-5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  <cell r="I98">
            <v>5.5131804345032167</v>
          </cell>
          <cell r="J98">
            <v>6.9300136939994559</v>
          </cell>
          <cell r="K98">
            <v>7.5453277926652245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  <cell r="I99">
            <v>3.7640277682069964E-5</v>
          </cell>
          <cell r="J99">
            <v>5.160593117892511E-5</v>
          </cell>
          <cell r="K99">
            <v>2.0808578898887724E-5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  <cell r="I100">
            <v>1.9597977093119647E-4</v>
          </cell>
          <cell r="J100">
            <v>2.2054014055091828</v>
          </cell>
          <cell r="K100">
            <v>5.6481035063835421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  <cell r="I101">
            <v>2.8464613369912709E-5</v>
          </cell>
          <cell r="J101">
            <v>2.3728785396382628E-5</v>
          </cell>
          <cell r="K101">
            <v>2.085929156814217E-5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  <cell r="I102">
            <v>3.5339829128265958E-5</v>
          </cell>
          <cell r="J102">
            <v>2.9566141349831699E-5</v>
          </cell>
          <cell r="K102">
            <v>2.0906189408538685E-5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  <cell r="I103">
            <v>9.4535050750947622E-5</v>
          </cell>
          <cell r="J103">
            <v>2.205296504651256</v>
          </cell>
          <cell r="K103">
            <v>5.6480409323236556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0.10803102926521481</v>
          </cell>
          <cell r="K104">
            <v>5.2340007054932781E-2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  <cell r="I105">
            <v>3.7619912770837931E-5</v>
          </cell>
          <cell r="J105">
            <v>2.2811877123240395E-5</v>
          </cell>
          <cell r="K105">
            <v>2.6997303269988447E-5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  <cell r="I106">
            <v>2.4238256647111807E-3</v>
          </cell>
          <cell r="J106">
            <v>1.0072935301364703E-3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  <cell r="I107">
            <v>4.0260456250525876E-3</v>
          </cell>
          <cell r="J107">
            <v>1.9017291425606022E-3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0.329279145869114</v>
          </cell>
          <cell r="J108">
            <v>0.12379769259924382</v>
          </cell>
          <cell r="K108">
            <v>0.16664662276106545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  <cell r="I109">
            <v>3.9734575771342201E-5</v>
          </cell>
          <cell r="J109">
            <v>5.6198904601840876E-5</v>
          </cell>
          <cell r="K109">
            <v>1.6562217333848108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  <cell r="I110">
            <v>1.9395440718106537E-4</v>
          </cell>
          <cell r="J110">
            <v>2.1833529314027693</v>
          </cell>
          <cell r="K110">
            <v>5.5916613015400589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  <cell r="I111">
            <v>8.7413672848031643E-5</v>
          </cell>
          <cell r="J111">
            <v>1.944925150069915</v>
          </cell>
          <cell r="K111">
            <v>2.254117570111696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  <cell r="I112">
            <v>3.9508773329077026E-5</v>
          </cell>
          <cell r="J112">
            <v>0.23833295785373315</v>
          </cell>
          <cell r="K112">
            <v>1.6812836101346933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  <cell r="I113">
            <v>2.7297385232614244E-5</v>
          </cell>
          <cell r="J113">
            <v>3.8624574517692516E-5</v>
          </cell>
          <cell r="K113">
            <v>3.8387908852966163E-5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  <cell r="I114">
            <v>27.651119910301048</v>
          </cell>
          <cell r="J114">
            <v>18.169391514484559</v>
          </cell>
          <cell r="K114">
            <v>6.5077824930332975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  <cell r="I115">
            <v>1.3644301786865551</v>
          </cell>
          <cell r="J115">
            <v>1.2084288449406961</v>
          </cell>
          <cell r="K115">
            <v>0.97699733688425561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  <cell r="I117">
            <v>1.3644301786865551</v>
          </cell>
          <cell r="J117">
            <v>1.2084288449406961</v>
          </cell>
          <cell r="K117">
            <v>0.97699733688425561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  <cell r="I119">
            <v>4.0700105189269413</v>
          </cell>
          <cell r="J119">
            <v>4.0678276135334359</v>
          </cell>
          <cell r="K119">
            <v>8.4798977183813236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  <cell r="I121">
            <v>1.0459838768919019</v>
          </cell>
          <cell r="J121">
            <v>1.0459860104888576</v>
          </cell>
          <cell r="K121">
            <v>1.0459863741375195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  <cell r="I122">
            <v>1.1783040937198641E-3</v>
          </cell>
          <cell r="J122">
            <v>7.655654235554423E-4</v>
          </cell>
          <cell r="K122">
            <v>0.17765987912207903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  <cell r="I123">
            <v>1.1794382208762395E-3</v>
          </cell>
          <cell r="J123">
            <v>7.764854036268979E-4</v>
          </cell>
          <cell r="K123">
            <v>0.37999672787923439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  <cell r="I124">
            <v>3.0216795484232315</v>
          </cell>
          <cell r="J124">
            <v>3.0203108633473725</v>
          </cell>
          <cell r="K124">
            <v>6.8762795426341627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0.10012075375080459</v>
          </cell>
          <cell r="K125">
            <v>0.11867760941295262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  <cell r="I126">
            <v>7.5489532579387584</v>
          </cell>
          <cell r="J126">
            <v>8.4077922608648503</v>
          </cell>
          <cell r="K126">
            <v>9.8445452288198041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  <cell r="I127">
            <v>2.1331817951298824</v>
          </cell>
          <cell r="J127">
            <v>2.1346069879929574</v>
          </cell>
          <cell r="K127">
            <v>2.1343528724686909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  <cell r="I128">
            <v>4.3847690601567733</v>
          </cell>
          <cell r="J128">
            <v>5.9310556527778155</v>
          </cell>
          <cell r="K128">
            <v>7.7554595964000024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  <cell r="I129">
            <v>1.4655921303203623</v>
          </cell>
          <cell r="J129">
            <v>1.4655903959446728</v>
          </cell>
          <cell r="K129">
            <v>1.4655894120813804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  <cell r="I130">
            <v>6.9022802336235838</v>
          </cell>
          <cell r="J130">
            <v>8.7697138356577558</v>
          </cell>
          <cell r="K130">
            <v>8.7697161505272625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  <cell r="I131">
            <v>4.8202037946265071</v>
          </cell>
          <cell r="J131">
            <v>3.3886959878866847</v>
          </cell>
          <cell r="K131">
            <v>6.746335435768783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  <cell r="I132">
            <v>2.9930691914410996</v>
          </cell>
          <cell r="J132">
            <v>2.9497944517210204</v>
          </cell>
          <cell r="K132">
            <v>2.8714346448432329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  <cell r="I133">
            <v>16.819400549030199</v>
          </cell>
          <cell r="J133">
            <v>28.252936227205002</v>
          </cell>
          <cell r="K133">
            <v>55.730433899128798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  <cell r="I134">
            <v>6.9022802336235838</v>
          </cell>
          <cell r="J134">
            <v>8.7697138356577558</v>
          </cell>
          <cell r="K134">
            <v>8.7697161505272625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  <cell r="I135">
            <v>1.1461213500967076</v>
          </cell>
          <cell r="J135">
            <v>1.0150802297501851</v>
          </cell>
          <cell r="K135">
            <v>0.82067776298277406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  <cell r="I136">
            <v>8.5644849484165597</v>
          </cell>
          <cell r="J136">
            <v>2.7458251767768371</v>
          </cell>
          <cell r="K136">
            <v>0.17470365584131678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  <cell r="I137">
            <v>2.2955106006614416</v>
          </cell>
          <cell r="J137">
            <v>4.4117773816206203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  <cell r="I139">
            <v>2.2955106006614416</v>
          </cell>
          <cell r="J139">
            <v>4.4117773816206203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  <cell r="I140">
            <v>28.661841759466057</v>
          </cell>
          <cell r="J140">
            <v>15.523761523330657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  <cell r="I141">
            <v>13.307936601770178</v>
          </cell>
          <cell r="J141">
            <v>3.6690730884967291</v>
          </cell>
          <cell r="K141">
            <v>0.37366034530108222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I142">
            <v>9.2744974037003798E-8</v>
          </cell>
          <cell r="J142">
            <v>3.6364056727057386E-7</v>
          </cell>
          <cell r="K142">
            <v>6.5870783759859457E-7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  <cell r="I143">
            <v>4.8202037946265071</v>
          </cell>
          <cell r="J143">
            <v>3.3886959878866847</v>
          </cell>
          <cell r="K143">
            <v>6.746335435768783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  <cell r="I144">
            <v>4.8202037946265071</v>
          </cell>
          <cell r="J144">
            <v>3.3886959878866847</v>
          </cell>
          <cell r="K144">
            <v>6.746335435768783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  <cell r="I145">
            <v>2.4275122042286602E-3</v>
          </cell>
          <cell r="J145">
            <v>1.0095913541342426E-3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  <cell r="I146">
            <v>4.0276129375689087E-3</v>
          </cell>
          <cell r="J146">
            <v>1.9031200743401698E-3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4.3810456761613953E-5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  <cell r="I149">
            <v>1.6600493534163598E-3</v>
          </cell>
          <cell r="J149">
            <v>4.7354664005578304E-4</v>
          </cell>
          <cell r="K149">
            <v>9.9249628549401715E-4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0.32928174301946606</v>
          </cell>
          <cell r="J150">
            <v>0.12379825519277605</v>
          </cell>
          <cell r="K150">
            <v>0.16664662276101208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6.8408568298780769E-5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I152">
            <v>9.2744974037003798E-8</v>
          </cell>
          <cell r="J152">
            <v>3.6364056727057386E-7</v>
          </cell>
          <cell r="K152">
            <v>6.5870783759859457E-7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  <cell r="I153">
            <v>1.1939890599610901</v>
          </cell>
          <cell r="J153">
            <v>1.78699477820999</v>
          </cell>
          <cell r="K153">
            <v>1.69077919202133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  <cell r="I154">
            <v>16.819400549030199</v>
          </cell>
          <cell r="J154">
            <v>28.252936227205002</v>
          </cell>
          <cell r="K154">
            <v>55.730433899128798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  <cell r="I155">
            <v>16.819400549030199</v>
          </cell>
          <cell r="J155">
            <v>28.252936227205002</v>
          </cell>
          <cell r="K155">
            <v>55.730433899128798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  <cell r="I156">
            <v>9.8449650616128892</v>
          </cell>
          <cell r="J156">
            <v>12.375024453570473</v>
          </cell>
          <cell r="K156">
            <v>13.473813994046031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  <cell r="I157">
            <v>9.8449650616128892</v>
          </cell>
          <cell r="J157">
            <v>12.375024453570473</v>
          </cell>
          <cell r="K157">
            <v>13.473799629759322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1.4364286705434166E-5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  <cell r="I161">
            <v>2.9930691914410996</v>
          </cell>
          <cell r="J161">
            <v>2.9497944517210204</v>
          </cell>
          <cell r="K161">
            <v>2.8714346448432329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  <cell r="I162">
            <v>11.848137170614045</v>
          </cell>
          <cell r="J162">
            <v>3.9900494268276065</v>
          </cell>
          <cell r="K162">
            <v>6.126002794623826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  <cell r="I163">
            <v>12.979885916078681</v>
          </cell>
          <cell r="J163">
            <v>14.599611199207066</v>
          </cell>
          <cell r="K163">
            <v>17.096515385782169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I164">
            <v>9.2744974037003706E-8</v>
          </cell>
          <cell r="J164">
            <v>3.6364056727057402E-7</v>
          </cell>
          <cell r="K164">
            <v>6.58707837598595E-7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  <cell r="H8">
            <v>9.1315746125292502E-2</v>
          </cell>
          <cell r="I8">
            <v>8.8483483886878697E-2</v>
          </cell>
          <cell r="J8">
            <v>7.6498341439393713E-2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  <cell r="H9">
            <v>1.8678987161946183E-4</v>
          </cell>
          <cell r="I9">
            <v>1.8575664128172336E-4</v>
          </cell>
          <cell r="J9">
            <v>1.745179045926367E-4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  <cell r="H10">
            <v>1.6190735128597945E-3</v>
          </cell>
          <cell r="I10">
            <v>1.5688560972850838E-3</v>
          </cell>
          <cell r="J10">
            <v>1.3563535716204574E-3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  <cell r="H11">
            <v>3.1052827252405401E-6</v>
          </cell>
          <cell r="I11">
            <v>1.75844032621147E-6</v>
          </cell>
          <cell r="J11">
            <v>3.5535521603608702E-6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  <cell r="H12">
            <v>3.8443290915119996E-6</v>
          </cell>
          <cell r="I12">
            <v>3.8599721016168448E-6</v>
          </cell>
          <cell r="J12">
            <v>3.8621384552638797E-6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  <cell r="H13">
            <v>2.6103096557301385E-3</v>
          </cell>
          <cell r="I13">
            <v>1.8907054435816754E-3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  <cell r="H14">
            <v>2.6103096557301385E-3</v>
          </cell>
          <cell r="I14">
            <v>1.8907054435816754E-3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  <cell r="H15">
            <v>1.99644234299844E-4</v>
          </cell>
          <cell r="I15">
            <v>6.1148236201483304E-5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  <cell r="H16">
            <v>3.8531758084694155E-4</v>
          </cell>
          <cell r="I16">
            <v>2.7767844644739235E-4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  <cell r="H17">
            <v>6.3760035528707829E-4</v>
          </cell>
          <cell r="I17">
            <v>7.9675331127969362E-4</v>
          </cell>
          <cell r="J17">
            <v>2.4466843818175934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  <cell r="H18">
            <v>2.1093951242954325E-3</v>
          </cell>
          <cell r="I18">
            <v>2.5500624196425768E-3</v>
          </cell>
          <cell r="J18">
            <v>7.208566644193934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  <cell r="H19">
            <v>1.00153640937748E-5</v>
          </cell>
          <cell r="I19">
            <v>1.1158760975077599E-5</v>
          </cell>
          <cell r="J19">
            <v>4.6026777578039101E-2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  <cell r="H20">
            <v>1.28315934187926E-5</v>
          </cell>
          <cell r="I20">
            <v>1.7990386922234604E-5</v>
          </cell>
          <cell r="J20">
            <v>4.6028735813785603E-2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  <cell r="H21">
            <v>1.6772132128139709E-2</v>
          </cell>
          <cell r="I21">
            <v>5.7413257887908133E-3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  <cell r="H22">
            <v>1.6772132128139709E-2</v>
          </cell>
          <cell r="I22">
            <v>5.7413257887908133E-3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  <cell r="H23">
            <v>5.6442120277512705E-4</v>
          </cell>
          <cell r="I23">
            <v>1.55483706426334E-5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  <cell r="H24">
            <v>1.6746479654034759E-3</v>
          </cell>
          <cell r="I24">
            <v>5.6049825470908161E-4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  <cell r="H25">
            <v>48.845477782913612</v>
          </cell>
          <cell r="I25">
            <v>57.307911745878023</v>
          </cell>
          <cell r="J25">
            <v>74.295545522008908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2.38163784196649E-4</v>
          </cell>
          <cell r="I26">
            <v>0.18231684455271799</v>
          </cell>
          <cell r="J26">
            <v>0.55939714023242604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  <cell r="H27">
            <v>18.414173579187914</v>
          </cell>
          <cell r="I27">
            <v>17.538719573577776</v>
          </cell>
          <cell r="J27">
            <v>39.060474791685628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  <cell r="H28">
            <v>5.1466951143995833E-3</v>
          </cell>
          <cell r="I28">
            <v>3.3512864426071209E-3</v>
          </cell>
          <cell r="J28">
            <v>2.0646787952597525E-3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  <cell r="H29">
            <v>2.1535890677192349E-2</v>
          </cell>
          <cell r="I29">
            <v>6.3904760239280461E-2</v>
          </cell>
          <cell r="J29">
            <v>0.17412350915887068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  <cell r="H30">
            <v>30.40487940225432</v>
          </cell>
          <cell r="I30">
            <v>39.884271832113406</v>
          </cell>
          <cell r="J30">
            <v>35.618313497541187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  <cell r="H31">
            <v>0.52168698808028569</v>
          </cell>
          <cell r="I31">
            <v>5.5594289205478771E-2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  <cell r="H32">
            <v>0.52168698808028569</v>
          </cell>
          <cell r="I32">
            <v>5.5594289205478771E-2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  <cell r="H33">
            <v>3.2493071938406102E-4</v>
          </cell>
          <cell r="I33">
            <v>2.5039573001099601E-5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  <cell r="H34">
            <v>3.592275062294966E-2</v>
          </cell>
          <cell r="I34">
            <v>3.8414077273114223E-3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  <cell r="H35">
            <v>2.7561954033648354E-3</v>
          </cell>
          <cell r="I35">
            <v>2.0402730260582775E-3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  <cell r="H36">
            <v>2.7561954033648354E-3</v>
          </cell>
          <cell r="I36">
            <v>2.0402730260582775E-3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  <cell r="H37">
            <v>2.2599107308321901E-4</v>
          </cell>
          <cell r="I37">
            <v>6.3142107808084806E-5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  <cell r="H38">
            <v>4.0749928345655388E-4</v>
          </cell>
          <cell r="I38">
            <v>3.0039662708622662E-4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  <cell r="H39">
            <v>2.702404038177094E-2</v>
          </cell>
          <cell r="I39">
            <v>4.1782059891933756E-3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  <cell r="H40">
            <v>2.702404038177094E-2</v>
          </cell>
          <cell r="I40">
            <v>4.1782059891933756E-3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  <cell r="H41">
            <v>2.4658116438513501E-4</v>
          </cell>
          <cell r="I41">
            <v>2.5919836603177699E-5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  <cell r="H42">
            <v>2.5325785542980607E-3</v>
          </cell>
          <cell r="I42">
            <v>3.5359203973635289E-4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  <cell r="H43">
            <v>1.2202989921169924E-2</v>
          </cell>
          <cell r="I43">
            <v>9.2632654137570266E-3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  <cell r="H44">
            <v>1.2202989921169924E-2</v>
          </cell>
          <cell r="I44">
            <v>9.2632654137570266E-3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  <cell r="H45">
            <v>9.7850368912602895E-4</v>
          </cell>
          <cell r="I45">
            <v>1.48749119195152E-5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  <cell r="H46">
            <v>1.2152432836313263E-3</v>
          </cell>
          <cell r="I46">
            <v>9.261192249596466E-4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  <cell r="H49">
            <v>1.3344276405316899E-4</v>
          </cell>
          <cell r="I49">
            <v>1.3344279114685099E-4</v>
          </cell>
          <cell r="J49">
            <v>1.2803435472244001E-3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  <cell r="H50">
            <v>2.4975345220030511E-3</v>
          </cell>
          <cell r="I50">
            <v>2.6309773131499019E-3</v>
          </cell>
          <cell r="J50">
            <v>2.8282853188665198E-3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  <cell r="H51">
            <v>3.1020520734831902</v>
          </cell>
          <cell r="I51">
            <v>1.3197536034972346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  <cell r="H52">
            <v>3.1020520734831902</v>
          </cell>
          <cell r="I52">
            <v>1.3197536034972346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  <cell r="H53">
            <v>5.1849663074099699E-4</v>
          </cell>
          <cell r="I53">
            <v>2.4855077246838702E-5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  <cell r="H54">
            <v>0.21332730592887228</v>
          </cell>
          <cell r="I54">
            <v>9.0763771468857765E-2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  <cell r="H55">
            <v>1.1210850093386519E-2</v>
          </cell>
          <cell r="I55">
            <v>5.214051872081754E-3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  <cell r="H56">
            <v>1.1210850093386519E-2</v>
          </cell>
          <cell r="I56">
            <v>5.214051872081754E-3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  <cell r="H57">
            <v>3.1362243587642599E-4</v>
          </cell>
          <cell r="I57">
            <v>2.5422827518195899E-5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  <cell r="H58">
            <v>9.9704538346910153E-4</v>
          </cell>
          <cell r="I58">
            <v>4.3707192156450123E-4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  <cell r="H59">
            <v>4.5442717182707698E-8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  <cell r="H60">
            <v>6.6961023020830397E-8</v>
          </cell>
          <cell r="I60">
            <v>1.2650057444750702E-8</v>
          </cell>
          <cell r="J60">
            <v>7.9746804692256099E-9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  <cell r="H61">
            <v>1.9484804305338031E-3</v>
          </cell>
          <cell r="I61">
            <v>1.2382777325813546E-3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  <cell r="H62">
            <v>0.19446678631737352</v>
          </cell>
          <cell r="I62">
            <v>0.12000803511895951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  <cell r="H63">
            <v>2.6350513051134651E-3</v>
          </cell>
          <cell r="I63">
            <v>1.6261251371132734E-3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-1.88052022661994E-8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  <cell r="H65">
            <v>1.4169681880466176</v>
          </cell>
          <cell r="I65">
            <v>0.40978569881453786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  <cell r="H66">
            <v>1.1833433479624754E-2</v>
          </cell>
          <cell r="I66">
            <v>3.5352328574032839E-3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  <cell r="H67">
            <v>1.9200110949141154E-2</v>
          </cell>
          <cell r="I67">
            <v>5.5526517454544374E-3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-2.0683744563025599E-8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  <cell r="H69">
            <v>2.8390224948614184E-3</v>
          </cell>
          <cell r="I69">
            <v>3.0867970796642731E-3</v>
          </cell>
          <cell r="J69">
            <v>1.1339493466705273E-3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  <cell r="H70">
            <v>2.8390224948614184E-3</v>
          </cell>
          <cell r="I70">
            <v>3.0867970796642726E-3</v>
          </cell>
          <cell r="J70">
            <v>1.1339493466705269E-3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  <cell r="H71">
            <v>2.8436187412256586E-3</v>
          </cell>
          <cell r="I71">
            <v>3.0876871433867014E-3</v>
          </cell>
          <cell r="J71">
            <v>1.1348207197023705E-3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  <cell r="H72">
            <v>2.8436187412256586E-3</v>
          </cell>
          <cell r="I72">
            <v>3.0876871433867014E-3</v>
          </cell>
          <cell r="J72">
            <v>1.1348207197023705E-3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  <cell r="H73">
            <v>1.88014801905632E-2</v>
          </cell>
          <cell r="I73">
            <v>5.4095263062282099E-3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  <cell r="H74">
            <v>3.9873474689743602E-2</v>
          </cell>
          <cell r="I74">
            <v>3.155667553787668E-2</v>
          </cell>
          <cell r="J74">
            <v>1.1859998192157575E-2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  <cell r="H75">
            <v>42.295850633634728</v>
          </cell>
          <cell r="I75">
            <v>3.5249958869795708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  <cell r="H76">
            <v>0.33120031652058229</v>
          </cell>
          <cell r="I76">
            <v>2.9008421143170992E-2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  <cell r="H77">
            <v>0.57311450723082324</v>
          </cell>
          <cell r="I77">
            <v>4.7764171910292252E-2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-1.6048898832510899E-8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  <cell r="H79">
            <v>6.269658072332711E-3</v>
          </cell>
          <cell r="I79">
            <v>5.0175545154179674E-3</v>
          </cell>
          <cell r="J79">
            <v>3.3411972685658091E-3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  <cell r="H80">
            <v>6.269658072332711E-3</v>
          </cell>
          <cell r="I80">
            <v>5.0175545154179666E-3</v>
          </cell>
          <cell r="J80">
            <v>3.3411972685658087E-3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  <cell r="H81">
            <v>6.2718930206127023E-3</v>
          </cell>
          <cell r="I81">
            <v>5.0188069289059944E-3</v>
          </cell>
          <cell r="J81">
            <v>3.3424954376799127E-3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  <cell r="H82">
            <v>6.2718930206127023E-3</v>
          </cell>
          <cell r="I82">
            <v>5.0188069289059944E-3</v>
          </cell>
          <cell r="J82">
            <v>3.3424954376799127E-3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  <cell r="H83">
            <v>3.5094225147387699E-2</v>
          </cell>
          <cell r="I83">
            <v>2.16646573328272E-2</v>
          </cell>
          <cell r="J83">
            <v>1.21912252158074E-2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  <cell r="H84">
            <v>0.1544029149367413</v>
          </cell>
          <cell r="I84">
            <v>9.4734034672600401E-2</v>
          </cell>
          <cell r="J84">
            <v>4.2713717489246954E-2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  <cell r="H85">
            <v>2.3989758093407052</v>
          </cell>
          <cell r="I85">
            <v>0.30867990293878123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  <cell r="H86">
            <v>1.7770766189146522E-2</v>
          </cell>
          <cell r="I86">
            <v>2.3420911108208145E-3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  <cell r="H87">
            <v>3.2506447281039415E-2</v>
          </cell>
          <cell r="I87">
            <v>4.182654511365601E-3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  <cell r="H88">
            <v>0.91172588960261536</v>
          </cell>
          <cell r="I88">
            <v>0.53920826626766605</v>
          </cell>
          <cell r="J88">
            <v>2.264810744213034E-3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  <cell r="H89">
            <v>0.91172588960261525</v>
          </cell>
          <cell r="I89">
            <v>0.53920826626766605</v>
          </cell>
          <cell r="J89">
            <v>2.2648107442130336E-3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  <cell r="H90">
            <v>0.91181998543433629</v>
          </cell>
          <cell r="I90">
            <v>0.53926263402126151</v>
          </cell>
          <cell r="J90">
            <v>2.2658540858987858E-3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  <cell r="H91">
            <v>0.91181998543433629</v>
          </cell>
          <cell r="I91">
            <v>0.53926263402126151</v>
          </cell>
          <cell r="J91">
            <v>2.2658540858987858E-3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  <cell r="H92">
            <v>7.0456513468028906E-2</v>
          </cell>
          <cell r="I92">
            <v>4.2157172646003901E-3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  <cell r="H93">
            <v>29.918362151232138</v>
          </cell>
          <cell r="I93">
            <v>14.506010620451972</v>
          </cell>
          <cell r="J93">
            <v>3.2733978557883472E-2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  <cell r="H94">
            <v>255.36839642360849</v>
          </cell>
          <cell r="I94">
            <v>174.63994655651715</v>
          </cell>
          <cell r="J94">
            <v>78.967009012641654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  <cell r="H95">
            <v>1.6052589530437338</v>
          </cell>
          <cell r="I95">
            <v>1.0977957401740956</v>
          </cell>
          <cell r="J95">
            <v>0.49639070451909989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  <cell r="H96">
            <v>3.4838798966386024</v>
          </cell>
          <cell r="I96">
            <v>2.3825367879470241</v>
          </cell>
          <cell r="J96">
            <v>1.0773125376895181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  <cell r="H97">
            <v>6.6107986249005504E-2</v>
          </cell>
          <cell r="I97">
            <v>7.3580799710765203E-5</v>
          </cell>
          <cell r="J97">
            <v>3.7772275807205498E-2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  <cell r="H98">
            <v>0.15944230235607143</v>
          </cell>
          <cell r="I98">
            <v>7.8292998400340777E-2</v>
          </cell>
          <cell r="J98">
            <v>4.9410353710141255E-2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  <cell r="I99">
            <v>3.743304335083525E-5</v>
          </cell>
          <cell r="J99">
            <v>3.8195968396964807E-5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  <cell r="I100">
            <v>1.8620623878450924E-4</v>
          </cell>
          <cell r="J100">
            <v>1.7628059720075682E-4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  <cell r="H101">
            <v>3.1948267466189099E-7</v>
          </cell>
          <cell r="I101">
            <v>6.2769227960622496E-7</v>
          </cell>
          <cell r="J101">
            <v>7.1152297431546397E-7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  <cell r="H102">
            <v>2.9778472356378258E-7</v>
          </cell>
          <cell r="I102">
            <v>8.4589457257250504E-7</v>
          </cell>
          <cell r="J102">
            <v>8.2167583649431797E-7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  <cell r="H103">
            <v>1.0994593047058724E-2</v>
          </cell>
          <cell r="I103">
            <v>5.45049774430823E-3</v>
          </cell>
          <cell r="J103">
            <v>1.6267069850277899E-3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  <cell r="H104">
            <v>1.0994593047058724E-2</v>
          </cell>
          <cell r="I104">
            <v>5.45049774430823E-3</v>
          </cell>
          <cell r="J104">
            <v>1.6267069850277895E-3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  <cell r="H105">
            <v>1.0998628817639607E-2</v>
          </cell>
          <cell r="I105">
            <v>5.4514843826260267E-3</v>
          </cell>
          <cell r="J105">
            <v>1.6276865099560307E-3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  <cell r="H106">
            <v>1.0998628817639607E-2</v>
          </cell>
          <cell r="I106">
            <v>5.4514843826260267E-3</v>
          </cell>
          <cell r="J106">
            <v>1.6276865099560307E-3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  <cell r="H107">
            <v>4.7223413931163902E-2</v>
          </cell>
          <cell r="I107">
            <v>4.6229006149849797E-3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  <cell r="H108">
            <v>0.19593890881484108</v>
          </cell>
          <cell r="I108">
            <v>9.3976667092962707E-2</v>
          </cell>
          <cell r="J108">
            <v>2.3269716044069542E-2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  <cell r="H113">
            <v>3.3095646720533362E-2</v>
          </cell>
          <cell r="I113">
            <v>3.3877745972747224E-2</v>
          </cell>
          <cell r="J113">
            <v>3.6423271874565989E-2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  <cell r="H114">
            <v>1.9812968680755778</v>
          </cell>
          <cell r="I114">
            <v>2.0281178536879931</v>
          </cell>
          <cell r="J114">
            <v>2.180507759812703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  <cell r="H115">
            <v>1.3427983175978901E-4</v>
          </cell>
          <cell r="I115">
            <v>7.2181575040144807E-5</v>
          </cell>
          <cell r="J115">
            <v>1.49591923257658E-3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  <cell r="H116">
            <v>3.055391044438918E-3</v>
          </cell>
          <cell r="I116">
            <v>3.127572619479063E-3</v>
          </cell>
          <cell r="J116">
            <v>3.3625388236303401E-3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  <cell r="H121">
            <v>7.4220501111828697E-3</v>
          </cell>
          <cell r="I121">
            <v>4.0511152562820625E-3</v>
          </cell>
          <cell r="J121">
            <v>1.0380187867513901E-3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  <cell r="H122">
            <v>7.9045267038051149E-5</v>
          </cell>
          <cell r="I122">
            <v>4.3429583433221223E-5</v>
          </cell>
          <cell r="J122">
            <v>1.1251774235492842E-5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  <cell r="H123">
            <v>1.3159663317700122E-4</v>
          </cell>
          <cell r="I123">
            <v>7.1828284685852262E-5</v>
          </cell>
          <cell r="J123">
            <v>1.8404588417577933E-5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  <cell r="H124">
            <v>5.8478934053234498E-6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  <cell r="H125">
            <v>1.030784888315147E-5</v>
          </cell>
          <cell r="I125">
            <v>5.7101078284599742E-6</v>
          </cell>
          <cell r="J125">
            <v>1.4598465395799401E-6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  <cell r="H126">
            <v>29.683874967010524</v>
          </cell>
          <cell r="I126">
            <v>36.149759233158008</v>
          </cell>
          <cell r="J126">
            <v>38.7206151055099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  <cell r="H127">
            <v>29.683874967010524</v>
          </cell>
          <cell r="I127">
            <v>36.149759233158008</v>
          </cell>
          <cell r="J127">
            <v>38.7206151055099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  <cell r="H128">
            <v>17.113160648939498</v>
          </cell>
          <cell r="I128">
            <v>12.7693461999113</v>
          </cell>
          <cell r="J128">
            <v>26.432608074261498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  <cell r="H129">
            <v>22.637279266693007</v>
          </cell>
          <cell r="I129">
            <v>32.931699819961999</v>
          </cell>
          <cell r="J129">
            <v>42.938526111593902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  <cell r="H130">
            <v>1.5439260712916559E-2</v>
          </cell>
          <cell r="I130">
            <v>1.0036388962844872E-2</v>
          </cell>
          <cell r="J130">
            <v>2.5836918710837398E-3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  <cell r="H131">
            <v>1.3213602774774538E-4</v>
          </cell>
          <cell r="I131">
            <v>8.6311861662928597E-5</v>
          </cell>
          <cell r="J131">
            <v>2.2416201311611546E-5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  <cell r="H132">
            <v>2.7374575732121555E-4</v>
          </cell>
          <cell r="I132">
            <v>1.7795015891568914E-4</v>
          </cell>
          <cell r="J132">
            <v>4.5810139558222343E-5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  <cell r="H133">
            <v>7.7788232022684307E-6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  <cell r="H134">
            <v>1.1135369278008597E-5</v>
          </cell>
          <cell r="I134">
            <v>7.3701041816895413E-6</v>
          </cell>
          <cell r="J134">
            <v>1.9418767317985399E-6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  <cell r="H135">
            <v>0.74187501024830005</v>
          </cell>
          <cell r="I135">
            <v>0.37565718327608921</v>
          </cell>
          <cell r="J135">
            <v>0.1061686682408786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  <cell r="H136">
            <v>3.4625676419933133E-3</v>
          </cell>
          <cell r="I136">
            <v>1.7533120664878484E-3</v>
          </cell>
          <cell r="J136">
            <v>4.9552308699729803E-4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  <cell r="H137">
            <v>1.0121077902432454E-2</v>
          </cell>
          <cell r="I137">
            <v>5.1249274662495178E-3</v>
          </cell>
          <cell r="J137">
            <v>1.4484129364376343E-3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  <cell r="H138">
            <v>1.0566690245853299E-4</v>
          </cell>
          <cell r="I138">
            <v>2.7559441213658699E-5</v>
          </cell>
          <cell r="J138">
            <v>1.3486756464634999E-5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  <cell r="H139">
            <v>3.1722474891447575E-4</v>
          </cell>
          <cell r="I139">
            <v>1.536954959705722E-4</v>
          </cell>
          <cell r="J139">
            <v>4.5825619001991099E-5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  <cell r="H140">
            <v>2.2614315823414381E-2</v>
          </cell>
          <cell r="I140">
            <v>1.4055878715138866E-2</v>
          </cell>
          <cell r="J140">
            <v>3.6718747338174299E-3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  <cell r="H141">
            <v>1.9004521093342815E-4</v>
          </cell>
          <cell r="I141">
            <v>1.1640391425666947E-4</v>
          </cell>
          <cell r="J141">
            <v>3.0584255567036159E-5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  <cell r="H142">
            <v>4.0096304651443971E-4</v>
          </cell>
          <cell r="I142">
            <v>2.4921770771522722E-4</v>
          </cell>
          <cell r="J142">
            <v>6.5104161947117546E-5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  <cell r="H143">
            <v>9.4987830286254003E-6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  <cell r="H144">
            <v>1.4513357117214991E-5</v>
          </cell>
          <cell r="I144">
            <v>8.8549089951841401E-6</v>
          </cell>
          <cell r="J144">
            <v>2.3712411587284198E-6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  <cell r="H145">
            <v>1.6995694805963711E-2</v>
          </cell>
          <cell r="I145">
            <v>1.2051730999124401E-2</v>
          </cell>
          <cell r="J145">
            <v>3.1335502226925E-3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  <cell r="H146">
            <v>1.419145051249572E-4</v>
          </cell>
          <cell r="I146">
            <v>1.0057609351316106E-4</v>
          </cell>
          <cell r="J146">
            <v>2.6341386328893857E-5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  <cell r="H147">
            <v>3.0134210648871836E-4</v>
          </cell>
          <cell r="I147">
            <v>2.1368317374334135E-4</v>
          </cell>
          <cell r="J147">
            <v>5.5559401111569118E-5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  <cell r="H148">
            <v>9.5955532872410306E-6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  <cell r="H149">
            <v>1.2630666426635575E-5</v>
          </cell>
          <cell r="I149">
            <v>8.9442274935161255E-6</v>
          </cell>
          <cell r="J149">
            <v>2.3953985291493099E-6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  <cell r="H150">
            <v>0.2176831848833492</v>
          </cell>
          <cell r="I150">
            <v>8.118182111703523E-2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  <cell r="H151">
            <v>1.7343655311408222E-3</v>
          </cell>
          <cell r="I151">
            <v>6.6448198836862606E-4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  <cell r="H152">
            <v>2.9496366515358971E-3</v>
          </cell>
          <cell r="I152">
            <v>1.1000246763825908E-3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  <cell r="H154">
            <v>2.56656639518763E-4</v>
          </cell>
          <cell r="I154">
            <v>9.7514283540333399E-5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  <cell r="H155">
            <v>3.1140487340042711E-2</v>
          </cell>
          <cell r="I155">
            <v>3.2006602244411902E-2</v>
          </cell>
          <cell r="J155">
            <v>3.3071687199031086E-2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  <cell r="H156">
            <v>0.45958965891661224</v>
          </cell>
          <cell r="I156">
            <v>0.47237229295618205</v>
          </cell>
          <cell r="J156">
            <v>0.48809144422268164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  <cell r="H157">
            <v>0.22930711062447751</v>
          </cell>
          <cell r="I157">
            <v>8.4348605983124034E-2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  <cell r="H158">
            <v>1.4779035968188223E-3</v>
          </cell>
          <cell r="I158">
            <v>5.5923884370636648E-4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  <cell r="H159">
            <v>3.1071424203858691E-3</v>
          </cell>
          <cell r="I159">
            <v>1.1429350404217353E-3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  <cell r="H161">
            <v>1.3902565490479701E-4</v>
          </cell>
          <cell r="I161">
            <v>5.2149828392828799E-5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  <cell r="H162">
            <v>0.16720524692026312</v>
          </cell>
          <cell r="I162">
            <v>6.190020528176806E-2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  <cell r="H163">
            <v>1.4219094958038262E-3</v>
          </cell>
          <cell r="I163">
            <v>5.3881081840616036E-4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  <cell r="H164">
            <v>2.281108416374673E-3</v>
          </cell>
          <cell r="I164">
            <v>8.4447756182493981E-4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  <cell r="H166">
            <v>2.09303810105621E-4</v>
          </cell>
          <cell r="I166">
            <v>7.8321391242537606E-5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  <cell r="H167">
            <v>0.27565861140574272</v>
          </cell>
          <cell r="I167">
            <v>9.7539459780429411E-2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  <cell r="H168">
            <v>1.6490620633273741E-3</v>
          </cell>
          <cell r="I168">
            <v>6.0193087336844677E-4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  <cell r="H169">
            <v>3.7352115366631757E-3</v>
          </cell>
          <cell r="I169">
            <v>1.3216728967537844E-3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  <cell r="H171">
            <v>1.27613702565002E-4</v>
          </cell>
          <cell r="I171">
            <v>4.5998216135067101E-5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  <cell r="H172">
            <v>0.21608157866237648</v>
          </cell>
          <cell r="I172">
            <v>8.5945546906157369E-2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  <cell r="H173">
            <v>1.4929130412397156E-3</v>
          </cell>
          <cell r="I173">
            <v>6.0692718040627493E-4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  <cell r="H174">
            <v>2.947906939459437E-3</v>
          </cell>
          <cell r="I174">
            <v>1.1725176931262936E-3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  <cell r="H176">
            <v>1.39252834561899E-4</v>
          </cell>
          <cell r="I176">
            <v>5.4083525828002597E-5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  <cell r="H177">
            <v>0.40218814404924552</v>
          </cell>
          <cell r="I177">
            <v>0.15747362784773339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  <cell r="H178">
            <v>2.4438687141799466E-3</v>
          </cell>
          <cell r="I178">
            <v>9.8258384884607804E-4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  <cell r="H179">
            <v>5.4497038489057584E-3</v>
          </cell>
          <cell r="I179">
            <v>2.1337889952267402E-3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  <cell r="H181">
            <v>2.4244993325909099E-4</v>
          </cell>
          <cell r="I181">
            <v>9.3813326598978904E-5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  <cell r="H182">
            <v>0.2472843905401611</v>
          </cell>
          <cell r="I182">
            <v>9.2978098838720297E-2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  <cell r="H183">
            <v>1.587277192177669E-3</v>
          </cell>
          <cell r="I183">
            <v>6.1108432325901213E-4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  <cell r="H184">
            <v>3.3735933225124345E-3</v>
          </cell>
          <cell r="I184">
            <v>1.2684597385910002E-3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  <cell r="H186">
            <v>1.2099985294503001E-4</v>
          </cell>
          <cell r="I186">
            <v>4.5361846917988398E-5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  <cell r="H187">
            <v>0.14881979214543228</v>
          </cell>
          <cell r="I187">
            <v>3.2009261781148477</v>
          </cell>
          <cell r="J187">
            <v>5.5047038077218753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  <cell r="H188">
            <v>3.8057712595606605E-4</v>
          </cell>
          <cell r="I188">
            <v>8.9215007475976944E-3</v>
          </cell>
          <cell r="J188">
            <v>1.6581067494414747E-2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  <cell r="H189">
            <v>2.0302836581914362E-3</v>
          </cell>
          <cell r="I189">
            <v>4.3668842811935241E-2</v>
          </cell>
          <cell r="J189">
            <v>7.5098278413668146E-2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  <cell r="H190">
            <v>5.5039977298576902E-6</v>
          </cell>
          <cell r="I190">
            <v>1.88040997778309E-4</v>
          </cell>
          <cell r="J190">
            <v>4.0578227390604101E-4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  <cell r="H191">
            <v>9.6813508493854611E-6</v>
          </cell>
          <cell r="I191">
            <v>1.9400323533543296E-4</v>
          </cell>
          <cell r="J191">
            <v>5.0104452117750054E-4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  <cell r="H192">
            <v>0.10355587580632131</v>
          </cell>
          <cell r="I192">
            <v>3.3053565443415367E-2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  <cell r="H193">
            <v>6.2063746214566001E-4</v>
          </cell>
          <cell r="I193">
            <v>2.0481933125127025E-4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  <cell r="H194">
            <v>1.4127677463345362E-3</v>
          </cell>
          <cell r="I194">
            <v>4.5093540850498539E-4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  <cell r="H196">
            <v>5.7643122132722301E-5</v>
          </cell>
          <cell r="I196">
            <v>1.8408821026047401E-5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  <cell r="H197">
            <v>7.0119354753406693</v>
          </cell>
          <cell r="I197">
            <v>2.4269313950057989</v>
          </cell>
          <cell r="J197">
            <v>0.43735266601243394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  <cell r="H198">
            <v>1.260181464098825E-2</v>
          </cell>
          <cell r="I198">
            <v>4.5719381602650931E-3</v>
          </cell>
          <cell r="J198">
            <v>8.6231702506791631E-4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  <cell r="H199">
            <v>9.566078411105948E-2</v>
          </cell>
          <cell r="I199">
            <v>3.3109568826818536E-2</v>
          </cell>
          <cell r="J199">
            <v>5.9666120874820551E-3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  <cell r="H200">
            <v>5.1866154991209402E-5</v>
          </cell>
          <cell r="I200">
            <v>1.59970060128442E-5</v>
          </cell>
          <cell r="J200">
            <v>2.1859295782401199E-6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  <cell r="H201">
            <v>2.7440766093968114E-4</v>
          </cell>
          <cell r="I201">
            <v>9.9455183475232405E-5</v>
          </cell>
          <cell r="J201">
            <v>1.9304036186883138E-5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  <cell r="H205">
            <v>2837.7894322419902</v>
          </cell>
          <cell r="I205">
            <v>2533.6626827466898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  <cell r="H206">
            <v>38.145770553132664</v>
          </cell>
          <cell r="I206">
            <v>34.057676815975981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  <cell r="H207">
            <v>38.714726224310986</v>
          </cell>
          <cell r="I207">
            <v>34.565657336244008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  <cell r="H208">
            <v>9.6884258903874798</v>
          </cell>
          <cell r="I208">
            <v>8.5499291424715604</v>
          </cell>
          <cell r="J208">
            <v>1.8706496140899238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  <cell r="H209">
            <v>1.195376168201033E-2</v>
          </cell>
          <cell r="I209">
            <v>1.1301496948778519E-2</v>
          </cell>
          <cell r="J209">
            <v>2.5241051332680277E-3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  <cell r="H210">
            <v>0.13217497804075684</v>
          </cell>
          <cell r="I210">
            <v>0.11664296238023952</v>
          </cell>
          <cell r="J210">
            <v>2.5520458582400027E-2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  <cell r="H211">
            <v>8.8341438674795802E-5</v>
          </cell>
          <cell r="I211">
            <v>1.573091063907E-4</v>
          </cell>
          <cell r="J211">
            <v>1.10584018267909E-6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  <cell r="H212">
            <v>2.59970925125129E-4</v>
          </cell>
          <cell r="I212">
            <v>2.45650545065495E-4</v>
          </cell>
          <cell r="J212">
            <v>5.4987551427859999E-5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  <cell r="H213">
            <v>2.6200472254356667E-2</v>
          </cell>
          <cell r="I213">
            <v>0.56077314968161729</v>
          </cell>
          <cell r="J213">
            <v>1.397928928618337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  <cell r="H214">
            <v>2.6200472254356667E-2</v>
          </cell>
          <cell r="I214">
            <v>0.56077314968161707</v>
          </cell>
          <cell r="J214">
            <v>1.3979289286183365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  <cell r="H215">
            <v>2.6221728059390725E-2</v>
          </cell>
          <cell r="I215">
            <v>0.56084365237154965</v>
          </cell>
          <cell r="J215">
            <v>1.3980816338522208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  <cell r="H216">
            <v>2.6221728059390725E-2</v>
          </cell>
          <cell r="I216">
            <v>0.56084365237154965</v>
          </cell>
          <cell r="J216">
            <v>1.3980816338522208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  <cell r="H217">
            <v>2.4105284467031599E-2</v>
          </cell>
          <cell r="I217">
            <v>10.8844784375537</v>
          </cell>
          <cell r="J217">
            <v>23.603696234853299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  <cell r="H218">
            <v>8.3878544580466438E-2</v>
          </cell>
          <cell r="I218">
            <v>10.482547416423442</v>
          </cell>
          <cell r="J218">
            <v>25.645559678924794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  <cell r="H219">
            <v>9.9858319058611002E-3</v>
          </cell>
          <cell r="I219">
            <v>1.5089960682548351E-2</v>
          </cell>
          <cell r="J219">
            <v>2.7522339001563468E-3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  <cell r="H220">
            <v>8.5653786100153536E-6</v>
          </cell>
          <cell r="I220">
            <v>1.3448623787311127E-5</v>
          </cell>
          <cell r="J220">
            <v>2.6668483334221179E-6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  <cell r="H221">
            <v>1.3623235887941465E-4</v>
          </cell>
          <cell r="I221">
            <v>2.0586576647405649E-4</v>
          </cell>
          <cell r="J221">
            <v>3.7547529333647293E-5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  <cell r="H222">
            <v>1.9167877063447399E-7</v>
          </cell>
          <cell r="I222">
            <v>2.0068751009823801E-7</v>
          </cell>
          <cell r="J222">
            <v>6.1834539561559596E-8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  <cell r="H223">
            <v>2.2984869688684301E-7</v>
          </cell>
          <cell r="I223">
            <v>3.3160148629323298E-7</v>
          </cell>
          <cell r="J223">
            <v>9.7052917035848094E-8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  <cell r="H228">
            <v>0.21648049367314001</v>
          </cell>
          <cell r="I228">
            <v>7.5821214495925396E-2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  <cell r="H229">
            <v>17.625821029296699</v>
          </cell>
          <cell r="I229">
            <v>6.1733560112206902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  <cell r="H230">
            <v>0.23883226326960277</v>
          </cell>
          <cell r="I230">
            <v>8.3649810450144232E-2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  <cell r="H231">
            <v>1.2699085345011099E-5</v>
          </cell>
          <cell r="I231">
            <v>4.3299317751725302E-5</v>
          </cell>
          <cell r="J231">
            <v>2.6126212735017198E-6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  <cell r="H232">
            <v>0.21652528201115651</v>
          </cell>
          <cell r="I232">
            <v>7.5816425343167959E-2</v>
          </cell>
          <cell r="J232">
            <v>9.8325179265373004E-6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  <cell r="H233">
            <v>8.94727471130326</v>
          </cell>
          <cell r="I233">
            <v>10.800647422600717</v>
          </cell>
          <cell r="J233">
            <v>10.687252610638328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  <cell r="H234">
            <v>8.94727471130326</v>
          </cell>
          <cell r="I234">
            <v>10.800647422600715</v>
          </cell>
          <cell r="J234">
            <v>10.687252610638325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  <cell r="H235">
            <v>8.948186283576959</v>
          </cell>
          <cell r="I235">
            <v>10.801742651730152</v>
          </cell>
          <cell r="J235">
            <v>10.688332884028867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  <cell r="H236">
            <v>8.948186283576959</v>
          </cell>
          <cell r="I236">
            <v>10.801742651730152</v>
          </cell>
          <cell r="J236">
            <v>10.688332884028867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  <cell r="H237">
            <v>122.44718996822201</v>
          </cell>
          <cell r="I237">
            <v>115.88919378588901</v>
          </cell>
          <cell r="J237">
            <v>171.850756355474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  <cell r="H238">
            <v>154.74108756859479</v>
          </cell>
          <cell r="I238">
            <v>228.20643564016245</v>
          </cell>
          <cell r="J238">
            <v>227.20023088893376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  <cell r="H239">
            <v>68.374295290095944</v>
          </cell>
          <cell r="I239">
            <v>38.339349082198012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  <cell r="H240">
            <v>1.8747415653383031</v>
          </cell>
          <cell r="I240">
            <v>1.0598860199173887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  <cell r="H241">
            <v>0.92648096599045993</v>
          </cell>
          <cell r="I241">
            <v>0.51950337509753464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  <cell r="H242">
            <v>0.43320324526179399</v>
          </cell>
          <cell r="I242">
            <v>2.17207660358304E-4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  <cell r="H243">
            <v>0.75977298312654062</v>
          </cell>
          <cell r="I243">
            <v>0.48085605743625731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  <cell r="H244">
            <v>12.9769852431619</v>
          </cell>
          <cell r="I244">
            <v>13.1202246021695</v>
          </cell>
          <cell r="J244">
            <v>2.0184340867756601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  <cell r="H245">
            <v>962.50339474934503</v>
          </cell>
          <cell r="I245">
            <v>973.12746241399395</v>
          </cell>
          <cell r="J245">
            <v>149.70731831748799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  <cell r="H246">
            <v>13.131014935188878</v>
          </cell>
          <cell r="I246">
            <v>13.275954466766644</v>
          </cell>
          <cell r="J246">
            <v>2.0423917915073284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  <cell r="H247">
            <v>4.1874787466001402E-5</v>
          </cell>
          <cell r="I247">
            <v>8.5792284058298804</v>
          </cell>
          <cell r="J247">
            <v>4.7665889232140799E-6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  <cell r="H248">
            <v>12.977000741746604</v>
          </cell>
          <cell r="I248">
            <v>13.1202174234285</v>
          </cell>
          <cell r="J248">
            <v>2.018412155812829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  <cell r="H249">
            <v>10.375552906606002</v>
          </cell>
          <cell r="I249">
            <v>12.167955195148112</v>
          </cell>
          <cell r="J249">
            <v>11.057776162922488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  <cell r="H250">
            <v>10.375552906605998</v>
          </cell>
          <cell r="I250">
            <v>12.167955195148112</v>
          </cell>
          <cell r="J250">
            <v>11.057776162922487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  <cell r="H251">
            <v>10.376607070798052</v>
          </cell>
          <cell r="I251">
            <v>12.169187209104905</v>
          </cell>
          <cell r="J251">
            <v>11.058893475856639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  <cell r="H252">
            <v>10.376607070798052</v>
          </cell>
          <cell r="I252">
            <v>12.169187209104905</v>
          </cell>
          <cell r="J252">
            <v>11.058893475856639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  <cell r="H253">
            <v>118.496730328943</v>
          </cell>
          <cell r="I253">
            <v>63.823133876172001</v>
          </cell>
          <cell r="J253">
            <v>124.52363695475501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  <cell r="H254">
            <v>152.12151092156756</v>
          </cell>
          <cell r="I254">
            <v>174.11304596279891</v>
          </cell>
          <cell r="J254">
            <v>166.08846867272948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  <cell r="H255">
            <v>0.79434520495675554</v>
          </cell>
          <cell r="I255">
            <v>4.9605810179749646E-2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  <cell r="H256">
            <v>1.1972322293264484E-2</v>
          </cell>
          <cell r="I256">
            <v>7.8962083178408886E-4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  <cell r="H257">
            <v>1.0763485162015671E-2</v>
          </cell>
          <cell r="I257">
            <v>6.7216544959010382E-4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  <cell r="H258">
            <v>1.4657964198283799E-4</v>
          </cell>
          <cell r="I258">
            <v>6.2968027729804602E-5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  <cell r="H259">
            <v>5.4971609785865105E-3</v>
          </cell>
          <cell r="I259">
            <v>3.1502831939356695E-4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  <cell r="H260">
            <v>9.4001139914598948</v>
          </cell>
          <cell r="I260">
            <v>12.064055433557924</v>
          </cell>
          <cell r="J260">
            <v>15.565452291571285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  <cell r="H261">
            <v>9.4001139914598948</v>
          </cell>
          <cell r="I261">
            <v>12.064055433557924</v>
          </cell>
          <cell r="J261">
            <v>15.565452291571281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  <cell r="H262">
            <v>9.4010705449306116</v>
          </cell>
          <cell r="I262">
            <v>12.065275397163358</v>
          </cell>
          <cell r="J262">
            <v>15.567020444528636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  <cell r="H263">
            <v>9.4010705449306116</v>
          </cell>
          <cell r="I263">
            <v>12.065275397163358</v>
          </cell>
          <cell r="J263">
            <v>15.567020444528636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  <cell r="H264">
            <v>120.160534854714</v>
          </cell>
          <cell r="I264">
            <v>90.422611399007096</v>
          </cell>
          <cell r="J264">
            <v>288.94849927897002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  <cell r="H265">
            <v>149.70643824507491</v>
          </cell>
          <cell r="I265">
            <v>187.31723537427683</v>
          </cell>
          <cell r="J265">
            <v>319.15022970587546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  <cell r="H266">
            <v>1.0455657470144994</v>
          </cell>
          <cell r="I266">
            <v>0.46976061309668588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  <cell r="H267">
            <v>1.0381155654307726E-2</v>
          </cell>
          <cell r="I267">
            <v>4.682417467732982E-3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  <cell r="H268">
            <v>1.4167557547621947E-2</v>
          </cell>
          <cell r="I268">
            <v>6.3653199606597049E-3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  <cell r="H269">
            <v>4.9883309705147897E-5</v>
          </cell>
          <cell r="I269">
            <v>2.5504405166962499E-5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  <cell r="H270">
            <v>4.7141264948355327E-3</v>
          </cell>
          <cell r="I270">
            <v>2.108865108311278E-3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  <cell r="H275">
            <v>3.8404828448512327</v>
          </cell>
          <cell r="I275">
            <v>3.8054006316516205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  <cell r="H276">
            <v>3.5254107608887732E-2</v>
          </cell>
          <cell r="I276">
            <v>3.4935257266360348E-2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  <cell r="H277">
            <v>5.2039062938363669E-2</v>
          </cell>
          <cell r="I277">
            <v>5.156369419582145E-2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  <cell r="H278">
            <v>2.3412501234600001E-5</v>
          </cell>
          <cell r="I278">
            <v>1.1855773576053499E-5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  <cell r="H279">
            <v>1.671104541738648E-2</v>
          </cell>
          <cell r="I279">
            <v>1.661293160986543E-2</v>
          </cell>
          <cell r="J279">
            <v>3.4694469519536142E-18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  <cell r="H284">
            <v>6.6405296808617464E-4</v>
          </cell>
          <cell r="I284">
            <v>6.572034364623929E-4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  <cell r="H285">
            <v>3.5608681321911849E-4</v>
          </cell>
          <cell r="I285">
            <v>3.4403040116076135E-4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  <cell r="H286">
            <v>4.9408975821161015E-3</v>
          </cell>
          <cell r="I286">
            <v>2.2108065507917773E-3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  <cell r="H287">
            <v>3.189376412889763E-3</v>
          </cell>
          <cell r="I287">
            <v>1.3914529554259418E-3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  <cell r="H288">
            <v>7.0188505922647644E-4</v>
          </cell>
          <cell r="I288">
            <v>7.0661564660466864E-4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  <cell r="H289">
            <v>3.7636497345967904E-4</v>
          </cell>
          <cell r="I289">
            <v>3.6984030614789016E-4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  <cell r="H292">
            <v>0.19048886569631079</v>
          </cell>
          <cell r="I292">
            <v>2.6590295917590989E-2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  <cell r="H293">
            <v>0.12975542312276669</v>
          </cell>
          <cell r="I293">
            <v>1.7412720226708197E-2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  <cell r="H294">
            <v>3.5938856731785249E-3</v>
          </cell>
          <cell r="I294">
            <v>3.338986315764454E-3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  <cell r="H295">
            <v>2.3253360135796646E-3</v>
          </cell>
          <cell r="I295">
            <v>2.0934891169701337E-3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  <cell r="H300">
            <v>9.2557093093314589E-3</v>
          </cell>
          <cell r="I300">
            <v>1.840300239799696E-3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  <cell r="H301">
            <v>6.6759484689290416E-3</v>
          </cell>
          <cell r="I301">
            <v>1.3046112110385165E-3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  <cell r="H302">
            <v>1.1326952781478199</v>
          </cell>
          <cell r="I302">
            <v>0.63074609952840244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  <cell r="H303">
            <v>0.77052868425991738</v>
          </cell>
          <cell r="I303">
            <v>0.40977995944382983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  <cell r="H304">
            <v>3.8366204353220963E-3</v>
          </cell>
          <cell r="I304">
            <v>2.2495809024427257E-3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  <cell r="H305">
            <v>2.7880210184305651E-3</v>
          </cell>
          <cell r="I305">
            <v>1.5925738794131661E-3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  <cell r="H306">
            <v>1.0641761573033669E-2</v>
          </cell>
          <cell r="I306">
            <v>9.3402999086242625E-3</v>
          </cell>
          <cell r="J306">
            <v>8.7021792479183759E-3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  <cell r="H307">
            <v>6.0487645879093954E-5</v>
          </cell>
          <cell r="I307">
            <v>5.3090153298401793E-5</v>
          </cell>
          <cell r="J307">
            <v>4.9463083072479834E-5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  <cell r="H308">
            <v>1.8868371583393025E-4</v>
          </cell>
          <cell r="I308">
            <v>1.6560815440823178E-4</v>
          </cell>
          <cell r="J308">
            <v>1.5429395829642524E-4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  <cell r="H309">
            <v>3.00692324432512E-6</v>
          </cell>
          <cell r="I309">
            <v>1.6650272941159701E-6</v>
          </cell>
          <cell r="J309">
            <v>2.7593229204136101E-6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  <cell r="H310">
            <v>4.7687460198103699E-6</v>
          </cell>
          <cell r="I310">
            <v>4.2001182516520706E-6</v>
          </cell>
          <cell r="J310">
            <v>4.0075461628633685E-6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  <cell r="H311">
            <v>2.9142468693817061</v>
          </cell>
          <cell r="I311">
            <v>3.858883483881387</v>
          </cell>
          <cell r="J311">
            <v>4.901348630584013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  <cell r="H312">
            <v>4.2771182091356579</v>
          </cell>
          <cell r="I312">
            <v>5.6635218482172203</v>
          </cell>
          <cell r="J312">
            <v>7.1935043312376292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  <cell r="H313">
            <v>0.17786198731203201</v>
          </cell>
          <cell r="I313">
            <v>0.19316237720957399</v>
          </cell>
          <cell r="J313">
            <v>0.32628226595578003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  <cell r="H314">
            <v>0.25247468762345715</v>
          </cell>
          <cell r="I314">
            <v>0.3840713905624859</v>
          </cell>
          <cell r="J314">
            <v>0.45436695320060794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  <cell r="H315">
            <v>6.4420521019837765E-2</v>
          </cell>
          <cell r="I315">
            <v>5.5899002477777834E-2</v>
          </cell>
          <cell r="J315">
            <v>4.6555048801978818E-2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  <cell r="H316">
            <v>0.13790358535805702</v>
          </cell>
          <cell r="I316">
            <v>0.1185210908696421</v>
          </cell>
          <cell r="J316">
            <v>8.8613207693840068E-2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  <cell r="H317">
            <v>1.1815126439166301E-3</v>
          </cell>
          <cell r="I317">
            <v>3.1226454865667798E-5</v>
          </cell>
          <cell r="J317">
            <v>7.9030198419159702E-4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  <cell r="H318">
            <v>1.4032124929065099E-3</v>
          </cell>
          <cell r="I318">
            <v>1.214867963867834E-3</v>
          </cell>
          <cell r="J318">
            <v>1.013266044968684E-3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  <cell r="H319">
            <v>4.4901660163293541E-2</v>
          </cell>
          <cell r="I319">
            <v>5.2970503470824347E-2</v>
          </cell>
          <cell r="J319">
            <v>5.5149092121233527E-2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  <cell r="H320">
            <v>0.13811439040046516</v>
          </cell>
          <cell r="I320">
            <v>0.1503226908153141</v>
          </cell>
          <cell r="J320">
            <v>0.14592502107821104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  <cell r="H321">
            <v>4.8024660047059401E-5</v>
          </cell>
          <cell r="I321">
            <v>9.3892597953726896E-4</v>
          </cell>
          <cell r="J321">
            <v>7.1947924773252902E-4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  <cell r="H322">
            <v>9.7689849566213864E-4</v>
          </cell>
          <cell r="I322">
            <v>1.1511721743615536E-3</v>
          </cell>
          <cell r="J322">
            <v>1.19877793491547E-3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  <cell r="H323">
            <v>3.4468788689198573E-4</v>
          </cell>
          <cell r="I323">
            <v>1.0039846309916275E-3</v>
          </cell>
          <cell r="J323">
            <v>9.4543998022217687E-3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  <cell r="H324">
            <v>1.5403493694213094E-3</v>
          </cell>
          <cell r="I324">
            <v>4.2501122243384284E-3</v>
          </cell>
          <cell r="J324">
            <v>3.6161526007634108E-2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  <cell r="H325">
            <v>5.2455249394042498E-6</v>
          </cell>
          <cell r="I325">
            <v>1.6660243074153101E-5</v>
          </cell>
          <cell r="J325">
            <v>1.99858158520011E-4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  <cell r="H326">
            <v>7.7115637640344516E-6</v>
          </cell>
          <cell r="I326">
            <v>2.1905768013557401E-5</v>
          </cell>
          <cell r="J326">
            <v>2.05564645748834E-4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  <cell r="H327">
            <v>2.7776251443919623E-5</v>
          </cell>
          <cell r="I327">
            <v>4.6505298552823383E-5</v>
          </cell>
          <cell r="J327">
            <v>1.5233944007715361E-5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  <cell r="H328">
            <v>1.8418015106893185E-4</v>
          </cell>
          <cell r="I328">
            <v>2.9560652171066329E-4</v>
          </cell>
          <cell r="J328">
            <v>8.9253455345150333E-5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  <cell r="H329">
            <v>6.3409087543138195E-7</v>
          </cell>
          <cell r="I329">
            <v>7.2159703419196704E-7</v>
          </cell>
          <cell r="J329">
            <v>3.0174427149431602E-7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  <cell r="H330">
            <v>7.5249356834981302E-7</v>
          </cell>
          <cell r="I330">
            <v>1.0634634850978476E-6</v>
          </cell>
          <cell r="J330">
            <v>4.2837635099971002E-7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  <cell r="H331">
            <v>8.8414006861665985E-3</v>
          </cell>
          <cell r="I331">
            <v>0.95492179090519169</v>
          </cell>
          <cell r="J331">
            <v>2.4477308998589935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  <cell r="H332">
            <v>4.8242953892902321E-3</v>
          </cell>
          <cell r="I332">
            <v>0.47899267212466501</v>
          </cell>
          <cell r="J332">
            <v>1.1355301292710691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  <cell r="H333">
            <v>3.2450921647157797E-4</v>
          </cell>
          <cell r="I333">
            <v>0.150699844810881</v>
          </cell>
          <cell r="J333">
            <v>0.34646983666860798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  <cell r="H334">
            <v>1.3258412869218274E-3</v>
          </cell>
          <cell r="I334">
            <v>0.1451127215730077</v>
          </cell>
          <cell r="J334">
            <v>0.37199062673996819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  <cell r="H335">
            <v>0.13243621066455799</v>
          </cell>
          <cell r="I335">
            <v>0.13777023016919199</v>
          </cell>
          <cell r="J335">
            <v>8.7166895647562997E-2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  <cell r="H336">
            <v>2.9723904432020719E-3</v>
          </cell>
          <cell r="I336">
            <v>2.5013162502812436E-3</v>
          </cell>
          <cell r="J336">
            <v>1.7535552454990108E-3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  <cell r="H337">
            <v>2.348159763555983E-3</v>
          </cell>
          <cell r="I337">
            <v>2.4427345774679509E-3</v>
          </cell>
          <cell r="J337">
            <v>1.5455123341766486E-3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  <cell r="H338">
            <v>6.737468838943527E-4</v>
          </cell>
          <cell r="I338">
            <v>1.1663968606329234E-4</v>
          </cell>
          <cell r="J338">
            <v>2.0198615265559834E-4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  <cell r="H339">
            <v>3.7619912770837931E-5</v>
          </cell>
          <cell r="I339">
            <v>2.2811877123240395E-5</v>
          </cell>
          <cell r="J339">
            <v>2.6997303269988447E-5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  <cell r="H340">
            <v>4.6042235887148099E-7</v>
          </cell>
          <cell r="I340">
            <v>4.28134027033374E-7</v>
          </cell>
          <cell r="J340">
            <v>1.00736736339613E-6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  <cell r="H341">
            <v>0.95961931328982797</v>
          </cell>
          <cell r="I341">
            <v>0.95961974142385498</v>
          </cell>
          <cell r="J341">
            <v>0.48125640514516232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  <cell r="H342">
            <v>13.651879356161295</v>
          </cell>
          <cell r="I342">
            <v>16.92061472057598</v>
          </cell>
          <cell r="J342">
            <v>18.048268715483449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  <cell r="H343">
            <v>8.9409485276378451</v>
          </cell>
          <cell r="I343">
            <v>10.761418804088194</v>
          </cell>
          <cell r="J343">
            <v>10.509681961257714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  <cell r="H344">
            <v>0.92669580818975195</v>
          </cell>
          <cell r="I344">
            <v>0.90326560338573503</v>
          </cell>
          <cell r="J344">
            <v>1.4242234186537399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  <cell r="H345">
            <v>1.16539152346757</v>
          </cell>
          <cell r="I345">
            <v>1.7826405306652118</v>
          </cell>
          <cell r="J345">
            <v>1.9036467138510609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  <cell r="H349">
            <v>14.431746603650968</v>
          </cell>
          <cell r="I349">
            <v>17.295114168973186</v>
          </cell>
          <cell r="J349">
            <v>17.078138191703456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  <cell r="H350">
            <v>10.369244112830968</v>
          </cell>
          <cell r="I350">
            <v>12.129027795869716</v>
          </cell>
          <cell r="J350">
            <v>10.880788246823123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  <cell r="H351">
            <v>0.77737967219566895</v>
          </cell>
          <cell r="I351">
            <v>0.43099177125125199</v>
          </cell>
          <cell r="J351">
            <v>0.89313449881584395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  <cell r="H352">
            <v>0.99232477507153827</v>
          </cell>
          <cell r="I352">
            <v>1.1891923129961295</v>
          </cell>
          <cell r="J352">
            <v>1.1742759925408055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  <cell r="H353">
            <v>12.636098596614076</v>
          </cell>
          <cell r="I353">
            <v>16.664933606336373</v>
          </cell>
          <cell r="J353">
            <v>23.576283595445851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  <cell r="H354">
            <v>9.3937576403489906</v>
          </cell>
          <cell r="I354">
            <v>12.025361310737834</v>
          </cell>
          <cell r="J354">
            <v>15.39141820660957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  <cell r="H355">
            <v>0.80356269499136201</v>
          </cell>
          <cell r="I355">
            <v>0.62098562768631504</v>
          </cell>
          <cell r="J355">
            <v>2.0969919286996501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  <cell r="H356">
            <v>0.99510060950530188</v>
          </cell>
          <cell r="I356">
            <v>1.3124077547906476</v>
          </cell>
          <cell r="J356">
            <v>2.3043453489351928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  <cell r="H361">
            <v>2.9020945526900357E-9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  <cell r="I362">
            <v>5.0606814390464646E-6</v>
          </cell>
          <cell r="J362">
            <v>4.5345205396052038E-6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  <cell r="I363">
            <v>9.0978909482091226E-6</v>
          </cell>
          <cell r="J363">
            <v>7.5868397818254397E-6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  <cell r="H364">
            <v>1.91860109995304E-7</v>
          </cell>
          <cell r="I364">
            <v>1.5729321132321099E-7</v>
          </cell>
          <cell r="J364">
            <v>2.9228208172023698E-7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  <cell r="H365">
            <v>4.2200874183882011E-7</v>
          </cell>
          <cell r="I365">
            <v>4.1747070364118229E-7</v>
          </cell>
          <cell r="J365">
            <v>4.0483472834417803E-7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  <cell r="H370">
            <v>2.1892758136320151E-9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  <cell r="H374">
            <v>1.04423461622188E-8</v>
          </cell>
          <cell r="I374">
            <v>1.11673880299889E-8</v>
          </cell>
          <cell r="J374">
            <v>1.0393785624725399E-8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  <cell r="H375">
            <v>1.6667577224980211E-8</v>
          </cell>
          <cell r="I375">
            <v>2.1609734192207701E-8</v>
          </cell>
          <cell r="J375">
            <v>1.7826802885011401E-8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  <cell r="H385">
            <v>-1.7708831515046231E-9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  <cell r="J395">
            <v>-5.4174110039696597E-9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  <cell r="H401">
            <v>16.819400549030199</v>
          </cell>
          <cell r="I401">
            <v>28.252936227205002</v>
          </cell>
          <cell r="J401">
            <v>55.730433899128798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  <cell r="H402">
            <v>16.819400549030199</v>
          </cell>
          <cell r="I402">
            <v>28.252936227205002</v>
          </cell>
          <cell r="J402">
            <v>55.730433899128798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  <cell r="H411">
            <v>4.2783976912362176</v>
          </cell>
          <cell r="I411">
            <v>5.6647503909777956</v>
          </cell>
          <cell r="J411">
            <v>7.1946248963487571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  <cell r="H412">
            <v>4.2783976912362176</v>
          </cell>
          <cell r="I412">
            <v>5.6647503909777956</v>
          </cell>
          <cell r="J412">
            <v>7.1946248963487571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  <cell r="H413">
            <v>0.28663962512456398</v>
          </cell>
          <cell r="I413">
            <v>0.28316365705311197</v>
          </cell>
          <cell r="J413">
            <v>0.56815747981168696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  <cell r="H414">
            <v>0.45222611571379401</v>
          </cell>
          <cell r="I414">
            <v>0.59876183207414202</v>
          </cell>
          <cell r="J414">
            <v>0.76046754868231803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  <cell r="H415">
            <v>3.0989415884682103E-8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  <cell r="H416">
            <v>3.71791444943597E-8</v>
          </cell>
          <cell r="I416">
            <v>9.5489688220787988E-9</v>
          </cell>
          <cell r="J416">
            <v>5.43829033406314E-9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1.6363530275801802E-8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2.8974998660053021E-9</v>
          </cell>
          <cell r="I418">
            <v>-2.899296779781797E-9</v>
          </cell>
          <cell r="J418">
            <v>2.8716136135379602E-9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-2.48752489538928E-8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-1.7043750444341199E-8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  <cell r="H428">
            <v>0.89997401725269299</v>
          </cell>
          <cell r="I428">
            <v>0.81973625732696898</v>
          </cell>
          <cell r="J428">
            <v>1.05087961275495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  <cell r="H429">
            <v>3.4229733589490099</v>
          </cell>
          <cell r="I429">
            <v>2.5505859327962845</v>
          </cell>
          <cell r="J429">
            <v>1.91001400277794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  <cell r="H430">
            <v>40.63332453816362</v>
          </cell>
          <cell r="I430">
            <v>5.5411587484839311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  <cell r="H431">
            <v>0.33006105364083427</v>
          </cell>
          <cell r="I431">
            <v>4.4998677763318347E-2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  <cell r="H432">
            <v>0.55058705336265124</v>
          </cell>
          <cell r="I432">
            <v>7.5083451876476137E-2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  <cell r="H433">
            <v>2.2296047101443201E-4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  <cell r="H434">
            <v>5.0143809794258164E-2</v>
          </cell>
          <cell r="I434">
            <v>6.8302581252081863E-3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  <cell r="H435">
            <v>9.5459499000953033E-2</v>
          </cell>
          <cell r="I435">
            <v>0.35824367449641348</v>
          </cell>
          <cell r="J435">
            <v>0.85742843551034753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  <cell r="H436">
            <v>3.1144518159248362E-3</v>
          </cell>
          <cell r="I436">
            <v>4.5622496957417723E-3</v>
          </cell>
          <cell r="J436">
            <v>1.5051364564127383E-3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  <cell r="H437">
            <v>2.2352983618197137E-3</v>
          </cell>
          <cell r="I437">
            <v>4.8520672989109358E-3</v>
          </cell>
          <cell r="J437">
            <v>1.92504887714705E-3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  <cell r="H438">
            <v>1.9141772670924591E-4</v>
          </cell>
          <cell r="I438">
            <v>5.2058210153656476E-4</v>
          </cell>
          <cell r="J438">
            <v>1.1225587193736879E-3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  <cell r="H439">
            <v>2.9138776844883321E-4</v>
          </cell>
          <cell r="I439">
            <v>5.197081075806999E-4</v>
          </cell>
          <cell r="J439">
            <v>3.8235982467715656E-4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  <cell r="H440">
            <v>2.1372370598795008E-2</v>
          </cell>
          <cell r="I440">
            <v>8.1777692652430733E-2</v>
          </cell>
          <cell r="J440">
            <v>0.26239698024334668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  <cell r="H441">
            <v>6.3176974898763163E-3</v>
          </cell>
          <cell r="I441">
            <v>3.9223825931552526E-2</v>
          </cell>
          <cell r="J441">
            <v>0.17756728736965946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  <cell r="H442">
            <v>6.3005025407679872E-3</v>
          </cell>
          <cell r="I442">
            <v>3.892258701756561E-2</v>
          </cell>
          <cell r="J442">
            <v>0.17698456025693188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  <cell r="H443">
            <v>6.3480521300615135E-3</v>
          </cell>
          <cell r="I443">
            <v>3.8688138551940726E-2</v>
          </cell>
          <cell r="J443">
            <v>0.17403075590427239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  <cell r="H444">
            <v>2.1041242874553947E-3</v>
          </cell>
          <cell r="I444">
            <v>2.3716255011279018E-3</v>
          </cell>
          <cell r="J444">
            <v>1.1339493466705267E-3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  <cell r="H445">
            <v>7.5243575467336034E-4</v>
          </cell>
          <cell r="I445">
            <v>1.5331836603580005E-3</v>
          </cell>
          <cell r="J445">
            <v>3.3411972685658048E-3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  <cell r="H446">
            <v>1.143972558064838E-2</v>
          </cell>
          <cell r="I446">
            <v>0.11201522524502948</v>
          </cell>
          <cell r="J446">
            <v>2.2648107442130344E-3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  <cell r="H447">
            <v>4.7198437751381486E-3</v>
          </cell>
          <cell r="I447">
            <v>1.6975182345469889E-3</v>
          </cell>
          <cell r="J447">
            <v>9.8801955497305983E-4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  <cell r="H448">
            <v>1.528614606143681E-3</v>
          </cell>
          <cell r="I448">
            <v>2.5528070459014326E-3</v>
          </cell>
          <cell r="J448">
            <v>1.626706985027791E-3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  <cell r="H449">
            <v>6.5355790908263401E-3</v>
          </cell>
          <cell r="I449">
            <v>5.6722329458816336E-3</v>
          </cell>
          <cell r="J449">
            <v>3.9416265462468856E-3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  <cell r="H450">
            <v>9.4744122162904714E-3</v>
          </cell>
          <cell r="I450">
            <v>9.3479335828207302E-3</v>
          </cell>
          <cell r="J450">
            <v>6.1487599509283033E-3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  <cell r="H451">
            <v>9.5551433347165343E-3</v>
          </cell>
          <cell r="I451">
            <v>1.0698122518822066E-2</v>
          </cell>
          <cell r="J451">
            <v>9.003238873898145E-3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  <cell r="H452">
            <v>4.1946727327334929E-4</v>
          </cell>
          <cell r="I452">
            <v>3.0368430310379768E-4</v>
          </cell>
          <cell r="J452">
            <v>2.272630063691039E-4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  <cell r="H453">
            <v>3.7141898464984147E-4</v>
          </cell>
          <cell r="I453">
            <v>2.8996968788676361E-4</v>
          </cell>
          <cell r="J453">
            <v>2.0448428238572299E-4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  <cell r="H454">
            <v>1.4615880566981425E-4</v>
          </cell>
          <cell r="I454">
            <v>1.3013301892404812E-4</v>
          </cell>
          <cell r="J454">
            <v>1.0254635305564886E-4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  <cell r="H455">
            <v>3.3067642952105519E-4</v>
          </cell>
          <cell r="I455">
            <v>3.8361768399369333E-4</v>
          </cell>
          <cell r="J455">
            <v>2.7456383588121935E-4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  <cell r="H456">
            <v>8.4906489597702322E-4</v>
          </cell>
          <cell r="I456">
            <v>6.5981414280077814E-4</v>
          </cell>
          <cell r="J456">
            <v>4.0033108135271192E-4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  <cell r="H457">
            <v>1.147729435950209E-3</v>
          </cell>
          <cell r="I457">
            <v>1.6029122320852347E-3</v>
          </cell>
          <cell r="J457">
            <v>3.1928627091500739E-2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  <cell r="H458">
            <v>0.38059688459452401</v>
          </cell>
          <cell r="I458">
            <v>1.33361902325973</v>
          </cell>
          <cell r="J458">
            <v>2.2645849333411698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  <cell r="H459">
            <v>0.3860554811348712</v>
          </cell>
          <cell r="I459">
            <v>1.7179255792101229</v>
          </cell>
          <cell r="J459">
            <v>3.3934157828674962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  <cell r="H460">
            <v>2.95696358177713</v>
          </cell>
          <cell r="I460">
            <v>2.9535223348975199</v>
          </cell>
          <cell r="J460">
            <v>14.128852254950299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  <cell r="H461">
            <v>1.1984169582532889</v>
          </cell>
          <cell r="I461">
            <v>1.1970222678879787</v>
          </cell>
          <cell r="J461">
            <v>5.7262308698477025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  <cell r="H462">
            <v>1.58472024721471E-3</v>
          </cell>
          <cell r="I462">
            <v>4.1109539003455702E-2</v>
          </cell>
          <cell r="J462">
            <v>13.362575368496801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  <cell r="H463">
            <v>2.9569468822894418</v>
          </cell>
          <cell r="I463">
            <v>2.9535065837215351</v>
          </cell>
          <cell r="J463">
            <v>14.128820412429951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  <cell r="H464">
            <v>64.837095260546022</v>
          </cell>
          <cell r="I464">
            <v>9.2580246518745835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  <cell r="H465">
            <v>0.30857327671676821</v>
          </cell>
          <cell r="I465">
            <v>4.4060872734561482E-2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  <cell r="H466">
            <v>0.87855142629466121</v>
          </cell>
          <cell r="I466">
            <v>0.12544748850778539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  <cell r="H467">
            <v>4.8506350153915099E-5</v>
          </cell>
          <cell r="I467">
            <v>6.5376172826209197E-6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  <cell r="H468">
            <v>3.0685343832474829E-2</v>
          </cell>
          <cell r="I468">
            <v>4.3581361365982356E-3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  <cell r="H469">
            <v>13.080348449900496</v>
          </cell>
          <cell r="I469">
            <v>0.63802810903603913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  <cell r="H470">
            <v>0.10607439671583752</v>
          </cell>
          <cell r="I470">
            <v>4.3103903094567188E-3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  <cell r="H471">
            <v>0.1772404939010907</v>
          </cell>
          <cell r="I471">
            <v>8.6453673311116461E-3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  <cell r="H472">
            <v>3.3319121729300302E-4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  <cell r="H473">
            <v>1.109782312278107E-2</v>
          </cell>
          <cell r="I473">
            <v>4.2682351746975103E-4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  <cell r="H474">
            <v>0.22403561721157786</v>
          </cell>
          <cell r="I474">
            <v>8.8538706857642535E-2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  <cell r="H475">
            <v>2.2775108710977291E-3</v>
          </cell>
          <cell r="I475">
            <v>7.9229723147117976E-4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  <cell r="H476">
            <v>3.0564204258059758E-3</v>
          </cell>
          <cell r="I476">
            <v>1.207895045806856E-3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  <cell r="H477">
            <v>7.3359357858825404E-5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  <cell r="H478">
            <v>3.3435451371098936E-4</v>
          </cell>
          <cell r="I478">
            <v>1.1439546269963099E-4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  <cell r="H479">
            <v>124.10355906408745</v>
          </cell>
          <cell r="I479">
            <v>9.7755122280737332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  <cell r="H480">
            <v>0.83457246830186949</v>
          </cell>
          <cell r="I480">
            <v>6.3675966227627875E-2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  <cell r="H481">
            <v>1.6816200415187954</v>
          </cell>
          <cell r="I481">
            <v>0.13245951528555222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  <cell r="H482">
            <v>1.05165742236978E-4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  <cell r="H483">
            <v>5.7482677100541606E-2</v>
          </cell>
          <cell r="I483">
            <v>4.3984345270780198E-3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  <cell r="H484">
            <v>1.7825530534280944</v>
          </cell>
          <cell r="I484">
            <v>0.1300522895613847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  <cell r="H485">
            <v>1.9315108821673314E-2</v>
          </cell>
          <cell r="I485">
            <v>9.3019052368594932E-4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  <cell r="H486">
            <v>2.4318595544721634E-2</v>
          </cell>
          <cell r="I486">
            <v>1.7742467880134342E-3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  <cell r="H487">
            <v>5.7164681299528102E-5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  <cell r="H488">
            <v>1.9558197519590234E-3</v>
          </cell>
          <cell r="I488">
            <v>8.4496532511580105E-5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  <cell r="H489">
            <v>1577.2543840218714</v>
          </cell>
          <cell r="I489">
            <v>996.21070466114691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  <cell r="H490">
            <v>9.6000041831645255</v>
          </cell>
          <cell r="I490">
            <v>6.1567526502218506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  <cell r="H491">
            <v>21.372010623602591</v>
          </cell>
          <cell r="I491">
            <v>13.498790036058901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  <cell r="H492">
            <v>0.40321921602252597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  <cell r="H493">
            <v>1.0796460012415192</v>
          </cell>
          <cell r="I493">
            <v>0.65420004276174792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  <cell r="H494">
            <v>10.366072423874298</v>
          </cell>
          <cell r="I494">
            <v>0.12647355216690193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  <cell r="H495">
            <v>8.3305506216955455E-2</v>
          </cell>
          <cell r="I495">
            <v>8.2581238435902279E-4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  <cell r="H496">
            <v>0.14141981478682544</v>
          </cell>
          <cell r="I496">
            <v>1.7254236311992045E-3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  <cell r="H497">
            <v>3.8043486446475902E-5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  <cell r="H498">
            <v>5.7653157915747147E-3</v>
          </cell>
          <cell r="I498">
            <v>6.2753904804309032E-5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  <cell r="H499">
            <v>5.8357607423118507</v>
          </cell>
          <cell r="I499">
            <v>6.9618205827987903E-2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  <cell r="H500">
            <v>3.1167485988151285E-2</v>
          </cell>
          <cell r="I500">
            <v>4.2259888071289378E-4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  <cell r="H501">
            <v>7.9614744097023862E-2</v>
          </cell>
          <cell r="I501">
            <v>9.4977088442002599E-4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  <cell r="H502">
            <v>2.7045649193361499E-5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  <cell r="H503">
            <v>3.4445294715445716E-3</v>
          </cell>
          <cell r="I503">
            <v>3.8439378804735351E-5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  <cell r="H508">
            <v>1977.3847404948599</v>
          </cell>
          <cell r="I508">
            <v>837.15220183285101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  <cell r="H509">
            <v>28.661841759466057</v>
          </cell>
          <cell r="I509">
            <v>15.523761523330657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  <cell r="H510">
            <v>26.79383117201704</v>
          </cell>
          <cell r="I510">
            <v>11.343525770092832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  <cell r="H511">
            <v>2.2955106006614416</v>
          </cell>
          <cell r="I511">
            <v>4.4117773816206203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  <cell r="H512">
            <v>2.5824753022829803E-2</v>
          </cell>
          <cell r="I512">
            <v>0.85779107287024525</v>
          </cell>
          <cell r="J512">
            <v>1.9042640261893506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  <cell r="H513">
            <v>2.2455260869363876E-3</v>
          </cell>
          <cell r="I513">
            <v>7.3662749828062757E-2</v>
          </cell>
          <cell r="J513">
            <v>0.16045041832606749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  <cell r="H514">
            <v>8.11479182354451E-3</v>
          </cell>
          <cell r="I514">
            <v>0.28717311635909598</v>
          </cell>
          <cell r="J514">
            <v>0.65171893801200498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  <cell r="H515">
            <v>8.9706062707697806E-3</v>
          </cell>
          <cell r="I515">
            <v>0.29539901609667274</v>
          </cell>
          <cell r="J515">
            <v>0.79716158436872186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  <cell r="H516">
            <v>2.824671267264601E-3</v>
          </cell>
          <cell r="I516">
            <v>2.6450551042421031E-3</v>
          </cell>
          <cell r="J516">
            <v>1.6859269979693722E-3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  <cell r="H517">
            <v>4.3687796528849298E-4</v>
          </cell>
          <cell r="I517">
            <v>4.0455774948569719E-4</v>
          </cell>
          <cell r="J517">
            <v>2.5416830497756911E-4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  <cell r="H518">
            <v>5.7063239507041503E-4</v>
          </cell>
          <cell r="I518">
            <v>3.2324210073264402E-4</v>
          </cell>
          <cell r="J518">
            <v>2.6331471136253703E-4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  <cell r="H519">
            <v>1.0599949723380014E-3</v>
          </cell>
          <cell r="I519">
            <v>1.0104181090176557E-3</v>
          </cell>
          <cell r="J519">
            <v>6.6962426184817136E-4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  <cell r="H520">
            <v>1.8853628610568001E-3</v>
          </cell>
          <cell r="I520">
            <v>1.5926245725642364E-3</v>
          </cell>
          <cell r="J520">
            <v>8.7814951712691567E-4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  <cell r="H521">
            <v>4.5349032066298528E-4</v>
          </cell>
          <cell r="I521">
            <v>3.783656589254E-4</v>
          </cell>
          <cell r="J521">
            <v>2.0277808909269736E-4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  <cell r="H522">
            <v>1.37891071976663E-4</v>
          </cell>
          <cell r="I522">
            <v>1.1178201814328E-4</v>
          </cell>
          <cell r="J522">
            <v>9.6836063243374302E-5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  <cell r="H523">
            <v>7.2227821660330129E-4</v>
          </cell>
          <cell r="I523">
            <v>6.1968342428723284E-4</v>
          </cell>
          <cell r="J523">
            <v>3.4799849291887138E-4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  <cell r="H524">
            <v>1.813141799959039E-3</v>
          </cell>
          <cell r="I524">
            <v>2.0739446388283655E-3</v>
          </cell>
          <cell r="J524">
            <v>1.2433268122557877E-3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  <cell r="H525">
            <v>4.7294426906932389E-4</v>
          </cell>
          <cell r="I525">
            <v>5.3758599063220922E-4</v>
          </cell>
          <cell r="J525">
            <v>3.1413823574683871E-4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  <cell r="H526">
            <v>1.3513484236627501E-4</v>
          </cell>
          <cell r="I526">
            <v>1.14462306555206E-4</v>
          </cell>
          <cell r="J526">
            <v>8.7380777040745204E-5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  <cell r="H527">
            <v>6.9373305950783495E-4</v>
          </cell>
          <cell r="I527">
            <v>8.0740855645514067E-4</v>
          </cell>
          <cell r="J527">
            <v>4.9381258263243334E-4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  <cell r="H531">
            <v>0.10905175262994252</v>
          </cell>
          <cell r="I531">
            <v>0.27109990348837254</v>
          </cell>
          <cell r="J531">
            <v>17.236131414423156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  <cell r="H532">
            <v>2.8393135239881408E-4</v>
          </cell>
          <cell r="I532">
            <v>7.4393265658384338E-4</v>
          </cell>
          <cell r="J532">
            <v>5.2866491517373514E-2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  <cell r="H533">
            <v>1.4877456020456008E-3</v>
          </cell>
          <cell r="I533">
            <v>3.6984980012056351E-3</v>
          </cell>
          <cell r="J533">
            <v>0.23514503976020656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  <cell r="H534">
            <v>4.8082918298693202E-6</v>
          </cell>
          <cell r="I534">
            <v>1.01803336466106E-5</v>
          </cell>
          <cell r="J534">
            <v>1.4173934964105701E-3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  <cell r="H535">
            <v>6.3166043578159098E-6</v>
          </cell>
          <cell r="I535">
            <v>1.5167070578211604E-5</v>
          </cell>
          <cell r="J535">
            <v>1.4233406263627066E-3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  <cell r="H536">
            <v>0.106028387317605</v>
          </cell>
          <cell r="I536">
            <v>0.14505682928105712</v>
          </cell>
          <cell r="J536">
            <v>6.5201785125452702E-2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  <cell r="H537">
            <v>1.9610470431927012E-4</v>
          </cell>
          <cell r="I537">
            <v>2.8245135822658514E-4</v>
          </cell>
          <cell r="J537">
            <v>1.3394968317508222E-4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  <cell r="H538">
            <v>1.4464991448513652E-3</v>
          </cell>
          <cell r="I538">
            <v>1.9789471934659902E-3</v>
          </cell>
          <cell r="J538">
            <v>8.8951957879198815E-4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  <cell r="H539">
            <v>2.6803259878921598E-6</v>
          </cell>
          <cell r="I539">
            <v>2.7972294777222601E-6</v>
          </cell>
          <cell r="J539">
            <v>1.1197555266625601E-6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  <cell r="H540">
            <v>4.0458423241964982E-6</v>
          </cell>
          <cell r="I540">
            <v>5.6324376438201802E-6</v>
          </cell>
          <cell r="J540">
            <v>2.9929476595362701E-6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  <cell r="H541">
            <v>40.29737074083306</v>
          </cell>
          <cell r="I541">
            <v>46.331550164608316</v>
          </cell>
          <cell r="J541">
            <v>2.0982620236136817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  <cell r="H542">
            <v>5.1549626998455216E-2</v>
          </cell>
          <cell r="I542">
            <v>5.9683273370542043E-2</v>
          </cell>
          <cell r="J542">
            <v>2.8292936124264243E-3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  <cell r="H543">
            <v>0.54975949168940097</v>
          </cell>
          <cell r="I543">
            <v>0.63208117550625254</v>
          </cell>
          <cell r="J543">
            <v>2.8625675629108952E-2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  <cell r="H544">
            <v>9.7124998992468496E-4</v>
          </cell>
          <cell r="I544">
            <v>1.5440886662689899E-4</v>
          </cell>
          <cell r="J544">
            <v>6.5615274632478903E-7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  <cell r="H545">
            <v>9.7234286474081797E-4</v>
          </cell>
          <cell r="I545">
            <v>1.12565885655158E-3</v>
          </cell>
          <cell r="J545">
            <v>5.3544470251751297E-5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  <cell r="H546">
            <v>92.313839112214367</v>
          </cell>
          <cell r="I546">
            <v>56.59932091517836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  <cell r="H547">
            <v>1.1201257637017406</v>
          </cell>
          <cell r="I547">
            <v>0.6905266361416017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  <cell r="H548">
            <v>1.2508650286207927</v>
          </cell>
          <cell r="I548">
            <v>0.76692846768534351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  <cell r="H549">
            <v>5.6652333335005703E-2</v>
          </cell>
          <cell r="I549">
            <v>6.1378271782428696E-5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  <cell r="H550">
            <v>0.17021446539345264</v>
          </cell>
          <cell r="I550">
            <v>0.10493224394111313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  <cell r="H551">
            <v>9.4373461509647989E-3</v>
          </cell>
          <cell r="I551">
            <v>1.2893260184237469E-2</v>
          </cell>
          <cell r="J551">
            <v>1.8560103291497469E-3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  <cell r="H552">
            <v>8.1132905520658631E-6</v>
          </cell>
          <cell r="I552">
            <v>1.1453635437298884E-5</v>
          </cell>
          <cell r="J552">
            <v>1.7865091551080185E-6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  <cell r="H553">
            <v>1.2874960642516762E-4</v>
          </cell>
          <cell r="I553">
            <v>1.7589713757486315E-4</v>
          </cell>
          <cell r="J553">
            <v>2.5320741188946046E-5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  <cell r="H554">
            <v>1.6600437312213901E-7</v>
          </cell>
          <cell r="I554">
            <v>1.38102461701058E-7</v>
          </cell>
          <cell r="J554">
            <v>3.2986126042198601E-8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  <cell r="H555">
            <v>1.8474555690079599E-7</v>
          </cell>
          <cell r="I555">
            <v>2.5148117588646699E-7</v>
          </cell>
          <cell r="J555">
            <v>5.7221538719028898E-8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  <cell r="H556">
            <v>4.6127461360533799E-2</v>
          </cell>
          <cell r="I556">
            <v>4.7877802387808102E-2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  <cell r="H557">
            <v>2.5505867544895942E-6</v>
          </cell>
          <cell r="I557">
            <v>2.6473706768717826E-6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  <cell r="H558">
            <v>6.2929688077126647E-4</v>
          </cell>
          <cell r="I558">
            <v>6.5317602166177404E-4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  <cell r="H560">
            <v>4.0827751698999278E-7</v>
          </cell>
          <cell r="I560">
            <v>4.0756527010298114E-7</v>
          </cell>
          <cell r="J560">
            <v>8.7053518650300789E-8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  <cell r="H561">
            <v>66.70137041305189</v>
          </cell>
          <cell r="I561">
            <v>17.007579446549673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  <cell r="H562">
            <v>1.3959803544637508</v>
          </cell>
          <cell r="I562">
            <v>0.25338726012091356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  <cell r="H563">
            <v>0.90381260722292511</v>
          </cell>
          <cell r="I563">
            <v>0.23045500605080865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  <cell r="H564">
            <v>1.71405612660557E-3</v>
          </cell>
          <cell r="I564">
            <v>1.7690594701210601E-5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  <cell r="H565">
            <v>0.11536285985854541</v>
          </cell>
          <cell r="I565">
            <v>2.2558020027029065E-2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  <cell r="H566">
            <v>1.54085649105872E-5</v>
          </cell>
          <cell r="I566">
            <v>5.9179089709700399E-5</v>
          </cell>
          <cell r="J566">
            <v>1.0041519648208599E-5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  <cell r="H567">
            <v>2.5272815645703503E-5</v>
          </cell>
          <cell r="I567">
            <v>7.6153061650501897E-5</v>
          </cell>
          <cell r="J567">
            <v>7.16574711398561E-5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  <cell r="H568">
            <v>64.820894410065634</v>
          </cell>
          <cell r="I568">
            <v>53.485752255154793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  <cell r="H569">
            <v>0.85138390866603886</v>
          </cell>
          <cell r="I569">
            <v>0.67433718152554056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  <cell r="H570">
            <v>0.88432325252476962</v>
          </cell>
          <cell r="I570">
            <v>0.72968284113444393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  <cell r="H571">
            <v>0.119844025058933</v>
          </cell>
          <cell r="I571">
            <v>6.3504326710671897E-5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  <cell r="H572">
            <v>0.1293758568663064</v>
          </cell>
          <cell r="I572">
            <v>0.10247215018069557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  <cell r="H573">
            <v>13.46618136414568</v>
          </cell>
          <cell r="I573">
            <v>9.8156778814105741E-2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  <cell r="H574">
            <v>0.46248439681989717</v>
          </cell>
          <cell r="I574">
            <v>9.8468198656549472E-4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  <cell r="H575">
            <v>0.18246858216999517</v>
          </cell>
          <cell r="I575">
            <v>1.3300376533076658E-3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  <cell r="H576">
            <v>3.9272274726017501E-5</v>
          </cell>
          <cell r="I576">
            <v>8.3370290648419706E-6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  <cell r="H577">
            <v>3.1829424376380831E-2</v>
          </cell>
          <cell r="I577">
            <v>7.418086266204626E-5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  <cell r="H578">
            <v>240.84505626024392</v>
          </cell>
          <cell r="I578">
            <v>111.25229044304902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  <cell r="H579">
            <v>3.2733594310116159</v>
          </cell>
          <cell r="I579">
            <v>1.2052018770877468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  <cell r="H580">
            <v>3.2857442873157479</v>
          </cell>
          <cell r="I580">
            <v>1.5177665817605606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  <cell r="H581">
            <v>2.94641747874301E-2</v>
          </cell>
          <cell r="I581">
            <v>1.7550846170205301E-5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  <cell r="H582">
            <v>0.30599842906802638</v>
          </cell>
          <cell r="I582">
            <v>0.12298620529498927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  <cell r="H583">
            <v>0.1410368554445362</v>
          </cell>
          <cell r="I583">
            <v>0.12309897628121019</v>
          </cell>
          <cell r="J583">
            <v>9.0127916018911847E-2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  <cell r="H584">
            <v>0.1410368554445362</v>
          </cell>
          <cell r="I584">
            <v>0.12309897628121019</v>
          </cell>
          <cell r="J584">
            <v>9.0127916018911847E-2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  <cell r="H585">
            <v>6.36475064569486E-5</v>
          </cell>
          <cell r="I585">
            <v>1.18800031396789E-2</v>
          </cell>
          <cell r="J585">
            <v>5.3337424756366297E-3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  <cell r="H586">
            <v>1.82817094020985E-2</v>
          </cell>
          <cell r="I586">
            <v>1.5165007489823801E-2</v>
          </cell>
          <cell r="J586">
            <v>1.1302796309237801E-2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  <cell r="H587">
            <v>1.3407132848775059</v>
          </cell>
          <cell r="I587">
            <v>0.10629933797925854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  <cell r="H588">
            <v>2.7528350940741211E-2</v>
          </cell>
          <cell r="I588">
            <v>1.0115089548939147E-3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  <cell r="H589">
            <v>1.8166846678556999E-2</v>
          </cell>
          <cell r="I589">
            <v>1.4403704333232855E-3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  <cell r="H590">
            <v>5.4160662146039397E-5</v>
          </cell>
          <cell r="I590">
            <v>1.0835352351074801E-5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  <cell r="H591">
            <v>2.2213111797078954E-3</v>
          </cell>
          <cell r="I591">
            <v>8.9614351032598523E-5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  <cell r="H592">
            <v>0.62558892221102591</v>
          </cell>
          <cell r="I592">
            <v>0.10045756994488531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  <cell r="H593">
            <v>1.12069457010813E-2</v>
          </cell>
          <cell r="I593">
            <v>9.7372874160758403E-4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  <cell r="H594">
            <v>8.5346374107916293E-3</v>
          </cell>
          <cell r="I594">
            <v>1.3704989078429089E-3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  <cell r="H595">
            <v>4.0522877165032499E-5</v>
          </cell>
          <cell r="I595">
            <v>8.2736488288891097E-6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  <cell r="H596">
            <v>7.9342771684712439E-4</v>
          </cell>
          <cell r="I596">
            <v>7.3234699217236896E-5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  <cell r="H597">
            <v>0.14036746306343101</v>
          </cell>
          <cell r="I597">
            <v>0.15519259636051916</v>
          </cell>
          <cell r="J597">
            <v>0.14786447157211149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  <cell r="H598">
            <v>0.14036746306343101</v>
          </cell>
          <cell r="I598">
            <v>0.15519259636051916</v>
          </cell>
          <cell r="J598">
            <v>0.14786447157211149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  <cell r="H599">
            <v>5.4804874904736903E-4</v>
          </cell>
          <cell r="I599">
            <v>1.5665001832897499E-2</v>
          </cell>
          <cell r="J599">
            <v>1.06938134391207E-2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  <cell r="H600">
            <v>1.75618841756803E-2</v>
          </cell>
          <cell r="I600">
            <v>1.9221193907501301E-2</v>
          </cell>
          <cell r="J600">
            <v>1.8646071053421101E-2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  <cell r="H601">
            <v>1.0932843531068006</v>
          </cell>
          <cell r="I601">
            <v>0.10750283811757057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  <cell r="H602">
            <v>2.2075327449232473E-2</v>
          </cell>
          <cell r="I602">
            <v>1.0291290291747238E-3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  <cell r="H603">
            <v>1.4915202634472057E-2</v>
          </cell>
          <cell r="I603">
            <v>1.4666144354375263E-3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  <cell r="H604">
            <v>5.5898127729901199E-5</v>
          </cell>
          <cell r="I604">
            <v>1.07329778646567E-5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  <cell r="H605">
            <v>1.7902435851722659E-3</v>
          </cell>
          <cell r="I605">
            <v>9.0984164817509651E-5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  <cell r="H606">
            <v>1.7344696320564712E-3</v>
          </cell>
          <cell r="I606">
            <v>4.7729097131127872E-3</v>
          </cell>
          <cell r="J606">
            <v>3.7287844396709152E-2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  <cell r="H607">
            <v>1.7344696320564712E-3</v>
          </cell>
          <cell r="I607">
            <v>4.7729097131127872E-3</v>
          </cell>
          <cell r="J607">
            <v>3.7287844396709152E-2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  <cell r="H608">
            <v>1.36404050411988E-4</v>
          </cell>
          <cell r="I608">
            <v>4.7367820260511899E-4</v>
          </cell>
          <cell r="J608">
            <v>4.4870318012562097E-3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  <cell r="H609">
            <v>2.09374737052396E-4</v>
          </cell>
          <cell r="I609">
            <v>6.1008225301710701E-4</v>
          </cell>
          <cell r="J609">
            <v>4.6492766497681299E-3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  <cell r="H610">
            <v>4.7807317236485489E-4</v>
          </cell>
          <cell r="I610">
            <v>8.1508005674055251E-4</v>
          </cell>
          <cell r="J610">
            <v>4.7352912563288163E-4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  <cell r="H611">
            <v>4.7807317236485489E-4</v>
          </cell>
          <cell r="I611">
            <v>8.1508005674055251E-4</v>
          </cell>
          <cell r="J611">
            <v>4.7352912563288163E-4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  <cell r="H612">
            <v>5.6152521022305297E-5</v>
          </cell>
          <cell r="I612">
            <v>1.2103764023445399E-4</v>
          </cell>
          <cell r="J612">
            <v>6.9163084253808996E-5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  <cell r="H613">
            <v>6.7640463327937604E-5</v>
          </cell>
          <cell r="I613">
            <v>1.5938904334534599E-4</v>
          </cell>
          <cell r="J613">
            <v>9.0403814682361701E-5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  <cell r="I614">
            <v>8.6185962040358829E-4</v>
          </cell>
          <cell r="J614">
            <v>9.4593461756448832E-4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  <cell r="I615">
            <v>8.6185962040358829E-4</v>
          </cell>
          <cell r="J615">
            <v>9.4622950087556881E-4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  <cell r="H616">
            <v>2.9055183504467999E-7</v>
          </cell>
          <cell r="I616">
            <v>1.9540623786566199E-5</v>
          </cell>
          <cell r="J616">
            <v>1.74981233885974E-6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  <cell r="H617">
            <v>7.4439619142724095E-4</v>
          </cell>
          <cell r="I617">
            <v>7.6393681521380705E-4</v>
          </cell>
          <cell r="J617">
            <v>7.6568662755266696E-4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  <cell r="H618">
            <v>1081.2708029063381</v>
          </cell>
          <cell r="I618">
            <v>1126.7482421565719</v>
          </cell>
          <cell r="J618">
            <v>116.6393858352447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  <cell r="H619">
            <v>2.4113497191709841</v>
          </cell>
          <cell r="I619">
            <v>2.5127692803668573</v>
          </cell>
          <cell r="J619">
            <v>0.26011832514306454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  <cell r="H620">
            <v>14.751306997357949</v>
          </cell>
          <cell r="I620">
            <v>15.371735909366613</v>
          </cell>
          <cell r="J620">
            <v>1.5912603797441294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  <cell r="H621">
            <v>4.0455937296612003E-2</v>
          </cell>
          <cell r="I621">
            <v>2.1579185765387698E-2</v>
          </cell>
          <cell r="J621">
            <v>3.2029466895312701E-3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  <cell r="H622">
            <v>4.7244420197926532E-2</v>
          </cell>
          <cell r="I622">
            <v>4.9210037083265899E-2</v>
          </cell>
          <cell r="J622">
            <v>6.9898485724695699E-3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  <cell r="H623">
            <v>100.22638121869601</v>
          </cell>
          <cell r="I623">
            <v>24.651277264259299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  <cell r="H624">
            <v>1.3565033492255101</v>
          </cell>
          <cell r="I624">
            <v>0.33364010318489501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  <cell r="H625">
            <v>1.3767360057513194</v>
          </cell>
          <cell r="I625">
            <v>0.3386164459376283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  <cell r="H626">
            <v>0.1143335238226891</v>
          </cell>
          <cell r="I626">
            <v>0.11874952856215322</v>
          </cell>
          <cell r="J626">
            <v>7.4990297381319862E-2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  <cell r="H627">
            <v>0.24279157496414455</v>
          </cell>
          <cell r="I627">
            <v>0.25120094133856302</v>
          </cell>
          <cell r="J627">
            <v>0.14342160082695041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  <cell r="H628">
            <v>2.5991820627758199E-3</v>
          </cell>
          <cell r="I628">
            <v>1.6745188571990201E-4</v>
          </cell>
          <cell r="J628">
            <v>1.2293479886486801E-3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  <cell r="H629">
            <v>2.6144054674036394E-3</v>
          </cell>
          <cell r="I629">
            <v>2.6735416550751458E-3</v>
          </cell>
          <cell r="J629">
            <v>1.7527563590748372E-3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4.6215278711950597E-5</v>
          </cell>
          <cell r="J630">
            <v>2.25447512293404E-4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2.5768519039390597E-5</v>
          </cell>
          <cell r="J631">
            <v>1.257040674605644E-4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3.8964921238184204E-6</v>
          </cell>
          <cell r="I632">
            <v>4.4859853622021998E-5</v>
          </cell>
          <cell r="J632">
            <v>1.6391678263036799E-4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3.8964921238184204E-6</v>
          </cell>
          <cell r="I633">
            <v>4.7774244231105155E-5</v>
          </cell>
          <cell r="J633">
            <v>2.0788438219582843E-4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  <cell r="H634">
            <v>4.118430673546334E-2</v>
          </cell>
          <cell r="I634">
            <v>4.2857429464676501E-2</v>
          </cell>
          <cell r="J634">
            <v>4.6013404819331992E-2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  <cell r="H635">
            <v>0.12131310857404763</v>
          </cell>
          <cell r="I635">
            <v>0.12476570608158305</v>
          </cell>
          <cell r="J635">
            <v>0.12042401448556993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  <cell r="H636">
            <v>6.9798653505651596E-4</v>
          </cell>
          <cell r="I636">
            <v>1.08753377222055E-4</v>
          </cell>
          <cell r="J636">
            <v>6.9138890683103596E-4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  <cell r="H637">
            <v>7.7794546467767399E-4</v>
          </cell>
          <cell r="I637">
            <v>8.0919945772711492E-4</v>
          </cell>
          <cell r="J637">
            <v>8.6839886263761145E-4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  <cell r="H638">
            <v>0.1990530975401098</v>
          </cell>
          <cell r="I638">
            <v>0.22853564806725601</v>
          </cell>
          <cell r="J638">
            <v>3.7476075996910399E-2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  <cell r="H639">
            <v>3.2235064586348254E-4</v>
          </cell>
          <cell r="I639">
            <v>3.7009528948658989E-4</v>
          </cell>
          <cell r="J639">
            <v>6.0689521797563363E-5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  <cell r="H640">
            <v>2.7155947822661646E-3</v>
          </cell>
          <cell r="I640">
            <v>3.1178123883663831E-3</v>
          </cell>
          <cell r="J640">
            <v>5.1126979531937748E-4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  <cell r="H641">
            <v>6.2525149784625899E-6</v>
          </cell>
          <cell r="I641">
            <v>4.3370395060256601E-6</v>
          </cell>
          <cell r="J641">
            <v>7.0448098195824502E-7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  <cell r="H642">
            <v>7.5064131390719192E-6</v>
          </cell>
          <cell r="I642">
            <v>8.6074216372332597E-6</v>
          </cell>
          <cell r="J642">
            <v>1.46558213055162E-6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  <cell r="H643">
            <v>0.24324063007126717</v>
          </cell>
          <cell r="I643">
            <v>0.25153404096122189</v>
          </cell>
          <cell r="J643">
            <v>0.1436648812195051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  <cell r="H644">
            <v>0.24324063007126717</v>
          </cell>
          <cell r="I644">
            <v>0.25153404096122189</v>
          </cell>
          <cell r="J644">
            <v>0.1436648812195051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  <cell r="H645">
            <v>5.7041653941201605E-4</v>
          </cell>
          <cell r="I645">
            <v>2.16198942585565E-2</v>
          </cell>
          <cell r="J645">
            <v>4.2446066697860501E-3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  <cell r="H646">
            <v>2.5756185877767498E-2</v>
          </cell>
          <cell r="I646">
            <v>2.6591558201783501E-2</v>
          </cell>
          <cell r="J646">
            <v>1.51871996298247E-2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  <cell r="H647">
            <v>0.1999791472146602</v>
          </cell>
          <cell r="I647">
            <v>0.1263678698441586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  <cell r="H648">
            <v>2.0577401549568075E-3</v>
          </cell>
          <cell r="I648">
            <v>1.3388275599631252E-3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  <cell r="H649">
            <v>2.7282284749612644E-3</v>
          </cell>
          <cell r="I649">
            <v>1.7239818532627377E-3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  <cell r="H650">
            <v>0.12929294977508721</v>
          </cell>
          <cell r="I650">
            <v>0.12885167833390868</v>
          </cell>
          <cell r="J650">
            <v>0.19885276343060268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  <cell r="H651">
            <v>0.5911761548806288</v>
          </cell>
          <cell r="I651">
            <v>0.54560508263173157</v>
          </cell>
          <cell r="J651">
            <v>0.77085120476983993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  <cell r="H652">
            <v>5.9203436132083595E-4</v>
          </cell>
          <cell r="I652">
            <v>1.8380486000012799E-3</v>
          </cell>
          <cell r="J652">
            <v>3.1204683811290801E-3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  <cell r="H653">
            <v>2.4386240336827141E-3</v>
          </cell>
          <cell r="I653">
            <v>2.4300829613221201E-3</v>
          </cell>
          <cell r="J653">
            <v>3.7500390791782201E-3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  <cell r="H654">
            <v>0.12169821849432044</v>
          </cell>
          <cell r="I654">
            <v>0.12506927242978685</v>
          </cell>
          <cell r="J654">
            <v>0.12063953514792682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  <cell r="H655">
            <v>0.12169821849432044</v>
          </cell>
          <cell r="I655">
            <v>0.12506927242978685</v>
          </cell>
          <cell r="J655">
            <v>0.12063953514792682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  <cell r="H656">
            <v>5.9360812305352996E-4</v>
          </cell>
          <cell r="I656">
            <v>1.0504730822817099E-2</v>
          </cell>
          <cell r="J656">
            <v>7.3813385118371398E-3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  <cell r="H657">
            <v>1.28848445237958E-2</v>
          </cell>
          <cell r="I657">
            <v>1.3227324431991301E-2</v>
          </cell>
          <cell r="J657">
            <v>1.2753688069285399E-2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  <cell r="H658">
            <v>1.0109842564522631</v>
          </cell>
          <cell r="I658">
            <v>0.66765832229847955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  <cell r="H659">
            <v>8.6127578502127114E-3</v>
          </cell>
          <cell r="I659">
            <v>5.9290000305178394E-3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  <cell r="H660">
            <v>1.3792418232636602E-2</v>
          </cell>
          <cell r="I660">
            <v>9.1085719276736803E-3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  <cell r="H661">
            <v>3.5087356610542763E-5</v>
          </cell>
          <cell r="I661">
            <v>3.2174911934754775E-5</v>
          </cell>
          <cell r="J661">
            <v>1.4642169488949217E-5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  <cell r="H662">
            <v>2.3339091860412691E-4</v>
          </cell>
          <cell r="I662">
            <v>2.0522226414807992E-4</v>
          </cell>
          <cell r="J662">
            <v>8.6640764005751171E-5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  <cell r="H663">
            <v>8.2923273946644601E-7</v>
          </cell>
          <cell r="I663">
            <v>7.9815063654260403E-7</v>
          </cell>
          <cell r="J663">
            <v>3.3373549445672401E-7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  <cell r="H664">
            <v>9.6235308568885299E-7</v>
          </cell>
          <cell r="I664">
            <v>1.088463806820588E-6</v>
          </cell>
          <cell r="J664">
            <v>4.7121118007430796E-7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  <cell r="H665">
            <v>1.7832835437225809</v>
          </cell>
          <cell r="I665">
            <v>1.188930186604696</v>
          </cell>
          <cell r="J665">
            <v>5.0844498306297208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  <cell r="H666">
            <v>1.1939890599610901</v>
          </cell>
          <cell r="I666">
            <v>1.78699477820999</v>
          </cell>
          <cell r="J666">
            <v>1.69077919202133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  <cell r="H667">
            <v>3.0216795484232315</v>
          </cell>
          <cell r="I667">
            <v>3.0203108633473725</v>
          </cell>
          <cell r="J667">
            <v>6.8762795426341627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  <cell r="H668">
            <v>0.59137544608130743</v>
          </cell>
          <cell r="I668">
            <v>0.54578453297756435</v>
          </cell>
          <cell r="J668">
            <v>0.7710247819240964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  <cell r="H669">
            <v>0.59137544608130743</v>
          </cell>
          <cell r="I669">
            <v>0.54578453297756435</v>
          </cell>
          <cell r="J669">
            <v>0.7710247819240964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  <cell r="H670">
            <v>1.47938489621694E-2</v>
          </cell>
          <cell r="I670">
            <v>4.2897136773347298E-2</v>
          </cell>
          <cell r="J670">
            <v>6.68042184431481E-2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  <cell r="H671">
            <v>6.2509696263653297E-2</v>
          </cell>
          <cell r="I671">
            <v>5.7690985735516599E-2</v>
          </cell>
          <cell r="J671">
            <v>8.1497399212517599E-2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  <cell r="H672">
            <v>246.22186353309536</v>
          </cell>
          <cell r="I672">
            <v>81.609591351064665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  <cell r="H673">
            <v>1.9693611028005231</v>
          </cell>
          <cell r="I673">
            <v>0.68901198894449855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  <cell r="H674">
            <v>3.3590977289644695</v>
          </cell>
          <cell r="I674">
            <v>1.1133641384865576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  <cell r="H675">
            <v>5.5689821928294814E-4</v>
          </cell>
          <cell r="I675">
            <v>5.8513758734526249E-4</v>
          </cell>
          <cell r="J675">
            <v>3.55275572703709E-4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  <cell r="H676">
            <v>5.5689821928294814E-4</v>
          </cell>
          <cell r="I676">
            <v>5.8513758734526249E-4</v>
          </cell>
          <cell r="J676">
            <v>3.55275572703709E-4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  <cell r="H677">
            <v>1.18856629108291E-4</v>
          </cell>
          <cell r="I677">
            <v>1.3912723389620201E-4</v>
          </cell>
          <cell r="J677">
            <v>5.1713056312705297E-5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  <cell r="H678">
            <v>1.4675988355404999E-4</v>
          </cell>
          <cell r="I678">
            <v>2.20304684388999E-4</v>
          </cell>
          <cell r="J678">
            <v>7.6128304864603601E-5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  <cell r="I679">
            <v>9.3436526995446333E-6</v>
          </cell>
          <cell r="J679">
            <v>7.4154139801224899E-6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  <cell r="I680">
            <v>8.0226128644511646E-6</v>
          </cell>
          <cell r="J680">
            <v>5.6020825898551132E-6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  <cell r="H681">
            <v>8.7837066594566996E-7</v>
          </cell>
          <cell r="I681">
            <v>4.8104094353624301E-7</v>
          </cell>
          <cell r="J681">
            <v>7.3260368014326799E-7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  <cell r="H682">
            <v>4.09000775412099E-6</v>
          </cell>
          <cell r="I682">
            <v>1.3871365420710521E-6</v>
          </cell>
          <cell r="J682">
            <v>1.0847851285526369E-6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  <cell r="H687">
            <v>2.5820692449939585E-9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  <cell r="H688">
            <v>0.98113758009046292</v>
          </cell>
          <cell r="I688">
            <v>0.38255095034892661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  <cell r="H689">
            <v>7.3775132426564189E-3</v>
          </cell>
          <cell r="I689">
            <v>2.9686709990634306E-3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  <cell r="H690">
            <v>1.3385233016240962E-2</v>
          </cell>
          <cell r="I690">
            <v>5.2189761302718508E-3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  <cell r="I691">
            <v>1.1178035258696782E-5</v>
          </cell>
          <cell r="J691">
            <v>1.2521785728265652E-5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  <cell r="I692">
            <v>1.1643651734116511E-5</v>
          </cell>
          <cell r="J692">
            <v>1.1575853497444842E-5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  <cell r="H693">
            <v>7.9929324233480996E-7</v>
          </cell>
          <cell r="I693">
            <v>4.32337654321859E-7</v>
          </cell>
          <cell r="J693">
            <v>7.4965239798807199E-7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  <cell r="H694">
            <v>-2.0988163179479755E-8</v>
          </cell>
          <cell r="I694">
            <v>1.04597361291145E-6</v>
          </cell>
          <cell r="J694">
            <v>1.05796972987382E-6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  <cell r="H699">
            <v>2.3234162254620526E-9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1.0461925864121986E-3</v>
          </cell>
          <cell r="J700">
            <v>9.4275221807479676E-4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2.1995541125988292E-4</v>
          </cell>
          <cell r="J701">
            <v>1.9358491899501698E-4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  <cell r="H702">
            <v>1.628930619727E-4</v>
          </cell>
          <cell r="I702">
            <v>2.4608673638316198E-4</v>
          </cell>
          <cell r="J702">
            <v>2.2813764214808899E-4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  <cell r="H703">
            <v>1.973124957561304E-4</v>
          </cell>
          <cell r="I703">
            <v>4.1496519152117207E-4</v>
          </cell>
          <cell r="J703">
            <v>3.8001709172574464E-4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  <cell r="H704">
            <v>6.9658615508399312E-3</v>
          </cell>
          <cell r="I704">
            <v>7.5360392893076306E-2</v>
          </cell>
          <cell r="J704">
            <v>0.16143844552862854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  <cell r="H705">
            <v>6.9658615508399312E-3</v>
          </cell>
          <cell r="I705">
            <v>7.5360392893076306E-2</v>
          </cell>
          <cell r="J705">
            <v>0.16143844552862854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  <cell r="H706">
            <v>5.7596390543799398E-4</v>
          </cell>
          <cell r="I706">
            <v>7.3637878946353E-3</v>
          </cell>
          <cell r="J706">
            <v>1.32714882698625E-2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  <cell r="H707">
            <v>7.4206789471166902E-4</v>
          </cell>
          <cell r="I707">
            <v>7.9681838026908897E-3</v>
          </cell>
          <cell r="J707">
            <v>1.7065541973624601E-2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  <cell r="I708">
            <v>1.1043319406748222E-5</v>
          </cell>
          <cell r="J708">
            <v>1.392841026849901E-5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  <cell r="I709">
            <v>1.2305959383607144E-5</v>
          </cell>
          <cell r="J709">
            <v>1.3720299766354855E-5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  <cell r="H710">
            <v>5.3709893095887597E-7</v>
          </cell>
          <cell r="I710">
            <v>3.7754718183795702E-7</v>
          </cell>
          <cell r="J710">
            <v>7.7223971319130096E-7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  <cell r="H711">
            <v>-5.6590495896526301E-7</v>
          </cell>
          <cell r="I711">
            <v>8.8802244036559805E-7</v>
          </cell>
          <cell r="J711">
            <v>9.8408651143982706E-7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4.2032400561874594E-4</v>
          </cell>
          <cell r="J717">
            <v>3.8197070891377526E-4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1.5231669701049866E-4</v>
          </cell>
          <cell r="J718">
            <v>1.3580649546423069E-4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  <cell r="H719">
            <v>6.9232522849334294E-5</v>
          </cell>
          <cell r="I719">
            <v>8.6928311310383903E-5</v>
          </cell>
          <cell r="J719">
            <v>7.1719672458071305E-5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  <cell r="H720">
            <v>8.9336422225767492E-5</v>
          </cell>
          <cell r="I720">
            <v>1.665525194658431E-4</v>
          </cell>
          <cell r="J720">
            <v>1.5208115802102415E-4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  <cell r="H721">
            <v>6.9717278451835391E-3</v>
          </cell>
          <cell r="I721">
            <v>6.0769248125963678E-3</v>
          </cell>
          <cell r="J721">
            <v>4.1956933338385821E-3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  <cell r="H722">
            <v>6.9717278451835391E-3</v>
          </cell>
          <cell r="I722">
            <v>6.0769248125963678E-3</v>
          </cell>
          <cell r="J722">
            <v>4.1956933338385821E-3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  <cell r="H723">
            <v>5.2932734309869497E-4</v>
          </cell>
          <cell r="I723">
            <v>1.1650616689400601E-5</v>
          </cell>
          <cell r="J723">
            <v>2.5706216372077599E-4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  <cell r="H724">
            <v>7.4128320357532795E-4</v>
          </cell>
          <cell r="I724">
            <v>6.4712797484240997E-4</v>
          </cell>
          <cell r="J724">
            <v>4.4597388089348203E-4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  <cell r="I725">
            <v>1.0137803025489383E-5</v>
          </cell>
          <cell r="J725">
            <v>1.2017565706681598E-5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  <cell r="I726">
            <v>1.1278239984458722E-5</v>
          </cell>
          <cell r="J726">
            <v>1.1909800095939174E-5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  <cell r="H727">
            <v>7.6978229053112497E-7</v>
          </cell>
          <cell r="I727">
            <v>4.1712641917410202E-7</v>
          </cell>
          <cell r="J727">
            <v>7.8873952159562803E-7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  <cell r="H728">
            <v>-1.5431502697388971E-7</v>
          </cell>
          <cell r="I728">
            <v>9.8278390881971805E-7</v>
          </cell>
          <cell r="J728">
            <v>1.07626999558402E-6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  <cell r="H734">
            <v>3.2603934976218581E-3</v>
          </cell>
          <cell r="I734">
            <v>4.1544537956769096E-3</v>
          </cell>
          <cell r="J734">
            <v>7.2412194766984426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  <cell r="H735">
            <v>3.2603934976218581E-3</v>
          </cell>
          <cell r="I735">
            <v>4.1544537956769096E-3</v>
          </cell>
          <cell r="J735">
            <v>7.2412194766984426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  <cell r="H736">
            <v>3.7543945166415999E-4</v>
          </cell>
          <cell r="I736">
            <v>3.7114573530890201E-4</v>
          </cell>
          <cell r="J736">
            <v>0.912496804633673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  <cell r="H737">
            <v>4.70185603076431E-4</v>
          </cell>
          <cell r="I737">
            <v>6.2756574090019304E-4</v>
          </cell>
          <cell r="J737">
            <v>0.91256193649263995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2.1836471431211572E-4</v>
          </cell>
          <cell r="J738">
            <v>2.5785531560019271E-4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1.2165911203197796E-4</v>
          </cell>
          <cell r="J739">
            <v>1.4105193573277667E-4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  <cell r="H740">
            <v>2.9466511748070602E-5</v>
          </cell>
          <cell r="I740">
            <v>3.7124806762071901E-5</v>
          </cell>
          <cell r="J740">
            <v>3.6513946164942999E-5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  <cell r="H741">
            <v>4.8231962076286401E-5</v>
          </cell>
          <cell r="I741">
            <v>8.541370907734044E-5</v>
          </cell>
          <cell r="J741">
            <v>1.0194013845184045E-4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  <cell r="H742">
            <v>9.9248359900625596E-3</v>
          </cell>
          <cell r="I742">
            <v>9.7235044009529609E-3</v>
          </cell>
          <cell r="J742">
            <v>6.3502707870563262E-3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  <cell r="H743">
            <v>9.9248359900625596E-3</v>
          </cell>
          <cell r="I743">
            <v>9.7235044009529609E-3</v>
          </cell>
          <cell r="J743">
            <v>6.3502707870563262E-3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  <cell r="H744">
            <v>5.9902485099887703E-4</v>
          </cell>
          <cell r="I744">
            <v>1.2665617255846001E-4</v>
          </cell>
          <cell r="J744">
            <v>1.4070053215310201E-5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  <cell r="H745">
            <v>1.05515149344157E-3</v>
          </cell>
          <cell r="I745">
            <v>1.0308789422014901E-3</v>
          </cell>
          <cell r="J745">
            <v>6.7409794860647497E-4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1.2502082108502391E-4</v>
          </cell>
          <cell r="J746">
            <v>1.7158425780370939E-4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7.8218007888179776E-5</v>
          </cell>
          <cell r="J747">
            <v>1.0556970020826114E-4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  <cell r="H748">
            <v>1.5954596462859599E-5</v>
          </cell>
          <cell r="I748">
            <v>2.2701032449583099E-5</v>
          </cell>
          <cell r="J748">
            <v>2.1771124280335499E-5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  <cell r="H749">
            <v>2.5302512909250146E-5</v>
          </cell>
          <cell r="I749">
            <v>4.8093349219342675E-5</v>
          </cell>
          <cell r="J749">
            <v>6.6566935107677841E-5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  <cell r="H750">
            <v>1.0024869286595777E-2</v>
          </cell>
          <cell r="I750">
            <v>1.1231710644310231E-2</v>
          </cell>
          <cell r="J750">
            <v>9.3150590549981802E-3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  <cell r="H751">
            <v>1.0024869286595777E-2</v>
          </cell>
          <cell r="I751">
            <v>1.1231710644310231E-2</v>
          </cell>
          <cell r="J751">
            <v>9.3150590549981802E-3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  <cell r="H752">
            <v>6.0750146076835E-4</v>
          </cell>
          <cell r="I752">
            <v>1.25405914614218E-4</v>
          </cell>
          <cell r="J752">
            <v>1.05386028419842E-4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  <cell r="H753">
            <v>1.0656644799620599E-3</v>
          </cell>
          <cell r="I753">
            <v>1.1910703945762801E-3</v>
          </cell>
          <cell r="J753">
            <v>9.8715208001407006E-4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  <cell r="H754">
            <v>8.6816675439754695E-5</v>
          </cell>
          <cell r="I754">
            <v>5.7604906437919697E-5</v>
          </cell>
          <cell r="J754">
            <v>4.94780207849906E-5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  <cell r="H755">
            <v>2.2369841994113601E-7</v>
          </cell>
          <cell r="I755">
            <v>1.5617658850619663E-7</v>
          </cell>
          <cell r="J755">
            <v>1.474520745807671E-7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  <cell r="H756">
            <v>1.5393027560240198E-6</v>
          </cell>
          <cell r="I756">
            <v>1.0213635893248181E-6</v>
          </cell>
          <cell r="J756">
            <v>8.7726987207430081E-7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  <cell r="H757">
            <v>1.7802924893103602E-8</v>
          </cell>
          <cell r="I757">
            <v>1.6391548189814499E-8</v>
          </cell>
          <cell r="J757">
            <v>1.52711719478188E-8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  <cell r="H758">
            <v>4.7668813690059992E-8</v>
          </cell>
          <cell r="I758">
            <v>3.7550916384084803E-8</v>
          </cell>
          <cell r="J758">
            <v>2.66158310879767E-8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  <cell r="H763">
            <v>4.2848896090995223E-9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  <cell r="H777">
            <v>-2.8694074382044999E-9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  <cell r="F9">
            <v>71.851092793610022</v>
          </cell>
          <cell r="G9">
            <v>85.457397266467936</v>
          </cell>
          <cell r="H9">
            <v>84.125360491364447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  <cell r="F14">
            <v>55.378801155897278</v>
          </cell>
          <cell r="G14">
            <v>32.820798390200295</v>
          </cell>
          <cell r="H14">
            <v>0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  <cell r="F15">
            <v>72.138715427381754</v>
          </cell>
          <cell r="G15">
            <v>72.144661683375418</v>
          </cell>
          <cell r="H15">
            <v>68.851731887437211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  <cell r="F16">
            <v>63.847364707117038</v>
          </cell>
          <cell r="G16">
            <v>63.841746569486027</v>
          </cell>
          <cell r="H16">
            <v>67.134678889880689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  <cell r="F17">
            <v>12.749830427447192</v>
          </cell>
          <cell r="G17">
            <v>12.939563771359516</v>
          </cell>
          <cell r="H17">
            <v>13.233613296792708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  <cell r="F18">
            <v>1.4853489317204231E-3</v>
          </cell>
          <cell r="G18">
            <v>1.6795509133870503E-4</v>
          </cell>
          <cell r="H18">
            <v>8.1040193729709314E-5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  <cell r="F19">
            <v>7.4918645727394644</v>
          </cell>
          <cell r="G19">
            <v>7.6680257449088485</v>
          </cell>
          <cell r="H19">
            <v>1.9945335636557841E-3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8.5556444228746518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6.9068276201306883E-4</v>
          </cell>
          <cell r="H21">
            <v>0.22382031116243126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  <cell r="F22">
            <v>3.5942677219486688E-3</v>
          </cell>
          <cell r="G22">
            <v>3.6368948801922718E-4</v>
          </cell>
          <cell r="H22">
            <v>3.1986003416425643E-2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1.2183360704256068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  <cell r="F24">
            <v>5.6641265007825389E-3</v>
          </cell>
          <cell r="G24">
            <v>3.3708011017645126E-4</v>
          </cell>
          <cell r="H24">
            <v>0.32069474097114548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  <cell r="F25">
            <v>2.6027502850931314E-3</v>
          </cell>
          <cell r="G25">
            <v>4.7102002235543091E-3</v>
          </cell>
          <cell r="H25">
            <v>9.2849823365361321E-4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  <cell r="F26">
            <v>1.4308371886333868</v>
          </cell>
          <cell r="G26">
            <v>1.4508176121320973</v>
          </cell>
          <cell r="H26">
            <v>0.19701705791871146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1.3702333890735461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  <cell r="F28">
            <v>7.4666034740023608E-4</v>
          </cell>
          <cell r="G28">
            <v>5.4689725495414949E-5</v>
          </cell>
          <cell r="H28">
            <v>2.1696247964992334E-5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1.8626435651705387E-4</v>
          </cell>
          <cell r="H29">
            <v>0.6852085945618408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0.1607846018316548</v>
          </cell>
          <cell r="H30">
            <v>0.1607860843924665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1.7181428087442137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  <cell r="F33">
            <v>2.9171538644695905</v>
          </cell>
          <cell r="G33">
            <v>5.7747958768405541</v>
          </cell>
          <cell r="H33">
            <v>6.1200033518095447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  <cell r="F34">
            <v>0.19264143267481698</v>
          </cell>
          <cell r="G34">
            <v>1.4212346679790082</v>
          </cell>
          <cell r="H34">
            <v>2.8640112154180133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  <cell r="F35">
            <v>29.692076365081959</v>
          </cell>
          <cell r="G35">
            <v>40.847370342196385</v>
          </cell>
          <cell r="H35">
            <v>63.061466990957051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  <cell r="F36">
            <v>4.6142753156864726</v>
          </cell>
          <cell r="G36">
            <v>4.8978516410459294</v>
          </cell>
          <cell r="H36">
            <v>5.5183571715530935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  <cell r="F37">
            <v>4.0147917876504602</v>
          </cell>
          <cell r="G37">
            <v>4.2196313050260557</v>
          </cell>
          <cell r="H37">
            <v>4.661157690186883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  <cell r="F38">
            <v>11.285514505694056</v>
          </cell>
          <cell r="G38">
            <v>12.578865886798349</v>
          </cell>
          <cell r="H38">
            <v>13.895036261731333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  <cell r="F39">
            <v>1.6036199726700655E-2</v>
          </cell>
          <cell r="G39">
            <v>6.6599537710038377E-3</v>
          </cell>
          <cell r="H39">
            <v>4.9698985921040731E-2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2.8792904787941706E-2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  <cell r="F41">
            <v>0.16930640122076621</v>
          </cell>
          <cell r="G41">
            <v>5.1594939462923763E-4</v>
          </cell>
          <cell r="H41">
            <v>0.17144551631564017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  <cell r="F42">
            <v>3.857259546313907</v>
          </cell>
          <cell r="G42">
            <v>4.2437497452987891</v>
          </cell>
          <cell r="H42">
            <v>2.823257727633925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1.3445328799343821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  <cell r="F44">
            <v>1.576095839231739E-3</v>
          </cell>
          <cell r="G44">
            <v>2.8206816082634208E-3</v>
          </cell>
          <cell r="H44">
            <v>1.7748171421870507E-4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0.29163235471048465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7.5484429472553764E-3</v>
          </cell>
          <cell r="G46">
            <v>2.4946843259341742E-3</v>
          </cell>
          <cell r="H46">
            <v>0.36960333631919551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1.3712988686660321E-3</v>
          </cell>
          <cell r="G47">
            <v>7.6329536417595446E-4</v>
          </cell>
          <cell r="H47">
            <v>2.2215336489806345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  <cell r="F48">
            <v>7.3473227350546655E-3</v>
          </cell>
          <cell r="G48">
            <v>4.6918223174176685E-3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  <cell r="F49">
            <v>1.3092168989987424E-3</v>
          </cell>
          <cell r="G49">
            <v>1.3146585295134546E-3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  <cell r="F50">
            <v>3.053863521360712E-3</v>
          </cell>
          <cell r="G50">
            <v>2.6553763737235461E-3</v>
          </cell>
          <cell r="H50">
            <v>0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  <cell r="F51">
            <v>2.2379263304321344</v>
          </cell>
          <cell r="G51">
            <v>2.3033523639488265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  <cell r="F52">
            <v>1.3541690202845741E-2</v>
          </cell>
          <cell r="G52">
            <v>1.4080217560132431E-2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  <cell r="F53">
            <v>5.2929719590029799E-3</v>
          </cell>
          <cell r="G53">
            <v>0.28883035642278637</v>
          </cell>
          <cell r="H53">
            <v>0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  <cell r="F54">
            <v>1.1059497944277683</v>
          </cell>
          <cell r="G54">
            <v>1.1059505020024332</v>
          </cell>
          <cell r="H54">
            <v>1.1059386051450713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  <cell r="F55">
            <v>6.4814042959227033E-2</v>
          </cell>
          <cell r="G55">
            <v>2.979376794268359E-2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  <cell r="F56">
            <v>1.8174515103046474E-3</v>
          </cell>
          <cell r="G56">
            <v>2.3446538088090839E-3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  <cell r="F57">
            <v>3.6351017844769872E-3</v>
          </cell>
          <cell r="G57">
            <v>1.814621853438286E-3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  <cell r="F58">
            <v>4.6461328006964777E-3</v>
          </cell>
          <cell r="G58">
            <v>4.2807581381549562E-3</v>
          </cell>
          <cell r="H58">
            <v>0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  <cell r="F70">
            <v>7.4070591239277896E-3</v>
          </cell>
          <cell r="G70">
            <v>1.3750944489897734E-3</v>
          </cell>
          <cell r="H70">
            <v>1.9717911641311106E-2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  <cell r="F71">
            <v>6.2590704842551428E-2</v>
          </cell>
          <cell r="G71">
            <v>6.2614965979480977E-2</v>
          </cell>
          <cell r="H71">
            <v>0.34296076131578113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  <cell r="F72">
            <v>6.7559283984944693E-2</v>
          </cell>
          <cell r="G72">
            <v>3.0481608050776585E-2</v>
          </cell>
          <cell r="H72">
            <v>8.2310447771032677E-2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  <cell r="F73">
            <v>0.48344707332018011</v>
          </cell>
          <cell r="G73">
            <v>0.49837212434940503</v>
          </cell>
          <cell r="H73">
            <v>0.57682431824123803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  <cell r="F74">
            <v>0.21987127534940634</v>
          </cell>
          <cell r="G74">
            <v>7.2434633354779288E-2</v>
          </cell>
          <cell r="H74">
            <v>0.15276337936024892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  <cell r="F75">
            <v>9.729602921210051E-2</v>
          </cell>
          <cell r="G75">
            <v>4.9319354876645773E-2</v>
          </cell>
          <cell r="H75">
            <v>5.7813839522201399E-2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  <cell r="F76">
            <v>0.20977108023320276</v>
          </cell>
          <cell r="G76">
            <v>8.1830461779573219E-2</v>
          </cell>
          <cell r="H76">
            <v>0.15023745881296249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  <cell r="F91">
            <v>1.2048918164739526E-2</v>
          </cell>
          <cell r="G91">
            <v>7.1317207949974574E-4</v>
          </cell>
          <cell r="H91">
            <v>0.67128684746032385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  <cell r="F92">
            <v>6.8066728158375561E-3</v>
          </cell>
          <cell r="G92">
            <v>1.2318043725686095E-2</v>
          </cell>
          <cell r="H92">
            <v>2.4281944075695647E-3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  <cell r="F93">
            <v>12.3429573131951</v>
          </cell>
          <cell r="G93">
            <v>12.034791526778214</v>
          </cell>
          <cell r="H93">
            <v>12.141385545804535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  <cell r="F94">
            <v>3.8399675009154971E-3</v>
          </cell>
          <cell r="G94">
            <v>2.8126144540499071E-4</v>
          </cell>
          <cell r="H94">
            <v>1.115807038199604E-4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2.3748705455924361E-4</v>
          </cell>
          <cell r="H95">
            <v>0.90790138779443941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0.19523844508129434</v>
          </cell>
          <cell r="H96">
            <v>0.20289672554287397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  <cell r="F97">
            <v>6.2597100066547497</v>
          </cell>
          <cell r="G97">
            <v>2.9730067092697765</v>
          </cell>
          <cell r="H97">
            <v>2.5512403722071622E-4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  <cell r="F98">
            <v>5.2572312167880595</v>
          </cell>
          <cell r="G98">
            <v>6.6795916390827283</v>
          </cell>
          <cell r="H98">
            <v>6.6795934022398145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  <cell r="F99">
            <v>1.2999281001053478</v>
          </cell>
          <cell r="G99">
            <v>0</v>
          </cell>
          <cell r="H99">
            <v>0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  <cell r="F100">
            <v>2.1378028591438619E-4</v>
          </cell>
          <cell r="G100">
            <v>3.2388170229262871E-5</v>
          </cell>
          <cell r="H100">
            <v>9.4563474759435828E-6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  <cell r="F101">
            <v>4.052403803832374</v>
          </cell>
          <cell r="G101">
            <v>4.4979146427517822</v>
          </cell>
          <cell r="H101">
            <v>5.4098818017494432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F103">
            <v>2.6098777028343408E-2</v>
          </cell>
          <cell r="G103">
            <v>7.5431175662982247E-3</v>
          </cell>
          <cell r="H103">
            <v>8.6754194994138695E-2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  <cell r="F104">
            <v>0.83942020909226223</v>
          </cell>
          <cell r="G104">
            <v>1.1437153230838054E-3</v>
          </cell>
          <cell r="H104">
            <v>0.38004669862074203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  <cell r="F105">
            <v>8.1595875018178941</v>
          </cell>
          <cell r="G105">
            <v>8.9771629227474659</v>
          </cell>
          <cell r="H105">
            <v>8.8164801313945151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  <cell r="F106">
            <v>9.3012267583731517E-3</v>
          </cell>
          <cell r="G106">
            <v>1.4286862162927379E-2</v>
          </cell>
          <cell r="H106">
            <v>0.98989112801152035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6.5105244452722173E-4</v>
          </cell>
          <cell r="G107">
            <v>3.4313277839102547E-4</v>
          </cell>
          <cell r="H107">
            <v>0.89640831450095926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5.0856681270902383E-3</v>
          </cell>
          <cell r="G108">
            <v>1.4968105955605036E-3</v>
          </cell>
          <cell r="H108">
            <v>0.18480166815959781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  <cell r="F109">
            <v>1.9500658635530105E-2</v>
          </cell>
          <cell r="G109">
            <v>1.3323098128699419E-2</v>
          </cell>
          <cell r="H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  <cell r="F110">
            <v>8.0737788093510794E-3</v>
          </cell>
          <cell r="G110">
            <v>6.8721550352032687E-3</v>
          </cell>
          <cell r="H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  <cell r="F112">
            <v>4.5983147483003775</v>
          </cell>
          <cell r="G112">
            <v>4.6743146639439637</v>
          </cell>
          <cell r="H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  <cell r="F113">
            <v>1.4079826886017794E-2</v>
          </cell>
          <cell r="G113">
            <v>0.76831720427736283</v>
          </cell>
          <cell r="H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  <cell r="F115">
            <v>1.1649218239271291</v>
          </cell>
          <cell r="G115">
            <v>1.0059181593908362</v>
          </cell>
          <cell r="H115">
            <v>1.005907338594753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  <cell r="F116">
            <v>9.1795688930665781E-2</v>
          </cell>
          <cell r="G116">
            <v>4.4690651914025339E-2</v>
          </cell>
          <cell r="H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  <cell r="F117">
            <v>2.841994601973452E-3</v>
          </cell>
          <cell r="G117">
            <v>3.5864467825513445E-3</v>
          </cell>
          <cell r="H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  <cell r="F118">
            <v>1.3824149234859192E-3</v>
          </cell>
          <cell r="G118">
            <v>1.2631745325703174E-3</v>
          </cell>
          <cell r="H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  <cell r="F119">
            <v>2.5122517995598169E-3</v>
          </cell>
          <cell r="G119">
            <v>1.1423349377329534E-3</v>
          </cell>
          <cell r="H119">
            <v>0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  <cell r="F123">
            <v>5.0440291572259772</v>
          </cell>
          <cell r="G123">
            <v>9.0124376834273132</v>
          </cell>
          <cell r="H123">
            <v>9.955339266569629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  <cell r="F13">
            <v>15.93728594902783</v>
          </cell>
          <cell r="G13">
            <v>16.174452621110593</v>
          </cell>
          <cell r="H13">
            <v>16.542014866983465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  <cell r="F14">
            <v>167.60150505187312</v>
          </cell>
          <cell r="G14">
            <v>98.945494553568864</v>
          </cell>
          <cell r="H14">
            <v>0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  <cell r="F15">
            <v>72.138715427381754</v>
          </cell>
          <cell r="G15">
            <v>72.144661683375418</v>
          </cell>
          <cell r="H15">
            <v>68.851731887437211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  <cell r="F16">
            <v>63.847364707117038</v>
          </cell>
          <cell r="G16">
            <v>63.841746569486027</v>
          </cell>
          <cell r="H16">
            <v>67.134678889880689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  <cell r="F18">
            <v>4.9811604367663168E-3</v>
          </cell>
          <cell r="G18">
            <v>7.329403933851134E-4</v>
          </cell>
          <cell r="H18">
            <v>2.6366481217744226E-4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  <cell r="F19">
            <v>20.958788167165171</v>
          </cell>
          <cell r="G19">
            <v>21.451606030452798</v>
          </cell>
          <cell r="H19">
            <v>5.5797867202606079E-3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25.060281901887194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1.318726767530989E-3</v>
          </cell>
          <cell r="H21">
            <v>0.35730927053519934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F22">
            <v>9.5012046018272435E-3</v>
          </cell>
          <cell r="G22">
            <v>1.0680401072673184E-3</v>
          </cell>
          <cell r="H22">
            <v>7.6407036298952985E-2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  <cell r="P22">
            <v>3.725681392535769</v>
          </cell>
          <cell r="Q22">
            <v>2.6931055169080884</v>
          </cell>
          <cell r="R22">
            <v>1.1510587719645711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8.2861958614599868E-5</v>
          </cell>
          <cell r="H23">
            <v>2.2248623925478541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  <cell r="P23">
            <v>0.46528905871248299</v>
          </cell>
          <cell r="Q23">
            <v>0.38937669629405125</v>
          </cell>
          <cell r="R23">
            <v>1.5423264075564447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  <cell r="F24">
            <v>2.3385900537013837E-2</v>
          </cell>
          <cell r="G24">
            <v>1.5960205966040327E-3</v>
          </cell>
          <cell r="H24">
            <v>1.2729777819666757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  <cell r="F25">
            <v>0.59901125513007514</v>
          </cell>
          <cell r="G25">
            <v>0.71948536316556599</v>
          </cell>
          <cell r="H25">
            <v>1.5170457030312761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  <cell r="F26">
            <v>40.306758241416148</v>
          </cell>
          <cell r="G26">
            <v>41.843332513915215</v>
          </cell>
          <cell r="H26">
            <v>16.929685900428588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25.374692390250864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  <cell r="F28">
            <v>7.252582513112847E-3</v>
          </cell>
          <cell r="G28">
            <v>7.7918247031107926E-4</v>
          </cell>
          <cell r="H28">
            <v>2.1321819839426146E-4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4.65660891292634E-4</v>
          </cell>
          <cell r="H29">
            <v>1.7130214864046023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0.38282048055155921</v>
          </cell>
          <cell r="H30">
            <v>0.38282401045825343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0.70505940382598919</v>
          </cell>
          <cell r="H31">
            <v>8.0943907333368159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  <cell r="F33">
            <v>2.9171538644695905</v>
          </cell>
          <cell r="G33">
            <v>5.7747958768405541</v>
          </cell>
          <cell r="H33">
            <v>6.1200033518095447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  <cell r="F34">
            <v>0.19264143267481698</v>
          </cell>
          <cell r="G34">
            <v>1.4212346679790082</v>
          </cell>
          <cell r="H34">
            <v>2.8640112154180133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  <cell r="F35">
            <v>29.692076365081959</v>
          </cell>
          <cell r="G35">
            <v>40.847370342196385</v>
          </cell>
          <cell r="H35">
            <v>63.061466990957051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  <cell r="F36">
            <v>4.6142753156864726</v>
          </cell>
          <cell r="G36">
            <v>4.8978516410459294</v>
          </cell>
          <cell r="H36">
            <v>5.5183571715530935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  <cell r="F37">
            <v>4.0147917876504602</v>
          </cell>
          <cell r="G37">
            <v>4.2196313050260557</v>
          </cell>
          <cell r="H37">
            <v>4.661157690186883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  <cell r="F38">
            <v>11.285514505694056</v>
          </cell>
          <cell r="G38">
            <v>12.578865886798349</v>
          </cell>
          <cell r="H38">
            <v>13.895036261731333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  <cell r="F39">
            <v>4.515839921211906E-2</v>
          </cell>
          <cell r="G39">
            <v>1.8695642458917215E-2</v>
          </cell>
          <cell r="H39">
            <v>0.2278261761120407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6.2308297087459871E-5</v>
          </cell>
          <cell r="H40">
            <v>8.9082896562991509E-2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  <cell r="F41">
            <v>0.64456399044803458</v>
          </cell>
          <cell r="G41">
            <v>2.4020959444043754E-3</v>
          </cell>
          <cell r="H41">
            <v>0.65141635947827292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  <cell r="F42">
            <v>11.474459423845003</v>
          </cell>
          <cell r="G42">
            <v>12.617945089652176</v>
          </cell>
          <cell r="H42">
            <v>9.0835608852583594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0.37618537674737029</v>
          </cell>
          <cell r="H43">
            <v>5.355481334029613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  <cell r="F44">
            <v>2.5432119246194745E-2</v>
          </cell>
          <cell r="G44">
            <v>4.5514942195311603E-2</v>
          </cell>
          <cell r="H44">
            <v>2.86387160455253E-3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5.2286927654665396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1.4446780760297356E-2</v>
          </cell>
          <cell r="G46">
            <v>4.5357896835166792E-3</v>
          </cell>
          <cell r="H46">
            <v>0.61600556053199329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  <cell r="F48">
            <v>3.2247974126275419E-2</v>
          </cell>
          <cell r="G48">
            <v>1.8487416505020199E-2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  <cell r="F49">
            <v>3.0446904627877735E-3</v>
          </cell>
          <cell r="G49">
            <v>2.9878602943487608E-3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  <cell r="F50">
            <v>0.81913245765776743</v>
          </cell>
          <cell r="G50">
            <v>1.427200941220043</v>
          </cell>
          <cell r="H50">
            <v>0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  <cell r="F51">
            <v>7.4263373350590109</v>
          </cell>
          <cell r="G51">
            <v>7.5546790359401808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  <cell r="F52">
            <v>3.1492302797315658E-2</v>
          </cell>
          <cell r="G52">
            <v>3.2000494454846429E-2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  <cell r="F53">
            <v>0.82696044428574533</v>
          </cell>
          <cell r="G53">
            <v>2.4597086120965503</v>
          </cell>
          <cell r="H53">
            <v>0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  <cell r="F54">
            <v>2.9930691914410996</v>
          </cell>
          <cell r="G54">
            <v>2.9497944517210204</v>
          </cell>
          <cell r="H54">
            <v>2.8714346448432329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  <cell r="F55">
            <v>0.18253302978040231</v>
          </cell>
          <cell r="G55">
            <v>8.3523704808460941E-2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  <cell r="F56">
            <v>0.61494250752186497</v>
          </cell>
          <cell r="G56">
            <v>1.0888037947973874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  <cell r="F57">
            <v>7.1627621369004602E-3</v>
          </cell>
          <cell r="G57">
            <v>3.3604108397005273E-3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  <cell r="F58">
            <v>7.6795583482586402E-3</v>
          </cell>
          <cell r="G58">
            <v>7.0176362920573087E-3</v>
          </cell>
          <cell r="H58">
            <v>0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  <cell r="F63">
            <v>1.0585987239830378E-2</v>
          </cell>
          <cell r="G63">
            <v>1.9693657614509703E-3</v>
          </cell>
          <cell r="H63">
            <v>2.817109612240774E-2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  <cell r="F64">
            <v>7.2192539581231424E-2</v>
          </cell>
          <cell r="G64">
            <v>7.2219366828799425E-2</v>
          </cell>
          <cell r="H64">
            <v>0.39555472010555404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  <cell r="F65">
            <v>7.5549538947300654E-2</v>
          </cell>
          <cell r="G65">
            <v>3.4087968284668417E-2</v>
          </cell>
          <cell r="H65">
            <v>9.2042536193457702E-2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  <cell r="F66">
            <v>0.53462915498247177</v>
          </cell>
          <cell r="G66">
            <v>0.55113293030887467</v>
          </cell>
          <cell r="H66">
            <v>0.63789044973068831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  <cell r="F67">
            <v>0.2431520145271697</v>
          </cell>
          <cell r="G67">
            <v>8.0104396070132783E-2</v>
          </cell>
          <cell r="H67">
            <v>0.16893712841346037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  <cell r="F68">
            <v>0.10760036491854541</v>
          </cell>
          <cell r="G68">
            <v>5.4542023343064391E-2</v>
          </cell>
          <cell r="H68">
            <v>6.3935774875813867E-2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  <cell r="F69">
            <v>0.23198050861823111</v>
          </cell>
          <cell r="G69">
            <v>9.0494169454919948E-2</v>
          </cell>
          <cell r="H69">
            <v>0.16614305933394383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  <cell r="F90">
            <v>7.3259679272209084</v>
          </cell>
          <cell r="G90">
            <v>3.4794186593896979</v>
          </cell>
          <cell r="H90">
            <v>2.9858100649312751E-4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  <cell r="F91">
            <v>6.9022802336235838</v>
          </cell>
          <cell r="G91">
            <v>8.7697138356577558</v>
          </cell>
          <cell r="H91">
            <v>8.7697161505272625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  <cell r="F92">
            <v>0.64996405005267388</v>
          </cell>
          <cell r="G92">
            <v>0</v>
          </cell>
          <cell r="H92">
            <v>0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  <cell r="F93">
            <v>2.5019489983017182E-4</v>
          </cell>
          <cell r="G93">
            <v>3.790506206656567E-5</v>
          </cell>
          <cell r="H93">
            <v>1.1067109857129186E-5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  <cell r="F94">
            <v>5.7891482911891066</v>
          </cell>
          <cell r="G94">
            <v>6.4255923467882603</v>
          </cell>
          <cell r="H94">
            <v>7.7284025739277729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  <cell r="F97">
            <v>1.7393203990434396</v>
          </cell>
          <cell r="G97">
            <v>3.1077371322163145</v>
          </cell>
          <cell r="H97">
            <v>3.4328756091619428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  <cell r="F14">
            <v>2.0753085395487068</v>
          </cell>
          <cell r="G14">
            <v>1.2356851276190504</v>
          </cell>
          <cell r="H14">
            <v>0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  <cell r="F15">
            <v>7.4163488359816441</v>
          </cell>
          <cell r="G15">
            <v>7.4166396785007134</v>
          </cell>
          <cell r="H15">
            <v>7.7286876494585766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  <cell r="F16">
            <v>4.8952146862768187</v>
          </cell>
          <cell r="G16">
            <v>4.9586540887662069</v>
          </cell>
          <cell r="H16">
            <v>5.3272141353910865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  <cell r="F17">
            <v>4.3598078212579008</v>
          </cell>
          <cell r="G17">
            <v>4.359807884368224</v>
          </cell>
          <cell r="H17">
            <v>4.3598081790551175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  <cell r="F18">
            <v>8.9988321595204125E-3</v>
          </cell>
          <cell r="G18">
            <v>4.8977093005753303E-3</v>
          </cell>
          <cell r="H18">
            <v>1.9468308398936376E-3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  <cell r="F19">
            <v>0.27949088831616137</v>
          </cell>
          <cell r="G19">
            <v>0.28606090896359188</v>
          </cell>
          <cell r="H19">
            <v>1.229122356457002E-4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0.31917391084021401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1.70608919488105E-4</v>
          </cell>
          <cell r="H21">
            <v>1.3087854861058715E-2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  <cell r="F22">
            <v>1.5176168121705851E-2</v>
          </cell>
          <cell r="G22">
            <v>1.5183140704279076E-2</v>
          </cell>
          <cell r="H22">
            <v>2.9001259403495627E-2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5.8967521656492103E-7</v>
          </cell>
          <cell r="H23">
            <v>6.0776817702452489E-2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  <cell r="F24">
            <v>7.4104848224310765E-4</v>
          </cell>
          <cell r="G24">
            <v>1.1477750626780192E-4</v>
          </cell>
          <cell r="H24">
            <v>4.2543910351269837E-2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  <cell r="F25">
            <v>4.4071107716658897E-4</v>
          </cell>
          <cell r="G25">
            <v>3.9102476993676605E-4</v>
          </cell>
          <cell r="H25">
            <v>1.6637392388713809E-4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  <cell r="F26">
            <v>6.9926377703688355E-2</v>
          </cell>
          <cell r="G26">
            <v>7.0079115964299138E-2</v>
          </cell>
          <cell r="H26">
            <v>4.5410232620494984E-5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7.4863743508299496E-2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  <cell r="F28">
            <v>7.1452906060601694E-4</v>
          </cell>
          <cell r="G28">
            <v>2.3977815865837678E-4</v>
          </cell>
          <cell r="H28">
            <v>1.1913142823156868E-4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6.3355152822972205E-5</v>
          </cell>
          <cell r="H29">
            <v>3.5185027006261867E-2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1.6172506302981001E-2</v>
          </cell>
          <cell r="H30">
            <v>1.6175341232348466E-2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2.77114525816287E-7</v>
          </cell>
          <cell r="H31">
            <v>6.6285829998691426E-2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  <cell r="F33">
            <v>0.4850052417382768</v>
          </cell>
          <cell r="G33">
            <v>0.96011574494338869</v>
          </cell>
          <cell r="H33">
            <v>1.01751010142514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  <cell r="F34">
            <v>5.5532991205869457E-2</v>
          </cell>
          <cell r="G34">
            <v>0.40970059990233015</v>
          </cell>
          <cell r="H34">
            <v>0.825611535219962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  <cell r="F35">
            <v>8.5593602447675607</v>
          </cell>
          <cell r="G35">
            <v>11.775106221700637</v>
          </cell>
          <cell r="H35">
            <v>18.1787824228552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  <cell r="F36">
            <v>1.3301616603215975</v>
          </cell>
          <cell r="G36">
            <v>1.4119086271305801</v>
          </cell>
          <cell r="H36">
            <v>1.5907819793073048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  <cell r="F37">
            <v>1.157348592612945</v>
          </cell>
          <cell r="G37">
            <v>1.216398132333939</v>
          </cell>
          <cell r="H37">
            <v>1.343676416666042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  <cell r="F38">
            <v>3.2532853423473291</v>
          </cell>
          <cell r="G38">
            <v>3.6261209212000791</v>
          </cell>
          <cell r="H38">
            <v>4.00553433530217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  <cell r="F39">
            <v>3.3671523721447065E-3</v>
          </cell>
          <cell r="G39">
            <v>1.5837367453015098E-3</v>
          </cell>
          <cell r="H39">
            <v>6.4143816163666368E-3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2.0600410106312102E-3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  <cell r="F41">
            <v>2.9966922539971519E-2</v>
          </cell>
          <cell r="G41">
            <v>1.3110380187235995E-3</v>
          </cell>
          <cell r="H41">
            <v>1.317218858703495E-2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  <cell r="F42">
            <v>0.15312395956502231</v>
          </cell>
          <cell r="G42">
            <v>0.21598564839938214</v>
          </cell>
          <cell r="H42">
            <v>0.12033680310153883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7.4909965661849306E-2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  <cell r="F44">
            <v>1.6832896744220392E-3</v>
          </cell>
          <cell r="G44">
            <v>1.6834274655896314E-3</v>
          </cell>
          <cell r="H44">
            <v>8.2071980652386953E-5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2.9142982710940301E-2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5.7465899659621899E-4</v>
          </cell>
          <cell r="G46">
            <v>5.7488077746335688E-4</v>
          </cell>
          <cell r="H46">
            <v>4.4923039836749792E-2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1.8133978741337E-4</v>
          </cell>
          <cell r="G47">
            <v>1.811274882270414E-4</v>
          </cell>
          <cell r="H47">
            <v>8.415893697799727E-2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  <cell r="F48">
            <v>7.7264741013479841E-4</v>
          </cell>
          <cell r="G48">
            <v>5.0185227137644378E-4</v>
          </cell>
          <cell r="H48">
            <v>6.5384322534981629E-5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  <cell r="F49">
            <v>1.1635177439743908E-4</v>
          </cell>
          <cell r="G49">
            <v>1.1657173178014708E-4</v>
          </cell>
          <cell r="H49">
            <v>2.2823093810802301E-5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  <cell r="F50">
            <v>2.7507856458592277E-4</v>
          </cell>
          <cell r="G50">
            <v>2.3583344660770876E-4</v>
          </cell>
          <cell r="H50">
            <v>2.9036953019879404E-5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  <cell r="F51">
            <v>0.16619338475445275</v>
          </cell>
          <cell r="G51">
            <v>0.17111139576455189</v>
          </cell>
          <cell r="H51">
            <v>8.0078349039937389E-4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  <cell r="F52">
            <v>1.2059155211197163E-3</v>
          </cell>
          <cell r="G52">
            <v>1.2522874779181538E-3</v>
          </cell>
          <cell r="H52">
            <v>8.5451454017819927E-5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  <cell r="F53">
            <v>5.6082345700788434E-4</v>
          </cell>
          <cell r="G53">
            <v>2.1433149301354735E-2</v>
          </cell>
          <cell r="H53">
            <v>4.9203273234367609E-5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  <cell r="F54">
            <v>8.4746828638925839E-2</v>
          </cell>
          <cell r="G54">
            <v>8.4745429984321996E-2</v>
          </cell>
          <cell r="H54">
            <v>8.474426450661636E-2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  <cell r="F55">
            <v>3.8340489747592417E-3</v>
          </cell>
          <cell r="G55">
            <v>2.0310630032647006E-3</v>
          </cell>
          <cell r="H55">
            <v>6.8465816843868684E-5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  <cell r="F56">
            <v>2.1472686423544381E-4</v>
          </cell>
          <cell r="G56">
            <v>1.7419148624908329E-4</v>
          </cell>
          <cell r="H56">
            <v>3.2838572913945248E-5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  <cell r="F57">
            <v>2.2184865005138321E-4</v>
          </cell>
          <cell r="G57">
            <v>1.5718775113526793E-4</v>
          </cell>
          <cell r="H57">
            <v>1.6442571764334639E-5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  <cell r="F58">
            <v>2.7361623310719941E-4</v>
          </cell>
          <cell r="G58">
            <v>2.5169428277701389E-4</v>
          </cell>
          <cell r="H58">
            <v>8.5181355053870022E-5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  <cell r="F63">
            <v>9.9996072857547968E-2</v>
          </cell>
          <cell r="G63">
            <v>9.9996733763913381E-2</v>
          </cell>
          <cell r="H63">
            <v>9.9997351433058018E-2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  <cell r="F64">
            <v>3.9090172175682468E-2</v>
          </cell>
          <cell r="G64">
            <v>7.9458526202741492E-2</v>
          </cell>
          <cell r="H64">
            <v>0.84790073188985049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  <cell r="F65">
            <v>1.7784602939660783E-2</v>
          </cell>
          <cell r="G65">
            <v>4.5508482474928086E-2</v>
          </cell>
          <cell r="H65">
            <v>6.93362382105671E-2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  <cell r="F66">
            <v>0.26231856006490645</v>
          </cell>
          <cell r="G66">
            <v>0.41218579297711255</v>
          </cell>
          <cell r="H66">
            <v>0.74271270099655184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  <cell r="F67">
            <v>0.14351363517890575</v>
          </cell>
          <cell r="G67">
            <v>0.1546609024325383</v>
          </cell>
          <cell r="H67">
            <v>0.19138566374689503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  <cell r="F68">
            <v>5.068790154893215E-2</v>
          </cell>
          <cell r="G68">
            <v>5.1493656380314203E-2</v>
          </cell>
          <cell r="H68">
            <v>6.2539922816008731E-2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  <cell r="F69">
            <v>0.13891232557692978</v>
          </cell>
          <cell r="G69">
            <v>0.15575444169049218</v>
          </cell>
          <cell r="H69">
            <v>0.18952238639753638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  <cell r="F15">
            <v>0.1505315514829032</v>
          </cell>
          <cell r="G15">
            <v>0.15048805694880515</v>
          </cell>
          <cell r="H15">
            <v>0.51096325468586679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  <cell r="F16">
            <v>1.581147400815636E-6</v>
          </cell>
          <cell r="G16">
            <v>6.3439502581980264E-2</v>
          </cell>
          <cell r="H16">
            <v>0.36855984396862729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  <cell r="F17">
            <v>9.8117427773749806E-8</v>
          </cell>
          <cell r="G17">
            <v>1.5035913449073901E-7</v>
          </cell>
          <cell r="H17">
            <v>4.8100653807570604E-7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  <cell r="F18">
            <v>1.9141259160293999E-3</v>
          </cell>
          <cell r="G18">
            <v>6.55230092560908E-6</v>
          </cell>
          <cell r="H18">
            <v>7.3041948363149597E-6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  <cell r="F19">
            <v>8.9463277677780395E-2</v>
          </cell>
          <cell r="G19">
            <v>3.9371401570218997E-2</v>
          </cell>
          <cell r="H19">
            <v>6.0788981947369902E-8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0.31917391084021401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3.5433606601624501E-4</v>
          </cell>
          <cell r="H21">
            <v>1.7209099297341501E-2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  <cell r="F22">
            <v>8.6868892993393392E-6</v>
          </cell>
          <cell r="G22">
            <v>9.0659745112174703E-6</v>
          </cell>
          <cell r="H22">
            <v>2.1413566365594799E-2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1.2246909311178201E-6</v>
          </cell>
          <cell r="H23">
            <v>8.2133373113861499E-2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  <cell r="F24">
            <v>6.2537652017453996E-6</v>
          </cell>
          <cell r="G24">
            <v>1.7707316104331099E-6</v>
          </cell>
          <cell r="H24">
            <v>4.2539811380975498E-2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  <cell r="F25">
            <v>2.06832316302226E-4</v>
          </cell>
          <cell r="G25">
            <v>7.2455749416168799E-6</v>
          </cell>
          <cell r="H25">
            <v>1.9963382841879899E-6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  <cell r="F26">
            <v>5.6614446652348297E-3</v>
          </cell>
          <cell r="G26">
            <v>1.9605017494084401E-2</v>
          </cell>
          <cell r="H26">
            <v>5.7822174982893401E-8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7.4863743508299496E-2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  <cell r="F28">
            <v>1.8220975803968398E-5</v>
          </cell>
          <cell r="G28">
            <v>4.9111578920522297E-5</v>
          </cell>
          <cell r="H28">
            <v>5.6649584799419901E-5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6.3355152822972205E-5</v>
          </cell>
          <cell r="H29">
            <v>3.5121808687080897E-2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1.6172506302981001E-2</v>
          </cell>
          <cell r="H30">
            <v>3.0206961664597602E-6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5.7553656167751804E-7</v>
          </cell>
          <cell r="H31">
            <v>8.9579064860319302E-2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  <cell r="F33">
            <v>0.60022142047592597</v>
          </cell>
          <cell r="G33">
            <v>6.8458392204210797E-6</v>
          </cell>
          <cell r="H33">
            <v>0.28805974369307102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  <cell r="F34">
            <v>1.060565739744416E-2</v>
          </cell>
          <cell r="G34">
            <v>0.35416760869646108</v>
          </cell>
          <cell r="H34">
            <v>0.46299204700874491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  <cell r="F35">
            <v>5.57947369179431</v>
          </cell>
          <cell r="G35">
            <v>3.9281762338286601</v>
          </cell>
          <cell r="H35">
            <v>9.8045449758973895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  <cell r="F36">
            <v>0.29992444804363316</v>
          </cell>
          <cell r="G36">
            <v>0.6648609917749746</v>
          </cell>
          <cell r="H36">
            <v>0.68692283082215833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  <cell r="F37">
            <v>0.14463895312692279</v>
          </cell>
          <cell r="G37">
            <v>0.28404546059237862</v>
          </cell>
          <cell r="H37">
            <v>0.94437355560675096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  <cell r="F38">
            <v>0.62474423256459399</v>
          </cell>
          <cell r="G38">
            <v>0.78028589870406395</v>
          </cell>
          <cell r="H38">
            <v>2.72741438771427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  <cell r="F39">
            <v>8.2466181780155095E-4</v>
          </cell>
          <cell r="G39">
            <v>1.1338707993303599E-6</v>
          </cell>
          <cell r="H39">
            <v>5.5620899631541407E-3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2.0600410106312102E-3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  <cell r="F41">
            <v>9.7497835649343698E-3</v>
          </cell>
          <cell r="G41">
            <v>8.3408242225210005E-7</v>
          </cell>
          <cell r="H41">
            <v>1.2622037034145101E-2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  <cell r="F42">
            <v>4.0818668740222802E-2</v>
          </cell>
          <cell r="G42">
            <v>0.123752902573957</v>
          </cell>
          <cell r="H42">
            <v>1.32596349102723E-2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7.4909965661849306E-2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  <cell r="F44">
            <v>1.34715514497836E-6</v>
          </cell>
          <cell r="G44">
            <v>7.1398005344294701E-7</v>
          </cell>
          <cell r="H44">
            <v>7.8819412068614895E-8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2.9142982710940301E-2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5.7465899659621899E-4</v>
          </cell>
          <cell r="G46">
            <v>6.9309136701633705E-7</v>
          </cell>
          <cell r="H46">
            <v>4.4679876099754399E-2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1.8133978741337E-4</v>
          </cell>
          <cell r="G47">
            <v>2.4824559780840902E-7</v>
          </cell>
          <cell r="H47">
            <v>8.4082391498364495E-2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  <cell r="F48">
            <v>6.9177893930880699E-5</v>
          </cell>
          <cell r="G48">
            <v>1.1639595683096961E-6</v>
          </cell>
          <cell r="H48">
            <v>6.34758527048925E-7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  <cell r="F49">
            <v>5.6067296605598606E-5</v>
          </cell>
          <cell r="G49">
            <v>3.01353137947847E-7</v>
          </cell>
          <cell r="H49">
            <v>6.0768328847127501E-8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  <cell r="F50">
            <v>1.4651646706848802E-4</v>
          </cell>
          <cell r="G50">
            <v>1.636312129595184E-6</v>
          </cell>
          <cell r="H50">
            <v>1.3560278953321129E-7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  <cell r="F51">
            <v>3.2929450366506553E-2</v>
          </cell>
          <cell r="G51">
            <v>5.1497132574479625E-3</v>
          </cell>
          <cell r="H51">
            <v>3.2830934659843669E-6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  <cell r="F52">
            <v>9.3708105262154003E-4</v>
          </cell>
          <cell r="G52">
            <v>4.6602661777174102E-5</v>
          </cell>
          <cell r="H52">
            <v>2.0401006229011598E-7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  <cell r="F53">
            <v>3.7520550876142999E-4</v>
          </cell>
          <cell r="G53">
            <v>2.0931408572878465E-2</v>
          </cell>
          <cell r="H53">
            <v>2.9397851168261998E-7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  <cell r="F54">
            <v>4.4078986702640398E-2</v>
          </cell>
          <cell r="G54">
            <v>3.11553958477493E-2</v>
          </cell>
          <cell r="H54">
            <v>4.3488859729673E-2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  <cell r="F55">
            <v>2.6459878953252399E-6</v>
          </cell>
          <cell r="G55">
            <v>4.3913752510034602E-5</v>
          </cell>
          <cell r="H55">
            <v>2.29059803174829E-5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  <cell r="F56">
            <v>8.6161295712041094E-5</v>
          </cell>
          <cell r="G56">
            <v>6.8508753809221205E-7</v>
          </cell>
          <cell r="H56">
            <v>3.0011403858912199E-7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  <cell r="F57">
            <v>1.66610623462543E-5</v>
          </cell>
          <cell r="G57">
            <v>7.5961078673459796E-7</v>
          </cell>
          <cell r="H57">
            <v>8.9791280096515593E-6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  <cell r="F58">
            <v>2.0229379262921401E-4</v>
          </cell>
          <cell r="G58">
            <v>8.82685279506704E-7</v>
          </cell>
          <cell r="H58">
            <v>1.8526767329754599E-7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  <cell r="F63">
            <v>1.1244331294063799E-6</v>
          </cell>
          <cell r="G63">
            <v>1.5446410730604199E-6</v>
          </cell>
          <cell r="H63">
            <v>1.3451736228559301E-6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  <cell r="F64">
            <v>2.12303096740382E-2</v>
          </cell>
          <cell r="G64">
            <v>5.5549620009084602E-2</v>
          </cell>
          <cell r="H64">
            <v>0.81631783338966402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  <cell r="F65">
            <v>9.9238501682035393E-3</v>
          </cell>
          <cell r="G65">
            <v>3.4480614310410197E-2</v>
          </cell>
          <cell r="H65">
            <v>5.0303462395477297E-2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  <cell r="F66">
            <v>0.226000695824874</v>
          </cell>
          <cell r="G66">
            <v>0.18597293361138001</v>
          </cell>
          <cell r="H66">
            <v>0.60978626433370997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  <cell r="F67">
            <v>7.77916990145677E-2</v>
          </cell>
          <cell r="G67">
            <v>7.6692652182580298E-2</v>
          </cell>
          <cell r="H67">
            <v>0.13927338590671251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  <cell r="F68">
            <v>3.05820943614457E-2</v>
          </cell>
          <cell r="G68">
            <v>2.06673758332508E-2</v>
          </cell>
          <cell r="H68">
            <v>4.6809366571623698E-2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  <cell r="F69">
            <v>7.4827754021287995E-2</v>
          </cell>
          <cell r="G69">
            <v>8.0749126686875797E-2</v>
          </cell>
          <cell r="H69">
            <v>0.13589537880597599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  <cell r="F12">
            <v>0</v>
          </cell>
          <cell r="G12">
            <v>0</v>
          </cell>
          <cell r="H12">
            <v>0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  <cell r="F19">
            <v>4.3847690601567733</v>
          </cell>
          <cell r="G19">
            <v>5.9310556527778155</v>
          </cell>
          <cell r="H19">
            <v>7.7554595964000024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  <cell r="F20">
            <v>7.5489532579387584</v>
          </cell>
          <cell r="G20">
            <v>8.5079130146156547</v>
          </cell>
          <cell r="H20">
            <v>9.9632228382327561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  <cell r="F28">
            <v>5.5131804345032167</v>
          </cell>
          <cell r="G28">
            <v>6.9300136939994559</v>
          </cell>
          <cell r="H28">
            <v>7.5453277926652245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  <cell r="F38">
            <v>4.8202037946265071</v>
          </cell>
          <cell r="G38">
            <v>3.3886959878866847</v>
          </cell>
          <cell r="H38">
            <v>6.746335435768783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  <cell r="F39">
            <v>4.3991616381045366</v>
          </cell>
          <cell r="G39">
            <v>3.0926952527875322</v>
          </cell>
          <cell r="H39">
            <v>6.1570467372985558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  <cell r="F3">
            <v>54.537037100735745</v>
          </cell>
          <cell r="G3">
            <v>55.020944189780444</v>
          </cell>
          <cell r="H3">
            <v>56.415654322715731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  <cell r="F6">
            <v>18.086541775992476</v>
          </cell>
          <cell r="G6">
            <v>26.853132425342121</v>
          </cell>
          <cell r="H6">
            <v>31.90022761040165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  <cell r="F11">
            <v>64.427774642331528</v>
          </cell>
          <cell r="G11">
            <v>64.073424096038153</v>
          </cell>
          <cell r="H11">
            <v>64.716290171037912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  <cell r="F18">
            <v>1.1535659190434952E-3</v>
          </cell>
          <cell r="G18">
            <v>3.3862827112816783E-5</v>
          </cell>
          <cell r="H18">
            <v>4.4640298456509399E-4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  <cell r="F19">
            <v>15.494871119594109</v>
          </cell>
          <cell r="G19">
            <v>15.436573905953356</v>
          </cell>
          <cell r="H19">
            <v>18.027516400166011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  <cell r="F21">
            <v>10.769405444337723</v>
          </cell>
          <cell r="G21">
            <v>10.694841143978199</v>
          </cell>
          <cell r="H21">
            <v>5.3999477460187313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  <cell r="F22">
            <v>0.45063826472506829</v>
          </cell>
          <cell r="G22">
            <v>0.31342830358985824</v>
          </cell>
          <cell r="H22">
            <v>0.43869807366384322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5.8022148520167454</v>
          </cell>
          <cell r="G23">
            <v>6.6252761783644365</v>
          </cell>
          <cell r="H23">
            <v>6.5307441060635805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  <cell r="F24">
            <v>4.7949580875738436</v>
          </cell>
          <cell r="G24">
            <v>4.8357629007208027</v>
          </cell>
          <cell r="H24">
            <v>5.1741303472775551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  <cell r="F33">
            <v>14.332433783570524</v>
          </cell>
          <cell r="G33">
            <v>14.278989997734373</v>
          </cell>
          <cell r="H33">
            <v>14.172913345063757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  <cell r="F34">
            <v>3.3758379741792925</v>
          </cell>
          <cell r="G34">
            <v>1.5414123597831084</v>
          </cell>
          <cell r="H34">
            <v>5.6762242743685454E-6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  <cell r="F35">
            <v>1.459458673017327E-3</v>
          </cell>
          <cell r="G35">
            <v>3.7378203899344037E-5</v>
          </cell>
          <cell r="H35">
            <v>0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  <cell r="F36">
            <v>0.89360886822242402</v>
          </cell>
          <cell r="G36">
            <v>1.027568555085919</v>
          </cell>
          <cell r="H36">
            <v>0.37712876393132783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  <cell r="F37">
            <v>9.8875655752255547</v>
          </cell>
          <cell r="G37">
            <v>2.2628233282108781</v>
          </cell>
          <cell r="H37">
            <v>1.4247852078063035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  <cell r="F38">
            <v>1.5948039778285843</v>
          </cell>
          <cell r="G38">
            <v>1.5881689588350254</v>
          </cell>
          <cell r="H38">
            <v>0.52328144101595675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  <cell r="F39">
            <v>1.4655921303203623</v>
          </cell>
          <cell r="G39">
            <v>1.4655903959446728</v>
          </cell>
          <cell r="H39">
            <v>1.4655894120813804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  <cell r="F55">
            <v>10.335108164184762</v>
          </cell>
          <cell r="G55">
            <v>10.335107924269025</v>
          </cell>
          <cell r="H55">
            <v>10.335106412045851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  <cell r="F56">
            <v>6.907523429223513</v>
          </cell>
          <cell r="G56">
            <v>6.9132257117393614</v>
          </cell>
          <cell r="H56">
            <v>6.9132423906555003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  <cell r="F57">
            <v>3.3596075803927636</v>
          </cell>
          <cell r="G57">
            <v>2.0295968247155303</v>
          </cell>
          <cell r="H57">
            <v>0.30032287788350537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  <cell r="F58">
            <v>1.0187933699331588E-3</v>
          </cell>
          <cell r="G58">
            <v>2.6365650575499813E-5</v>
          </cell>
          <cell r="H58">
            <v>0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  <cell r="F59">
            <v>9.5592502410766436</v>
          </cell>
          <cell r="G59">
            <v>3.2233014589363749</v>
          </cell>
          <cell r="H59">
            <v>1.4297197562513158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6.0430647972070598E-3</v>
          </cell>
          <cell r="G60">
            <v>1.4671409315838921E-3</v>
          </cell>
          <cell r="H60">
            <v>0.51296808960842399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  <cell r="F61">
            <v>7.7577308055675072E-4</v>
          </cell>
          <cell r="G61">
            <v>2.2857408301151303E-5</v>
          </cell>
          <cell r="H61">
            <v>3.0355402950426404E-4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  <cell r="F62">
            <v>8.4709579546897125</v>
          </cell>
          <cell r="G62">
            <v>8.4605519761989409</v>
          </cell>
          <cell r="H62">
            <v>10.751765496317784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  <cell r="F63">
            <v>6.0837932458962927</v>
          </cell>
          <cell r="G63">
            <v>6.1158540440942133</v>
          </cell>
          <cell r="H63">
            <v>6.1158620070445515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  <cell r="F64">
            <v>6.379521124262574</v>
          </cell>
          <cell r="G64">
            <v>6.0180385666292002</v>
          </cell>
          <cell r="H64">
            <v>6.5386588555626544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  <cell r="F65">
            <v>0.54500189300149815</v>
          </cell>
          <cell r="G65">
            <v>0.54500631178396242</v>
          </cell>
          <cell r="H65">
            <v>0.54501847831632111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  <cell r="F66">
            <v>5.6862460746103185</v>
          </cell>
          <cell r="G66">
            <v>5.6468761240204923</v>
          </cell>
          <cell r="H66">
            <v>2.9375715738341892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  <cell r="F67">
            <v>0.45063826472506829</v>
          </cell>
          <cell r="G67">
            <v>0.31342830358985824</v>
          </cell>
          <cell r="H67">
            <v>0.43869807366384322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  <cell r="F68">
            <v>1.0420360046577777</v>
          </cell>
          <cell r="G68">
            <v>1.0420347715166616</v>
          </cell>
          <cell r="H68">
            <v>1.055224376698594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4.4244205059563475</v>
          </cell>
          <cell r="G69">
            <v>5.260428833055486</v>
          </cell>
          <cell r="H69">
            <v>5.2603979046828808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  <cell r="F70">
            <v>13.644950686147064</v>
          </cell>
          <cell r="G70">
            <v>21.626840386251452</v>
          </cell>
          <cell r="H70">
            <v>25.32898634342256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  <cell r="F71">
            <v>76.896892800072038</v>
          </cell>
          <cell r="G71">
            <v>77.531807600791026</v>
          </cell>
          <cell r="H71">
            <v>78.463846190017492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  <cell r="F3">
            <v>51.346090404756211</v>
          </cell>
          <cell r="G3">
            <v>47.541405731839141</v>
          </cell>
          <cell r="H3">
            <v>40.91908730321687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  <cell r="F6">
            <v>7.8317744872939077</v>
          </cell>
          <cell r="G6">
            <v>10.030477419830977</v>
          </cell>
          <cell r="H6">
            <v>15.118156820437941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  <cell r="F11">
            <v>57.134760962460184</v>
          </cell>
          <cell r="G11">
            <v>54.456921839971123</v>
          </cell>
          <cell r="H11">
            <v>47.063006204795855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  <cell r="F12">
            <v>8.5633263234644481</v>
          </cell>
          <cell r="G12">
            <v>2.7450723974122702</v>
          </cell>
          <cell r="H12">
            <v>1.3055876843532496E-5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  <cell r="F13">
            <v>1.1586249521121804E-3</v>
          </cell>
          <cell r="G13">
            <v>7.5277936456693466E-4</v>
          </cell>
          <cell r="H13">
            <v>0.17469059996447323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  <cell r="F14">
            <v>9.0796520831130678</v>
          </cell>
          <cell r="G14">
            <v>4.8825445393725335</v>
          </cell>
          <cell r="H14">
            <v>3.021076697667795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  <cell r="F15">
            <v>0.47177735215157413</v>
          </cell>
          <cell r="G15">
            <v>2.0729850838815017E-4</v>
          </cell>
          <cell r="H15">
            <v>5.4210259352092081E-4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  <cell r="F17">
            <v>11.070638272481794</v>
          </cell>
          <cell r="G17">
            <v>12.09499370716526</v>
          </cell>
          <cell r="H17">
            <v>10.294001452381703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  <cell r="F19">
            <v>0.95698512169586469</v>
          </cell>
          <cell r="G19">
            <v>1.1346638164508012</v>
          </cell>
          <cell r="H19">
            <v>1.244858172039188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  <cell r="F20">
            <v>2.36834783596762E-3</v>
          </cell>
          <cell r="G20">
            <v>9.8560235673035134E-4</v>
          </cell>
          <cell r="H20">
            <v>0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  <cell r="F21">
            <v>15.36599572519771</v>
          </cell>
          <cell r="G21">
            <v>20.087477393961411</v>
          </cell>
          <cell r="H21">
            <v>19.719913043387791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  <cell r="F28">
            <v>5.7886705577039752</v>
          </cell>
          <cell r="G28">
            <v>6.915516108131972</v>
          </cell>
          <cell r="H28">
            <v>6.1439189015789877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  <cell r="F47">
            <v>18.083634430942045</v>
          </cell>
          <cell r="G47">
            <v>23.45024893492355</v>
          </cell>
          <cell r="H47">
            <v>22.624966781022238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  <cell r="F48">
            <v>7.0078559863951133</v>
          </cell>
          <cell r="G48">
            <v>2.2467606071545001</v>
          </cell>
          <cell r="H48">
            <v>0.14295057645691076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  <cell r="F49">
            <v>6.2551492287845933</v>
          </cell>
          <cell r="G49">
            <v>1.9251330004847238</v>
          </cell>
          <cell r="H49">
            <v>0.76530766439308628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  <cell r="F50">
            <v>4.9017782199402191</v>
          </cell>
          <cell r="G50">
            <v>5.8224369897678594</v>
          </cell>
          <cell r="H50">
            <v>5.1203341007037064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  <cell r="F52">
            <v>9.1781661621739072</v>
          </cell>
          <cell r="G52">
            <v>10.027412985820982</v>
          </cell>
          <cell r="H52">
            <v>8.5342916531260329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  <cell r="F53">
            <v>4.1296955288928725</v>
          </cell>
          <cell r="G53">
            <v>2.6557029308394422</v>
          </cell>
          <cell r="H53">
            <v>1.0354321404931017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  <cell r="F54">
            <v>0.12983617990710486</v>
          </cell>
          <cell r="G54">
            <v>8.300229284373116E-2</v>
          </cell>
          <cell r="H54">
            <v>2.7828734409430331E-2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  <cell r="F55">
            <v>0.95698512169586469</v>
          </cell>
          <cell r="G55">
            <v>1.1346638164508012</v>
          </cell>
          <cell r="H55">
            <v>1.244858172039188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  <cell r="F58">
            <v>7.8317744872939077</v>
          </cell>
          <cell r="G58">
            <v>10.030477419830977</v>
          </cell>
          <cell r="H58">
            <v>15.118156820437941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  <cell r="F59">
            <v>58.730557658760517</v>
          </cell>
          <cell r="G59">
            <v>57.580051500850502</v>
          </cell>
          <cell r="H59">
            <v>54.7510004951436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  <cell r="F3">
            <v>43.800469855140783</v>
          </cell>
          <cell r="G3">
            <v>40.740286489467167</v>
          </cell>
          <cell r="H3">
            <v>34.487681907587792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  <cell r="F10">
            <v>17.396314296541533</v>
          </cell>
          <cell r="G10">
            <v>21.978833614400816</v>
          </cell>
          <cell r="H10">
            <v>32.511872029656651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  <cell r="F15">
            <v>68.174937859294076</v>
          </cell>
          <cell r="G15">
            <v>66.567970177116848</v>
          </cell>
          <cell r="H15">
            <v>56.668024395757982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  <cell r="F16">
            <v>13.306783941340617</v>
          </cell>
          <cell r="G16">
            <v>3.6683095428333479</v>
          </cell>
          <cell r="H16">
            <v>1.7245662970090557E-5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  <cell r="F17">
            <v>1.1597408314728561E-3</v>
          </cell>
          <cell r="G17">
            <v>7.6351716117113765E-4</v>
          </cell>
          <cell r="H17">
            <v>0.37364523081764806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  <cell r="F18">
            <v>19.556932735034145</v>
          </cell>
          <cell r="G18">
            <v>10.560099497454329</v>
          </cell>
          <cell r="H18">
            <v>6.5073006156038895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  <cell r="F19">
            <v>0.59825629801553581</v>
          </cell>
          <cell r="G19">
            <v>1.2387380619987033E-4</v>
          </cell>
          <cell r="H19">
            <v>4.8082562779950649E-4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  <cell r="F21">
            <v>17.112336563829238</v>
          </cell>
          <cell r="G21">
            <v>18.46093339395166</v>
          </cell>
          <cell r="H21">
            <v>16.246693888214367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  <cell r="F22">
            <v>9.5848568103682492</v>
          </cell>
          <cell r="G22">
            <v>6.8109862297502275</v>
          </cell>
          <cell r="H22">
            <v>2.6609798793679653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  <cell r="F23">
            <v>1.7792106923598565</v>
          </cell>
          <cell r="G23">
            <v>2.0701839494158771</v>
          </cell>
          <cell r="H23">
            <v>2.3233753242039681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  <cell r="F24">
            <v>2.9252745355009008E-3</v>
          </cell>
          <cell r="G24">
            <v>1.1017786162851406E-3</v>
          </cell>
          <cell r="H24">
            <v>0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  <cell r="F25">
            <v>51.690138980838469</v>
          </cell>
          <cell r="G25">
            <v>60.534156971785727</v>
          </cell>
          <cell r="H25">
            <v>59.231317100699101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  <cell r="F26">
            <v>181.80753889644717</v>
          </cell>
          <cell r="G26">
            <v>168.67462893189168</v>
          </cell>
          <cell r="H26">
            <v>144.01183450595568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  <cell r="F102">
            <v>2.4326086670067151E-2</v>
          </cell>
          <cell r="G102">
            <v>1.914373121271162E-2</v>
          </cell>
          <cell r="H102">
            <v>1.0735313849852907E-2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  <cell r="F104">
            <v>55.812134392201322</v>
          </cell>
          <cell r="G104">
            <v>62.63481143108401</v>
          </cell>
          <cell r="H104">
            <v>56.784523368198933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  <cell r="F105">
            <v>9.5948829049909552</v>
          </cell>
          <cell r="G105">
            <v>2.4931680532133198</v>
          </cell>
          <cell r="H105">
            <v>0.28236727067912809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  <cell r="F106">
            <v>11.295631847746165</v>
          </cell>
          <cell r="G106">
            <v>3.5200829038975039</v>
          </cell>
          <cell r="H106">
            <v>1.3887783455359406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  <cell r="F107">
            <v>7.3932974170739669</v>
          </cell>
          <cell r="G107">
            <v>8.268153305586468</v>
          </cell>
          <cell r="H107">
            <v>7.0341038069441364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  <cell r="F110">
            <v>11.491694937908507</v>
          </cell>
          <cell r="G110">
            <v>12.146477276347044</v>
          </cell>
          <cell r="H110">
            <v>10.239006403888965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  <cell r="F111">
            <v>5.6552024074698926</v>
          </cell>
          <cell r="G111">
            <v>3.976706156825863</v>
          </cell>
          <cell r="H111">
            <v>1.5835479324562804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  <cell r="F112">
            <v>0.1117497698839255</v>
          </cell>
          <cell r="G112">
            <v>8.0229054640922476E-2</v>
          </cell>
          <cell r="H112">
            <v>2.7677175583681417E-2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  <cell r="F113">
            <v>4.7661667746206303E-2</v>
          </cell>
          <cell r="G113">
            <v>4.8389949779549767E-2</v>
          </cell>
          <cell r="H113">
            <v>4.6780948321432834E-2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  <cell r="F116">
            <v>118.82289572823254</v>
          </cell>
          <cell r="G116">
            <v>115.16599547698821</v>
          </cell>
          <cell r="H116">
            <v>109.90939259511498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  <cell r="F224">
            <v>23.856923027180116</v>
          </cell>
          <cell r="G224">
            <v>25.917388887605302</v>
          </cell>
          <cell r="H224">
            <v>26.457586286007434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  <cell r="F231">
            <v>1.7712908641990373</v>
          </cell>
          <cell r="G231">
            <v>1.6015580382194106</v>
          </cell>
          <cell r="H231">
            <v>1.3905644450116068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  <cell r="F233">
            <v>67.215799837631351</v>
          </cell>
          <cell r="G233">
            <v>76.859581447843325</v>
          </cell>
          <cell r="H233">
            <v>72.526407258763527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  <cell r="F234">
            <v>10.854613833475803</v>
          </cell>
          <cell r="G234">
            <v>2.9455308220314578</v>
          </cell>
          <cell r="H234">
            <v>0.31105092276333679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  <cell r="F235">
            <v>13.069543802592431</v>
          </cell>
          <cell r="G235">
            <v>4.2888336538212499</v>
          </cell>
          <cell r="H235">
            <v>1.720491197355039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  <cell r="F236">
            <v>10.155321664263592</v>
          </cell>
          <cell r="G236">
            <v>11.741408894691016</v>
          </cell>
          <cell r="H236">
            <v>10.651865688571888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  <cell r="F239">
            <v>13.935223825495187</v>
          </cell>
          <cell r="G239">
            <v>14.970546126658089</v>
          </cell>
          <cell r="H239">
            <v>13.060800067762102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  <cell r="F240">
            <v>6.3630672379340396</v>
          </cell>
          <cell r="G240">
            <v>4.5248965017793834</v>
          </cell>
          <cell r="H240">
            <v>1.8346075293699413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  <cell r="F241">
            <v>0.13943270091982407</v>
          </cell>
          <cell r="G241">
            <v>0.10201131573288144</v>
          </cell>
          <cell r="H241">
            <v>3.5944417664380203E-2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  <cell r="F242">
            <v>1.7792106923598565</v>
          </cell>
          <cell r="G242">
            <v>2.0701839494158771</v>
          </cell>
          <cell r="H242">
            <v>2.3233753242039681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  <cell r="F244">
            <v>17.396314296541533</v>
          </cell>
          <cell r="G244">
            <v>21.978833614400816</v>
          </cell>
          <cell r="H244">
            <v>32.511872029656651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  <cell r="F245">
            <v>142.67981875541267</v>
          </cell>
          <cell r="G245">
            <v>141.08338436459351</v>
          </cell>
          <cell r="H245">
            <v>136.36697888112246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  <cell r="F21">
            <v>26.400066223000316</v>
          </cell>
          <cell r="G21">
            <v>11.17682009625603</v>
          </cell>
          <cell r="H21">
            <v>0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  <cell r="F22">
            <v>38.145770553132664</v>
          </cell>
          <cell r="G22">
            <v>34.057676815975981</v>
          </cell>
          <cell r="H22">
            <v>0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  <cell r="F23">
            <v>1.3565025409282399</v>
          </cell>
          <cell r="G23">
            <v>0.33363861609122991</v>
          </cell>
          <cell r="H23">
            <v>-4.004308229887954E-6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  <cell r="F24">
            <v>2.2812835590487177E-3</v>
          </cell>
          <cell r="G24">
            <v>2.3662320843360314E-3</v>
          </cell>
          <cell r="H24">
            <v>1.5272739871773607E-3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  <cell r="F25">
            <v>2.2617755364657395</v>
          </cell>
          <cell r="G25">
            <v>4.3469414270746283</v>
          </cell>
          <cell r="H25">
            <v>0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  <cell r="F26">
            <v>1.7832835437225809</v>
          </cell>
          <cell r="G26">
            <v>1.188930186604696</v>
          </cell>
          <cell r="H26">
            <v>5.0844498306297208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  <cell r="F27">
            <v>6.5455839634220349E-4</v>
          </cell>
          <cell r="G27">
            <v>1.1298671988994095E-4</v>
          </cell>
          <cell r="H27">
            <v>1.9960254596432825E-4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  <cell r="F28">
            <v>1.1939890599610901</v>
          </cell>
          <cell r="G28">
            <v>1.78699477820999</v>
          </cell>
          <cell r="H28">
            <v>1.69077919202133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  <cell r="F32">
            <v>9.5459499000953033E-2</v>
          </cell>
          <cell r="G32">
            <v>0.35824367449641348</v>
          </cell>
          <cell r="H32">
            <v>0.85742843551034753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  <cell r="F11">
            <v>67.277606383826424</v>
          </cell>
          <cell r="G11">
            <v>54.843942651364912</v>
          </cell>
          <cell r="H11">
            <v>23.884473378278813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  <cell r="F12">
            <v>16.819403264778323</v>
          </cell>
          <cell r="G12">
            <v>28.252938792519583</v>
          </cell>
          <cell r="H12">
            <v>55.730435247675842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2.3369828769481701E-4</v>
          </cell>
          <cell r="G13">
            <v>0.18231201097447072</v>
          </cell>
          <cell r="H13">
            <v>0.55939569789311061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  <cell r="F53">
            <v>2.5764589116274688</v>
          </cell>
          <cell r="G53">
            <v>2.382061853585038</v>
          </cell>
          <cell r="H53">
            <v>2.4058645536327692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  <cell r="F55">
            <v>3.9560584202378983</v>
          </cell>
          <cell r="G55">
            <v>3.3224320498981945</v>
          </cell>
          <cell r="H55">
            <v>3.303927519302273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  <cell r="F56">
            <v>1.165924604513964</v>
          </cell>
          <cell r="G56">
            <v>0.48718411604592399</v>
          </cell>
          <cell r="H56">
            <v>0.17099556487655101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  <cell r="F57">
            <v>2.5154370351942021</v>
          </cell>
          <cell r="G57">
            <v>1.3029660478514851</v>
          </cell>
          <cell r="H57">
            <v>0.36818556977830791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  <cell r="F58">
            <v>4.915532990166211</v>
          </cell>
          <cell r="G58">
            <v>3.395603932073969</v>
          </cell>
          <cell r="H58">
            <v>8.7166895647563004E-5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-5.1786195104832879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-1.0704112467621498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-1.5784930445532023E-5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  <cell r="J99">
            <v>13.131644232069648</v>
          </cell>
          <cell r="K99">
            <v>13.276607642788305</v>
          </cell>
          <cell r="L99">
            <v>2.0423917915073284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7" sqref="F7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411.98846644876869</v>
      </c>
      <c r="K2" s="3">
        <f t="shared" si="0"/>
        <v>449.72730092863293</v>
      </c>
      <c r="L2" s="3">
        <f t="shared" ref="L2" si="1">L3+L8+L11+L12+L16+L17+L18+L19</f>
        <v>484.84232782305207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47.710008800393581</v>
      </c>
      <c r="K3" s="1">
        <f t="shared" si="4"/>
        <v>47.710007919799537</v>
      </c>
      <c r="L3" s="1">
        <f t="shared" ref="L3" si="5">SUM(L4:L7)</f>
        <v>47.71001312910002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SUMPRODUCT(("RNWWOD1"=[1]OUT_PrimaryEnergyCons!$A$1:$A$1000)*1,[1]OUT_PrimaryEnergyCons!H$1:H$1000)</f>
        <v>15.849135732873483</v>
      </c>
      <c r="K4" s="1" cm="1">
        <f t="array" ref="K4">SUMPRODUCT(("RNWWOD1"=[1]OUT_PrimaryEnergyCons!$A$1:$A$1000)*1,[1]OUT_PrimaryEnergyCons!I$1:I$1000)</f>
        <v>16.266394093671817</v>
      </c>
      <c r="L4" s="1" cm="1">
        <f t="array" ref="L4">SUMPRODUCT(("RNWWOD1"=[1]OUT_PrimaryEnergyCons!$A$1:$A$1000)*1,[1]OUT_PrimaryEnergyCons!J$1:J$1000)</f>
        <v>16.956994922867857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SUMPRODUCT(("RNWWOD2"=[1]OUT_PrimaryEnergyCons!$A$1:$A$1000)*1,[1]OUT_PrimaryEnergyCons!H$1:H$1000)</f>
        <v>7.6690246858529774</v>
      </c>
      <c r="K5" s="1" cm="1">
        <f t="array" ref="K5">SUMPRODUCT(("RNWWOD2"=[1]OUT_PrimaryEnergyCons!$A$1:$A$1000)*1,[1]OUT_PrimaryEnergyCons!I$1:I$1000)</f>
        <v>7.6690258810768253</v>
      </c>
      <c r="L5" s="1" cm="1">
        <f t="array" ref="L5">SUMPRODUCT(("RNWWOD2"=[1]OUT_PrimaryEnergyCons!$A$1:$A$1000)*1,[1]OUT_PrimaryEnergyCons!J$1:J$1000)</f>
        <v>7.6690284365955339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SUMPRODUCT(("RNWWOD3"=[1]OUT_PrimaryEnergyCons!$A$1:$A$1000)*1,[1]OUT_PrimaryEnergyCons!H$1:H$1000)</f>
        <v>4.8053827120180399</v>
      </c>
      <c r="K6" s="1" cm="1">
        <f t="array" ref="K6">SUMPRODUCT(("RNWWOD3"=[1]OUT_PrimaryEnergyCons!$A$1:$A$1000)*1,[1]OUT_PrimaryEnergyCons!I$1:I$1000)</f>
        <v>4.8053842914062042</v>
      </c>
      <c r="L6" s="1" cm="1">
        <f t="array" ref="L6">SUMPRODUCT(("RNWWOD3"=[1]OUT_PrimaryEnergyCons!$A$1:$A$1000)*1,[1]OUT_PrimaryEnergyCons!J$1:J$1000)</f>
        <v>4.8053873011821269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SUMPRODUCT(("RNWWOD4"=[1]OUT_PrimaryEnergyCons!$A$1:$A$1000)*1+("RNWWOD5"=[1]OUT_PrimaryEnergyCons!$A$1:$A$1000)*1,[1]OUT_PrimaryEnergyCons!H$1:H$1000)</f>
        <v>19.38646566964908</v>
      </c>
      <c r="K7" s="1" cm="1">
        <f t="array" ref="K7">SUMPRODUCT(("RNWWOD4"=[1]OUT_PrimaryEnergyCons!$A$1:$A$1000)*1+("RNWWOD5"=[1]OUT_PrimaryEnergyCons!$A$1:$A$1000)*1,[1]OUT_PrimaryEnergyCons!I$1:I$1000)</f>
        <v>18.969203653644687</v>
      </c>
      <c r="L7" s="1" cm="1">
        <f t="array" ref="L7">SUMPRODUCT(("RNWWOD4"=[1]OUT_PrimaryEnergyCons!$A$1:$A$1000)*1+("RNWWOD5"=[1]OUT_PrimaryEnergyCons!$A$1:$A$1000)*1,[1]OUT_PrimaryEnergyCons!J$1:J$1000)</f>
        <v>18.278602468454505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72.060311257488493</v>
      </c>
      <c r="K8" s="1">
        <f t="shared" si="9"/>
        <v>74.178221169183757</v>
      </c>
      <c r="L8" s="1">
        <f t="shared" ref="L8" si="10">SUM(L9:L10)</f>
        <v>78.171004826056333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SUMPRODUCT(("RNNWWST1"=[1]OUT_PrimaryEnergyCons!$A$1:$A$1000)*1,[1]OUT_PrimaryEnergyCons!H$1:H$1000)</f>
        <v>34.93760162948027</v>
      </c>
      <c r="K9" s="1" cm="1">
        <f t="array" ref="K9">SUMPRODUCT(("RNNWWST1"=[1]OUT_PrimaryEnergyCons!$A$1:$A$1000)*1,[1]OUT_PrimaryEnergyCons!I$1:I$1000)</f>
        <v>35.159448732412471</v>
      </c>
      <c r="L9" s="1" cm="1">
        <f t="array" ref="L9">SUMPRODUCT(("RNNWWST1"=[1]OUT_PrimaryEnergyCons!$A$1:$A$1000)*1,[1]OUT_PrimaryEnergyCons!J$1:J$1000)</f>
        <v>35.852898963112906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SUMPRODUCT(("RNWWST1"=[1]OUT_PrimaryEnergyCons!$A$1:$A$1000)*1,[1]OUT_PrimaryEnergyCons!H$1:H$1000)</f>
        <v>37.122709628008224</v>
      </c>
      <c r="K10" s="1" cm="1">
        <f t="array" ref="K10">SUMPRODUCT(("RNWWST1"=[1]OUT_PrimaryEnergyCons!$A$1:$A$1000)*1,[1]OUT_PrimaryEnergyCons!I$1:I$1000)</f>
        <v>39.018772436771279</v>
      </c>
      <c r="L10" s="1" cm="1">
        <f t="array" ref="L10">SUMPRODUCT(("RNWWST1"=[1]OUT_PrimaryEnergyCons!$A$1:$A$1000)*1,[1]OUT_PrimaryEnergyCons!J$1:J$1000)</f>
        <v>42.318105862943426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SUMPRODUCT(("mnr"=[1]OUT_PrimaryEnergyCons!$C$1:$C$1000)*1,[1]OUT_PrimaryEnergyCons!H$1:H$1000)</f>
        <v>12.540439512048358</v>
      </c>
      <c r="K11" s="1" cm="1">
        <f t="array" ref="K11">SUMPRODUCT(("mnr"=[1]OUT_PrimaryEnergyCons!$C$1:$C$1000)*1,[1]OUT_PrimaryEnergyCons!I$1:I$1000)</f>
        <v>16.962819166944538</v>
      </c>
      <c r="L11" s="1" cm="1">
        <f t="array" ref="L11">SUMPRODUCT(("mnr"=[1]OUT_PrimaryEnergyCons!$C$1:$C$1000)*1,[1]OUT_PrimaryEnergyCons!J$1:J$1000)</f>
        <v>22.180614445703981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151.92336608352662</v>
      </c>
      <c r="K12" s="1">
        <f t="shared" si="11"/>
        <v>152.16086087397204</v>
      </c>
      <c r="L12" s="1">
        <f t="shared" ref="L12" si="12">SUM(L13:L15)</f>
        <v>152.52842564430136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72.138715427381754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72.144661683375418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68.851731887437211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63.847364707117038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63.841746569486027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67.134678889880689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15.93728594902783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16.174452621110593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16.542014866983465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SUMPRODUCT(ISNUMBER(SEARCH("SOL",[1]OUT_PrimaryEnergyCons!$C$1:$C$1000))*1,[1]OUT_PrimaryEnergyCons!H$1:H$1000)</f>
        <v>52.986078390124369</v>
      </c>
      <c r="K16" s="1" cm="1">
        <f t="array" ref="K16">SUMPRODUCT(ISNUMBER(SEARCH("SOL",[1]OUT_PrimaryEnergyCons!$C$1:$C$1000))*1,[1]OUT_PrimaryEnergyCons!I$1:I$1000)</f>
        <v>67.483187107516756</v>
      </c>
      <c r="L16" s="1" cm="1">
        <f t="array" ref="L16">SUMPRODUCT(ISNUMBER(SEARCH("SOL",[1]OUT_PrimaryEnergyCons!$C$1:$C$1000))*1,[1]OUT_PrimaryEnergyCons!J$1:J$1000)</f>
        <v>94.006893980840331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SUMPRODUCT(ISNUMBER(SEARCH("wnd",[1]OUT_PrimaryEnergyCons!$C$1:$C$1000))*1,[1]OUT_PrimaryEnergyCons!H$1:H$1000)</f>
        <v>2.9171696115772812</v>
      </c>
      <c r="K17" s="1" cm="1">
        <f t="array" ref="K17">SUMPRODUCT(ISNUMBER(SEARCH("wnd",[1]OUT_PrimaryEnergyCons!$C$1:$C$1000))*1,[1]OUT_PrimaryEnergyCons!I$1:I$1000)</f>
        <v>5.7748074247483627</v>
      </c>
      <c r="L17" s="1" cm="1">
        <f t="array" ref="L17">SUMPRODUCT(ISNUMBER(SEARCH("wnd",[1]OUT_PrimaryEnergyCons!$C$1:$C$1000))*1,[1]OUT_PrimaryEnergyCons!J$1:J$1000)</f>
        <v>6.1200153056855848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[1]Overview!F$9-J19</f>
        <v>71.851092793610022</v>
      </c>
      <c r="K18" s="1">
        <f>[1]Overview!G$9-K19</f>
        <v>85.457397266467936</v>
      </c>
      <c r="L18" s="1">
        <f>[1]Overview!H$9-L19</f>
        <v>84.125360491364447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0</v>
      </c>
      <c r="L19" s="1">
        <f>+[1]Overview!H$28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388.73834183219566</v>
      </c>
      <c r="K20" s="3">
        <f t="shared" si="13"/>
        <v>258.12286932996915</v>
      </c>
      <c r="L20" s="3">
        <f t="shared" ref="L20" si="14">SUM(L21:L22,L41,L50:L51,L56)</f>
        <v>111.48789909996219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SUMPRODUCT(("COA"=[1]OUT_PrimaryEnergyCons!$C$4:$C$10000)*1,[1]OUT_PrimaryEnergyCons!H$4:H$10000)</f>
        <v>1.1535659190434952E-3</v>
      </c>
      <c r="K21" s="1" cm="1">
        <f t="array" ref="K21">SUMPRODUCT(("COA"=[1]OUT_PrimaryEnergyCons!$C$4:$C$10000)*1,[1]OUT_PrimaryEnergyCons!I$4:I$10000)</f>
        <v>3.3862827112816783E-5</v>
      </c>
      <c r="L21" s="1" cm="1">
        <f t="array" ref="L21">SUMPRODUCT(("COA"=[1]OUT_PrimaryEnergyCons!$C$4:$C$10000)*1,[1]OUT_PrimaryEnergyCons!J$4:J$10000)</f>
        <v>4.4640298456509399E-4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116.27881890627926</v>
      </c>
      <c r="K22" s="1">
        <f t="shared" si="15"/>
        <v>91.075097205682511</v>
      </c>
      <c r="L22" s="1">
        <f t="shared" ref="L22" si="16">L23+L29</f>
        <v>64.210331617510121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93.09389723766067</v>
      </c>
      <c r="K23" s="1">
        <f t="shared" si="20"/>
        <v>54.342555983323457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SUMPRODUCT(("LFO"=[1]OUT_PrimaryEnergyCons!$C$4:$C$10000)*1,[1]OUT_PrimaryEnergyCons!H$4:H$10000)</f>
        <v>26.207119588248101</v>
      </c>
      <c r="K24" s="1" cm="1">
        <f t="array" ref="K24">SUMPRODUCT(("LFO"=[1]OUT_PrimaryEnergyCons!$C$4:$C$10000)*1,[1]OUT_PrimaryEnergyCons!I$4:I$10000)</f>
        <v>8.0947184179825804</v>
      </c>
      <c r="L24" s="1" cm="1">
        <f t="array" ref="L24">SUMPRODUCT(("LFO"=[1]OUT_PrimaryEnergyCons!$C$4:$C$10000)*1,[1]OUT_PrimaryEnergyCons!J$4:J$10000)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SUMPRODUCT(("HFO"=[1]OUT_PrimaryEnergyCons!$C$4:$C$10000)*1,[1]OUT_PrimaryEnergyCons!H$4:H$10000)</f>
        <v>1.4842473332170856E-3</v>
      </c>
      <c r="K25" s="1" cm="1">
        <f t="array" ref="K25">SUMPRODUCT(("HFO"=[1]OUT_PrimaryEnergyCons!$C$4:$C$10000)*1,[1]OUT_PrimaryEnergyCons!I$4:I$10000)</f>
        <v>3.80130664086212E-5</v>
      </c>
      <c r="L25" s="1" cm="1">
        <f t="array" ref="L25">SUMPRODUCT(("HFO"=[1]OUT_PrimaryEnergyCons!$C$4:$C$10000)*1,[1]OUT_PrimaryEnergyCons!J$4:J$10000)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SUMPRODUCT(("DSL"=[1]OUT_PrimaryEnergyCons!$C$4:$C$10000)*1,[1]OUT_PrimaryEnergyCons!H$4:H$10000)</f>
        <v>38.714726224310986</v>
      </c>
      <c r="K26" s="1" cm="1">
        <f t="array" ref="K26">SUMPRODUCT(("DSL"=[1]OUT_PrimaryEnergyCons!$C$4:$C$10000)*1,[1]OUT_PrimaryEnergyCons!I$4:I$10000)</f>
        <v>34.565657336244008</v>
      </c>
      <c r="L26" s="1" cm="1">
        <f t="array" ref="L26">SUMPRODUCT(("DSL"=[1]OUT_PrimaryEnergyCons!$C$4:$C$10000)*1,[1]OUT_PrimaryEnergyCons!J$4:J$10000)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SUMPRODUCT(("GSL"=[1]OUT_PrimaryEnergyCons!$C$4:$C$10000)*1,[1]OUT_PrimaryEnergyCons!H$4:H$10000)</f>
        <v>26.79383117201704</v>
      </c>
      <c r="K27" s="1" cm="1">
        <f t="array" ref="K27">SUMPRODUCT(("GSL"=[1]OUT_PrimaryEnergyCons!$C$4:$C$10000)*1,[1]OUT_PrimaryEnergyCons!I$4:I$10000)</f>
        <v>11.343525770092832</v>
      </c>
      <c r="L27" s="1" cm="1">
        <f t="array" ref="L27">SUMPRODUCT(("GSL"=[1]OUT_PrimaryEnergyCons!$C$4:$C$10000)*1,[1]OUT_PrimaryEnergyCons!J$4:J$10000)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SUMPRODUCT(("KER"=[1]OUT_PrimaryEnergyCons!$C$4:$C$10000)*1,[1]OUT_PrimaryEnergyCons!H$4:H$10000)</f>
        <v>1.3767360057513194</v>
      </c>
      <c r="K28" s="1" cm="1">
        <f t="array" ref="K28">SUMPRODUCT(("KER"=[1]OUT_PrimaryEnergyCons!$C$4:$C$10000)*1,[1]OUT_PrimaryEnergyCons!I$4:I$10000)</f>
        <v>0.3386164459376283</v>
      </c>
      <c r="L28" s="1" cm="1">
        <f t="array" ref="L28">SUMPRODUCT(("KER"=[1]OUT_PrimaryEnergyCons!$C$4:$C$10000)*1,[1]OUT_PrimaryEnergyCons!J$4:J$10000)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23.184921668618582</v>
      </c>
      <c r="K29" s="1">
        <f t="shared" si="25"/>
        <v>36.73254122235906</v>
      </c>
      <c r="L29" s="1">
        <f t="shared" ref="L29" si="26">SUM(L30:L32)</f>
        <v>64.210331617510121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SUMPRODUCT(ISNUMBER(SEARCH("IMPBDS",[1]OUT_SyntheticFuels!$C$4:$C$1000))*1,("Var_Fout"=[1]OUT_SyntheticFuels!$B$4:$B$1000)*1,[1]OUT_SyntheticFuels!I$4:I$1000)-J32</f>
        <v>2.8760187432177275</v>
      </c>
      <c r="K30" s="1" cm="1">
        <f t="array" ref="K30">SUMPRODUCT(ISNUMBER(SEARCH("IMPBDS",[1]OUT_SyntheticFuels!$C$4:$C$1000))*1,("Var_Fout"=[1]OUT_SyntheticFuels!$B$4:$B$1000)*1,[1]OUT_SyntheticFuels!J$4:J$1000)-K32</f>
        <v>2.2808302700088632</v>
      </c>
      <c r="L30" s="1" cm="1">
        <f t="array" ref="L30">SUMPRODUCT(ISNUMBER(SEARCH("IMPBDS",[1]OUT_SyntheticFuels!$C$4:$C$1000))*1,("Var_Fout"=[1]OUT_SyntheticFuels!$B$4:$B$1000)*1,[1]OUT_SyntheticFuels!K$4:K$1000)-L32</f>
        <v>6.7891171778129475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SUMPRODUCT(ISNUMBER(SEARCH("IMPeth",[1]OUT_SyntheticFuels!$C$4:$C$1000))*1,("Var_Fout"=[1]OUT_SyntheticFuels!$B$4:$B$1000)*1,[1]OUT_SyntheticFuels!I$4:I$1000)</f>
        <v>2.2955106006614416</v>
      </c>
      <c r="K31" s="1" cm="1">
        <f t="array" ref="K31">SUMPRODUCT(ISNUMBER(SEARCH("IMPeth",[1]OUT_SyntheticFuels!$C$4:$C$1000))*1,("Var_Fout"=[1]OUT_SyntheticFuels!$B$4:$B$1000)*1,[1]OUT_SyntheticFuels!J$4:J$1000)</f>
        <v>4.4117773816206203</v>
      </c>
      <c r="L31" s="1" cm="1">
        <f t="array" ref="L31">SUMPRODUCT(ISNUMBER(SEARCH("IMPeth",[1]OUT_SyntheticFuels!$C$4:$C$1000))*1,("Var_Fout"=[1]OUT_SyntheticFuels!$B$4:$B$1000)*1,[1]OUT_SyntheticFuels!K$4:K$1000)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SUM([1]Transport_Aviation_Intl!F$12,[1]Transport!F$28)</f>
        <v>18.013392324739414</v>
      </c>
      <c r="K32" s="1">
        <f>SUM([1]Transport_Aviation_Intl!G$12,[1]Transport!G$28)</f>
        <v>30.039933570729573</v>
      </c>
      <c r="L32" s="1">
        <f>SUM([1]Transport_Aviation_Intl!H$12,[1]Transport!H$28)</f>
        <v>57.421214439697174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10.418236926449094</v>
      </c>
      <c r="K33" s="1">
        <f>SUM(K34:K36)</f>
        <v>24.705999976368897</v>
      </c>
      <c r="L33" s="1">
        <f>SUM(L34:L36)</f>
        <v>33.890090226168766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2.8760187432177275</v>
      </c>
      <c r="K34" s="1">
        <f>IF(K30-MAX(F30:J30)&lt;0,K30,MAX(F30:J30))</f>
        <v>2.2808302700088632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2.2955106006614416</v>
      </c>
      <c r="K35" s="1">
        <f>IF(K31-MAX(F31:J31)&lt;0,K31,MAX(F31:J31))</f>
        <v>4.4117773816206203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18.013392324739414</v>
      </c>
      <c r="L36" s="1">
        <f>IF(L32-MAX(H32:K32)&lt;0,L32,MAX(H32:K32))</f>
        <v>30.039933570729573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12.76668474216949</v>
      </c>
      <c r="K37" s="1">
        <f t="shared" si="29"/>
        <v>12.02654124599016</v>
      </c>
      <c r="L37" s="1">
        <f t="shared" ref="L37" si="30">SUM(L38:L40)</f>
        <v>30.320241391341355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2.9389605223737565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12.76668474216949</v>
      </c>
      <c r="K40" s="1">
        <f t="shared" si="31"/>
        <v>12.02654124599016</v>
      </c>
      <c r="L40" s="1">
        <f t="shared" ref="L40" si="34">L32-L36</f>
        <v>27.3812808689676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56.640053860485359</v>
      </c>
      <c r="K41" s="1">
        <f t="shared" si="36"/>
        <v>29.771255713936107</v>
      </c>
      <c r="L41" s="1">
        <f t="shared" ref="L41" si="37">L42+L45</f>
        <v>17.359168415812341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52.39219261221487</v>
      </c>
      <c r="K42" s="1">
        <f t="shared" si="38"/>
        <v>27.636155595933612</v>
      </c>
      <c r="L42" s="1">
        <f t="shared" ref="L42" si="39">L43+L44</f>
        <v>15.224610753669696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SUMPRODUCT(("NGA"=[1]OUT_PrimaryEnergyCons!$C$4:$C$10000)*1,[1]OUT_PrimaryEnergyCons!H$4:H$10000)</f>
        <v>52.3900413434664</v>
      </c>
      <c r="K43" s="1" cm="1">
        <f t="array" ref="K43">SUMPRODUCT(("NGA"=[1]OUT_PrimaryEnergyCons!$C$4:$C$10000)*1,[1]OUT_PrimaryEnergyCons!I$4:I$10000)</f>
        <v>27.635321779047906</v>
      </c>
      <c r="L43" s="1" cm="1">
        <f t="array" ref="L43">SUMPRODUCT(("NGA"=[1]OUT_PrimaryEnergyCons!$C$4:$C$10000)*1,[1]OUT_PrimaryEnergyCons!J$4:J$10000)</f>
        <v>15.223408557313753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SUMPRODUCT(("LNGA"=[1]OUT_PrimaryEnergyCons!$C$4:$C$10000)*1,[1]OUT_PrimaryEnergyCons!H$4:H$10000)</f>
        <v>2.1512687484730687E-3</v>
      </c>
      <c r="K44" s="1" cm="1">
        <f t="array" ref="K44">SUMPRODUCT(("LNGA"=[1]OUT_PrimaryEnergyCons!$C$4:$C$10000)*1,[1]OUT_PrimaryEnergyCons!I$4:I$10000)</f>
        <v>8.3381688570501858E-4</v>
      </c>
      <c r="L44" s="1" cm="1">
        <f t="array" ref="L44">SUMPRODUCT(("LNGA"=[1]OUT_PrimaryEnergyCons!$C$4:$C$10000)*1,[1]OUT_PrimaryEnergyCons!J$4:J$10000)</f>
        <v>1.2021963559427301E-3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SUMPRODUCT(("BIO"=[1]OUT_PrimaryEnergyCons!$C$4:$C$10000)*1+("LBIO"=[1]OUT_PrimaryEnergyCons!$C$4:$C$10000)*1,[1]OUT_PrimaryEnergyCons!H$4:H$10000)</f>
        <v>4.2478612482704907</v>
      </c>
      <c r="K45" s="1" cm="1">
        <f t="array" ref="K45">SUMPRODUCT(("BIO"=[1]OUT_PrimaryEnergyCons!$C$4:$C$10000)*1+("LBIO"=[1]OUT_PrimaryEnergyCons!$C$4:$C$10000)*1,[1]OUT_PrimaryEnergyCons!I$4:I$10000)</f>
        <v>2.1351001180024949</v>
      </c>
      <c r="L45" s="1" cm="1">
        <f t="array" ref="L45">SUMPRODUCT(("BIO"=[1]OUT_PrimaryEnergyCons!$C$4:$C$10000)*1+("LBIO"=[1]OUT_PrimaryEnergyCons!$C$4:$C$10000)*1,[1]OUT_PrimaryEnergyCons!J$4:J$10000)</f>
        <v>2.1345576621426461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2.1351001180024949</v>
      </c>
      <c r="L46" s="1">
        <f t="shared" si="41"/>
        <v>2.1345576621426461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2.1351001180024949</v>
      </c>
      <c r="L47" s="1">
        <f>IF(L45-MAX(H45:K45)&lt;0,L45,MAX(H45:K45))</f>
        <v>2.1345576621426461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1.025649250056385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1.025649250056385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SUMPRODUCT(("urn"=[1]OUT_PrimaryEnergyCons!$C$4:$C$10000)*1,[1]OUT_PrimaryEnergyCons!H$4:H$10000)</f>
        <v>167.60150505187323</v>
      </c>
      <c r="K50" s="1" cm="1">
        <f t="array" ref="K50">SUMPRODUCT(("urn"=[1]OUT_PrimaryEnergyCons!$C$4:$C$10000)*1,[1]OUT_PrimaryEnergyCons!I$4:I$10000)</f>
        <v>98.945494553568864</v>
      </c>
      <c r="L50" s="1" cm="1">
        <f t="array" ref="L50">SUMPRODUCT(("urn"=[1]OUT_PrimaryEnergyCons!$C$4:$C$10000)*1,[1]OUT_PrimaryEnergyCons!J$4:J$10000)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48.216810447638785</v>
      </c>
      <c r="K51" s="1">
        <f t="shared" si="46"/>
        <v>38.33098799395453</v>
      </c>
      <c r="L51" s="1">
        <f t="shared" ref="L51" si="47">SUM(L52:L55)</f>
        <v>29.917952663655168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5.7598909699900167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5.0214751852199324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5.9815194600044483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16.261636498630775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10.112825543877966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9.808123224703241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26.194831632578964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23.196300642862219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14.127994785725377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4.5134643902963181E-4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3.8662199441847532E-4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3.1519322210091851E-4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</v>
      </c>
      <c r="L56" s="1" cm="1">
        <f t="array" ref="L56">SUMPRODUCT(("h2"=[1]OUT_PrimaryEnergyCons!$C$4:$C$10000)*1,[1]OUT_PrimaryEnergyCons!J$4:J$10000)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43.88687587690125</v>
      </c>
      <c r="K57" s="3">
        <f t="shared" si="51"/>
        <v>22.837281406737265</v>
      </c>
      <c r="L57" s="3">
        <f t="shared" si="51"/>
        <v>16.267160359323736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43.88687587690125</v>
      </c>
      <c r="K58" s="1">
        <f t="shared" si="52"/>
        <v>22.837281406737265</v>
      </c>
      <c r="L58" s="1">
        <f t="shared" ref="L58" si="53">SUM(L59:L62)</f>
        <v>16.267160359323736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4.3506298154778907E-4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4.0773160593600823E-4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2.3702551096474973E-4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1.6747753134527079E-3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4.372031639984628E-3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2.5536411821893471E-3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2.2692219709671744E-3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3.1015387237814628E-3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9.8423420324394496E-4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43.882496816635282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22.829400104767561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16.263385458427337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274.41833431447515</v>
      </c>
      <c r="K63" s="3">
        <f t="shared" si="58"/>
        <v>269.58520030643768</v>
      </c>
      <c r="L63" s="3">
        <f t="shared" ref="L63" si="59">SUM(L64,L66,L74,L82,L130,L151,L159,L161,L169,L173,L167)</f>
        <v>269.61419356567387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55.378801155897278</v>
      </c>
      <c r="K64" s="1">
        <f t="shared" si="60"/>
        <v>32.820798390200295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'[1]Electricity and CHPs'!F14</f>
        <v>55.378801155897278</v>
      </c>
      <c r="K65" s="1">
        <f>'[1]Electricity and CHPs'!G14</f>
        <v>32.820798390200295</v>
      </c>
      <c r="L65" s="1">
        <f>'[1]Electricity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148.73591056194599</v>
      </c>
      <c r="K66" s="1">
        <f t="shared" si="64"/>
        <v>148.92597202422098</v>
      </c>
      <c r="L66" s="1">
        <f t="shared" ref="L66" si="65">SUM(L67:L69)</f>
        <v>149.2200240741106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'[1]Electricity and CHPs'!F15</f>
        <v>72.138715427381754</v>
      </c>
      <c r="K67" s="1">
        <f>'[1]Electricity and CHPs'!G15</f>
        <v>72.144661683375418</v>
      </c>
      <c r="L67" s="1">
        <f>'[1]Electricity and CHPs'!H15</f>
        <v>68.851731887437211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'[1]Electricity and CHPs'!F16</f>
        <v>63.847364707117038</v>
      </c>
      <c r="K68" s="1">
        <f>'[1]Electricity and CHPs'!G16</f>
        <v>63.841746569486027</v>
      </c>
      <c r="L68" s="1">
        <f>'[1]Electricity and CHPs'!H16</f>
        <v>67.134678889880689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'[1]Electricity and CHPs'!F17</f>
        <v>12.749830427447192</v>
      </c>
      <c r="K69" s="1">
        <f>'[1]Electricity and CHPs'!G17</f>
        <v>12.939563771359516</v>
      </c>
      <c r="L69" s="1">
        <f>'[1]Electricity and CHPs'!H17</f>
        <v>13.233613296792708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0.17153841049988686</v>
      </c>
      <c r="K70" s="1">
        <f t="shared" ref="K70:L70" si="71">SUM(K71:K73)</f>
        <v>7.3859421146335764E-4</v>
      </c>
      <c r="L70" s="1">
        <f t="shared" si="71"/>
        <v>0.17154825275733487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'[1]Electricity and CHPs'!F18</f>
        <v>1.4853489317204231E-3</v>
      </c>
      <c r="K71" s="1">
        <f>'[1]Electricity and CHPs'!G18</f>
        <v>1.6795509133870503E-4</v>
      </c>
      <c r="L71" s="1">
        <f>'[1]Electricity and CHPs'!H18</f>
        <v>8.1040193729709314E-5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'[1]Electricity and CHPs'!F28</f>
        <v>7.4666034740023608E-4</v>
      </c>
      <c r="K72" s="1">
        <f>'[1]Electricity and CHPs'!G28</f>
        <v>5.4689725495414949E-5</v>
      </c>
      <c r="L72" s="1">
        <f>'[1]Electricity and CHPs'!H28</f>
        <v>2.1696247964992334E-5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'[1]Electricity and CHPs'!F41</f>
        <v>0.16930640122076621</v>
      </c>
      <c r="K73" s="1">
        <f>'[1]Electricity and CHPs'!G41</f>
        <v>5.1594939462923763E-4</v>
      </c>
      <c r="L73" s="1">
        <f>'[1]Electricity and CHPs'!H41</f>
        <v>0.17144551631564017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0.17153841049988686</v>
      </c>
      <c r="K74" s="1">
        <f t="shared" si="75"/>
        <v>7.3859421146335764E-4</v>
      </c>
      <c r="L74" s="1">
        <f t="shared" ref="L74" si="76">SUM(L75:L77)</f>
        <v>0.17154825275733487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1.4853489317204231E-3</v>
      </c>
      <c r="K75" s="1">
        <f t="shared" si="77"/>
        <v>1.6795509133870503E-4</v>
      </c>
      <c r="L75" s="1">
        <f t="shared" ref="L75" si="78">L71</f>
        <v>8.1040193729709314E-5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'[1]Electricity and CHPs'!F28</f>
        <v>7.4666034740023608E-4</v>
      </c>
      <c r="K76" s="1">
        <f>'[1]Electricity and CHPs'!G28</f>
        <v>5.4689725495414949E-5</v>
      </c>
      <c r="L76" s="1">
        <f>'[1]Electricity and CHPs'!H28</f>
        <v>2.1696247964992334E-5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'[1]Electricity and CHPs'!F41</f>
        <v>0.16930640122076621</v>
      </c>
      <c r="K77" s="1">
        <f>'[1]Electricity and CHPs'!G41</f>
        <v>5.1594939462923763E-4</v>
      </c>
      <c r="L77" s="1">
        <f>'[1]Electricity and CHPs'!H41</f>
        <v>0.17144551631564017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3.4622004232748229</v>
      </c>
      <c r="K82" s="1">
        <f t="shared" si="82"/>
        <v>3.4724650562910671</v>
      </c>
      <c r="L82" s="1">
        <f t="shared" ref="L82" si="83">SUM(L83:L97)</f>
        <v>5.886009865372138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6.9068276201306883E-4</v>
      </c>
      <c r="L83" s="1">
        <f>'[1]Electricity and CHPs'!H21</f>
        <v>0.22382031116243126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'[1]Electricity and CHPs'!F22</f>
        <v>3.5942677219486688E-3</v>
      </c>
      <c r="K84" s="1">
        <f>'[1]Electricity and CHPs'!G22</f>
        <v>3.6368948801922718E-4</v>
      </c>
      <c r="L84" s="1">
        <f>'[1]Electricity and CHPs'!H22</f>
        <v>3.1986003416425643E-2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1.2183360704256068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'[1]Electricity and CHPs'!F24</f>
        <v>5.6641265007825389E-3</v>
      </c>
      <c r="K86" s="1">
        <f>'[1]Electricity and CHPs'!G24</f>
        <v>3.3708011017645126E-4</v>
      </c>
      <c r="L86" s="1">
        <f>'[1]Electricity and CHPs'!H24</f>
        <v>0.32069474097114548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1.8626435651705387E-4</v>
      </c>
      <c r="L87" s="1">
        <f>'[1]Electricity and CHPs'!H29</f>
        <v>0.6852085945618408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'[1]Electricity and CHPs'!F39</f>
        <v>1.6036199726700655E-2</v>
      </c>
      <c r="K88" s="1">
        <f>'[1]Electricity and CHPs'!G39</f>
        <v>6.6599537710038377E-3</v>
      </c>
      <c r="L88" s="1">
        <f>'[1]Electricity and CHPs'!H39</f>
        <v>4.9698985921040731E-2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2.8792904787941706E-2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1.3712988686660321E-3</v>
      </c>
      <c r="K90" s="1">
        <f>'[1]Electricity and CHPs'!G47</f>
        <v>7.6329536417595446E-4</v>
      </c>
      <c r="L90" s="1">
        <f>'[1]Electricity and CHPs'!H47</f>
        <v>2.2215336489806345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'[1]Electricity and CHPs'!F48</f>
        <v>7.3473227350546655E-3</v>
      </c>
      <c r="K91" s="1">
        <f>'[1]Electricity and CHPs'!G48</f>
        <v>4.6918223174176685E-3</v>
      </c>
      <c r="L91" s="1">
        <f>'[1]Electricity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'[1]Electricity and CHPs'!F49</f>
        <v>1.3092168989987424E-3</v>
      </c>
      <c r="K92" s="1">
        <f>'[1]Electricity and CHPs'!G49</f>
        <v>1.3146585295134546E-3</v>
      </c>
      <c r="L92" s="1">
        <f>'[1]Electricity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'[1]Electricity and CHPs'!F51</f>
        <v>2.2379263304321344</v>
      </c>
      <c r="K93" s="1">
        <f>'[1]Electricity and CHPs'!G51</f>
        <v>2.3033523639488265</v>
      </c>
      <c r="L93" s="1">
        <f>'[1]Electricity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'[1]Electricity and CHPs'!F52</f>
        <v>1.3541690202845741E-2</v>
      </c>
      <c r="K94" s="1">
        <f>'[1]Electricity and CHPs'!G52</f>
        <v>1.4080217560132431E-2</v>
      </c>
      <c r="L94" s="1">
        <f>'[1]Electricity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'[1]Electricity and CHPs'!F54</f>
        <v>1.1059497944277683</v>
      </c>
      <c r="K95" s="1">
        <f>'[1]Electricity and CHPs'!G54</f>
        <v>1.1059505020024332</v>
      </c>
      <c r="L95" s="1">
        <f>'[1]Electricity and CHPs'!H54</f>
        <v>1.1059386051450713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'[1]Electricity and CHPs'!F55</f>
        <v>6.4814042959227033E-2</v>
      </c>
      <c r="K96" s="1">
        <f>'[1]Electricity and CHPs'!G55</f>
        <v>2.979376794268359E-2</v>
      </c>
      <c r="L96" s="1">
        <f>'[1]Electricity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'[1]Electricity and CHPs'!F58</f>
        <v>4.6461328006964777E-3</v>
      </c>
      <c r="K97" s="1">
        <f>'[1]Electricity and CHPs'!G58</f>
        <v>4.2807581381549562E-3</v>
      </c>
      <c r="L97" s="1">
        <f>'[1]Electricity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2.0946554565736721</v>
      </c>
      <c r="K98" s="1">
        <f t="shared" si="88"/>
        <v>2.0675783220099531</v>
      </c>
      <c r="L98" s="1">
        <f t="shared" ref="L98" si="89">L82-L114</f>
        <v>2.0428355351976037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6.0343626602095608E-4</v>
      </c>
      <c r="L99" s="1">
        <f t="shared" ref="L99" si="91">L83-L115</f>
        <v>9.5652985123046014E-2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3.1952256708151295E-3</v>
      </c>
      <c r="K100" s="1">
        <f t="shared" si="92"/>
        <v>3.1774852176959803E-4</v>
      </c>
      <c r="L100" s="1">
        <f t="shared" ref="L100" si="93">L84-L116</f>
        <v>1.3669700900007568E-2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0.52067429186405301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5.0352850143930115E-3</v>
      </c>
      <c r="K102" s="1">
        <f t="shared" si="96"/>
        <v>2.9450041932704477E-4</v>
      </c>
      <c r="L102" s="1">
        <f t="shared" ref="L102" si="97">L86-L118</f>
        <v>0.13705373354114525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1.6273559146293037E-4</v>
      </c>
      <c r="L103" s="1">
        <f t="shared" ref="L103" si="99">L87-L119</f>
        <v>0.29283422564023509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1.4255832061750982E-2</v>
      </c>
      <c r="K104" s="1">
        <f t="shared" si="100"/>
        <v>5.8186737189347987E-3</v>
      </c>
      <c r="L104" s="1">
        <f t="shared" ref="L104" si="101">L88-L120</f>
        <v>2.1239611080183896E-2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1.2305082050089452E-2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1.2190548079556848E-3</v>
      </c>
      <c r="K106" s="1">
        <f t="shared" si="104"/>
        <v>6.6687650215415187E-4</v>
      </c>
      <c r="L106" s="1">
        <f t="shared" ref="L106" si="105">L90-L122</f>
        <v>0.94940590499884325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6.5316097828356408E-3</v>
      </c>
      <c r="K107" s="1">
        <f t="shared" si="106"/>
        <v>4.0991550618759125E-3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1.1638652899450051E-3</v>
      </c>
      <c r="K108" s="1">
        <f t="shared" si="108"/>
        <v>1.1485919119075818E-3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1.9894677340599003</v>
      </c>
      <c r="K109" s="1">
        <f t="shared" si="110"/>
        <v>2.0123947292107496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1.2038267460749933E-2</v>
      </c>
      <c r="K110" s="1">
        <f t="shared" si="112"/>
        <v>1.2301615700506282E-2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5.7618271624006324E-2</v>
      </c>
      <c r="K112" s="1">
        <f t="shared" si="116"/>
        <v>2.6030242923143439E-2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4.1303108013203233E-3</v>
      </c>
      <c r="K113" s="1">
        <f t="shared" si="118"/>
        <v>3.740016182100936E-3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1.3675449667011508</v>
      </c>
      <c r="K114" s="1">
        <f t="shared" si="120"/>
        <v>1.4048867342811142</v>
      </c>
      <c r="L114" s="1">
        <f t="shared" ref="L114" si="121">SUM(L115:L129)</f>
        <v>3.8431743301745342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8.7246495992112708E-5</v>
      </c>
      <c r="L115" s="1">
        <f>'[1]Electricity and CHPs_IN'!R$23/SUM('[1]Electricity and CHPs_IN'!R$22:R$23)*L83</f>
        <v>0.12816732603938524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'[1]Electricity and CHPs_IN'!P$23/SUM('[1]Electricity and CHPs_IN'!P$22:P$23)*J84</f>
        <v>3.9904205113353914E-4</v>
      </c>
      <c r="K116" s="1">
        <f>'[1]Electricity and CHPs_IN'!Q$23/SUM('[1]Electricity and CHPs_IN'!Q$22:Q$23)*K84</f>
        <v>4.5940966249629134E-5</v>
      </c>
      <c r="L116" s="1">
        <f>'[1]Electricity and CHPs_IN'!R$23/SUM('[1]Electricity and CHPs_IN'!R$22:R$23)*L84</f>
        <v>1.8316302516418075E-2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  <c r="L117" s="1">
        <f>'[1]Electricity and CHPs_IN'!R$23/SUM('[1]Electricity and CHPs_IN'!R$22:R$23)*L85</f>
        <v>0.69766177856155376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'[1]Electricity and CHPs_IN'!P$23/SUM('[1]Electricity and CHPs_IN'!P$22:P$23)*J86</f>
        <v>6.2884148638952695E-4</v>
      </c>
      <c r="K118" s="1">
        <f>'[1]Electricity and CHPs_IN'!Q$23/SUM('[1]Electricity and CHPs_IN'!Q$22:Q$23)*K86</f>
        <v>4.2579690849406484E-5</v>
      </c>
      <c r="L118" s="1">
        <f>'[1]Electricity and CHPs_IN'!R$23/SUM('[1]Electricity and CHPs_IN'!R$22:R$23)*L86</f>
        <v>0.18364100743000022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0</v>
      </c>
      <c r="K119" s="1">
        <f>'[1]Electricity and CHPs_IN'!Q$23/SUM('[1]Electricity and CHPs_IN'!Q$22:Q$23)*K87</f>
        <v>2.35287650541235E-5</v>
      </c>
      <c r="L119" s="1">
        <f>'[1]Electricity and CHPs_IN'!R$23/SUM('[1]Electricity and CHPs_IN'!R$22:R$23)*L87</f>
        <v>0.39237436892160571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'[1]Electricity and CHPs_IN'!P$23/SUM('[1]Electricity and CHPs_IN'!P$22:P$23)*J88</f>
        <v>1.7803676649496723E-3</v>
      </c>
      <c r="K120" s="1">
        <f>'[1]Electricity and CHPs_IN'!Q$23/SUM('[1]Electricity and CHPs_IN'!Q$22:Q$23)*K88</f>
        <v>8.4128005206903899E-4</v>
      </c>
      <c r="L120" s="1">
        <f>'[1]Electricity and CHPs_IN'!R$23/SUM('[1]Electricity and CHPs_IN'!R$22:R$23)*L88</f>
        <v>2.8459374840856835E-2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'[1]Electricity and CHPs_IN'!P$23/SUM('[1]Electricity and CHPs_IN'!P$22:P$23)*J89</f>
        <v>0</v>
      </c>
      <c r="K121" s="1">
        <f>'[1]Electricity and CHPs_IN'!Q$23/SUM('[1]Electricity and CHPs_IN'!Q$22:Q$23)*K89</f>
        <v>0</v>
      </c>
      <c r="L121" s="1">
        <f>'[1]Electricity and CHPs_IN'!R$23/SUM('[1]Electricity and CHPs_IN'!R$22:R$23)*L89</f>
        <v>1.6487822737852254E-2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'[1]Electricity and CHPs_IN'!P$23/SUM('[1]Electricity and CHPs_IN'!P$22:P$23)*J90</f>
        <v>1.522440607103474E-4</v>
      </c>
      <c r="K122" s="1">
        <f>'[1]Electricity and CHPs_IN'!Q$23/SUM('[1]Electricity and CHPs_IN'!Q$22:Q$23)*K90</f>
        <v>9.6418862021802623E-5</v>
      </c>
      <c r="L122" s="1">
        <f>'[1]Electricity and CHPs_IN'!R$23/SUM('[1]Electricity and CHPs_IN'!R$22:R$23)*L90</f>
        <v>1.2721277439817913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'[1]Electricity and CHPs_IN'!P$23/SUM('[1]Electricity and CHPs_IN'!P$22:P$23)*J91</f>
        <v>8.15712952219025E-4</v>
      </c>
      <c r="K123" s="1">
        <f>'[1]Electricity and CHPs_IN'!Q$23/SUM('[1]Electricity and CHPs_IN'!Q$22:Q$23)*K91</f>
        <v>5.9266725554175633E-4</v>
      </c>
      <c r="L123" s="1">
        <f>'[1]Electricity and CHPs_IN'!R$23/SUM('[1]Electricity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'[1]Electricity and CHPs_IN'!P$23/SUM('[1]Electricity and CHPs_IN'!P$22:P$23)*J92</f>
        <v>1.4535160905373726E-4</v>
      </c>
      <c r="K124" s="1">
        <f>'[1]Electricity and CHPs_IN'!Q$23/SUM('[1]Electricity and CHPs_IN'!Q$22:Q$23)*K92</f>
        <v>1.6606661760587286E-4</v>
      </c>
      <c r="L124" s="1">
        <f>'[1]Electricity and CHPs_IN'!R$23/SUM('[1]Electricity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'[1]Electricity and CHPs_IN'!P$23/SUM('[1]Electricity and CHPs_IN'!P$22:P$23)*J93</f>
        <v>0.24845859637223403</v>
      </c>
      <c r="K125" s="1">
        <f>'[1]Electricity and CHPs_IN'!Q$23/SUM('[1]Electricity and CHPs_IN'!Q$22:Q$23)*K93</f>
        <v>0.29095763473807695</v>
      </c>
      <c r="L125" s="1">
        <f>'[1]Electricity and CHPs_IN'!R$23/SUM('[1]Electricity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'[1]Electricity and CHPs_IN'!P$23/SUM('[1]Electricity and CHPs_IN'!P$22:P$23)*J94</f>
        <v>1.5034227420958066E-3</v>
      </c>
      <c r="K126" s="1">
        <f>'[1]Electricity and CHPs_IN'!Q$23/SUM('[1]Electricity and CHPs_IN'!Q$22:Q$23)*K94</f>
        <v>1.778601859626149E-3</v>
      </c>
      <c r="L126" s="1">
        <f>'[1]Electricity and CHPs_IN'!R$23/SUM('[1]Electricity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1.1059497944277683</v>
      </c>
      <c r="K127" s="1">
        <f t="shared" si="123"/>
        <v>1.1059505020024332</v>
      </c>
      <c r="L127" s="1">
        <f t="shared" ref="L127" si="124">L95</f>
        <v>1.1059386051450713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'[1]Electricity and CHPs_IN'!P$23/SUM('[1]Electricity and CHPs_IN'!P$22:P$23)*J96</f>
        <v>7.1957713352207115E-3</v>
      </c>
      <c r="K128" s="1">
        <f>'[1]Electricity and CHPs_IN'!Q$23/SUM('[1]Electricity and CHPs_IN'!Q$22:Q$23)*K96</f>
        <v>3.7635250195401505E-3</v>
      </c>
      <c r="L128" s="1">
        <f>'[1]Electricity and CHPs_IN'!R$23/SUM('[1]Electricity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'[1]Electricity and CHPs_IN'!P$23/SUM('[1]Electricity and CHPs_IN'!P$22:P$23)*J97</f>
        <v>5.1582199937615417E-4</v>
      </c>
      <c r="K129" s="1">
        <f>'[1]Electricity and CHPs_IN'!Q$23/SUM('[1]Electricity and CHPs_IN'!Q$22:Q$23)*K97</f>
        <v>5.4074195605402031E-4</v>
      </c>
      <c r="L129" s="1">
        <f>'[1]Electricity and CHPs_IN'!R$23/SUM('[1]Electricity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8.9242778572120827</v>
      </c>
      <c r="K130" s="1">
        <f t="shared" si="125"/>
        <v>9.1216640386492092</v>
      </c>
      <c r="L130" s="1">
        <f t="shared" ref="L130" si="126">SUM(L131:L136)</f>
        <v>10.416699239855269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'[1]Electricity and CHPs'!F19</f>
        <v>7.4918645727394644</v>
      </c>
      <c r="K131" s="1">
        <f>'[1]Electricity and CHPs'!G19</f>
        <v>7.6680257449088485</v>
      </c>
      <c r="L131" s="1">
        <f>'[1]Electricity and CHPs'!H19</f>
        <v>1.9945335636557841E-3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8.5556444228746518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'[1]Electricity and CHPs'!F26</f>
        <v>1.4308371886333868</v>
      </c>
      <c r="K133" s="1">
        <f>'[1]Electricity and CHPs'!G26</f>
        <v>1.4508176121320973</v>
      </c>
      <c r="L133" s="1">
        <f>'[1]Electricity and CHPs'!H26</f>
        <v>0.19701705791871146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1.3702333890735461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'[1]Electricity and CHPs'!F44</f>
        <v>1.576095839231739E-3</v>
      </c>
      <c r="K135" s="1">
        <f>'[1]Electricity and CHPs'!G44</f>
        <v>2.8206816082634208E-3</v>
      </c>
      <c r="L135" s="1">
        <f>'[1]Electricity and CHPs'!H44</f>
        <v>1.7748171421870507E-4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0.29163235471048465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4.4613508806864255</v>
      </c>
      <c r="K137" s="1">
        <f t="shared" si="128"/>
        <v>4.5594216785204731</v>
      </c>
      <c r="L137" s="1">
        <f t="shared" ref="L137" si="129">SUM(L138:L141)</f>
        <v>5.0624447017152825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3.7459322863697322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3.8340128724544247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9.9726678182789205E-4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4.2778222114373259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0.71541859431669341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0.72540880606604863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9.8508528959355732E-2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0.68511669453677304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4.4629269765256572</v>
      </c>
      <c r="K144" s="1">
        <f t="shared" si="130"/>
        <v>4.5622423601287352</v>
      </c>
      <c r="L144" s="1">
        <f t="shared" ref="L144" si="131">SUM(L145:L150)</f>
        <v>5.354254538139986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3.7459322863697322</v>
      </c>
      <c r="K145" s="1">
        <f t="shared" si="132"/>
        <v>3.8340128724544238</v>
      </c>
      <c r="L145" s="1">
        <f t="shared" ref="L145" si="133">L131-L138</f>
        <v>9.9726678182789205E-4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4.2778222114373259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0.71541859431669341</v>
      </c>
      <c r="K147" s="1">
        <f t="shared" si="136"/>
        <v>0.72540880606604863</v>
      </c>
      <c r="L147" s="1">
        <f t="shared" ref="L147" si="137">L133-L140</f>
        <v>9.8508528959355732E-2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0.68511669453677304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1.576095839231739E-3</v>
      </c>
      <c r="K149" s="1">
        <f t="shared" si="140"/>
        <v>2.8206816082634208E-3</v>
      </c>
      <c r="L149" s="1">
        <f t="shared" ref="L149" si="141">L135-L142</f>
        <v>1.7748171421870507E-4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0.29163235471048465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3.8700265835896683</v>
      </c>
      <c r="K151" s="1">
        <f t="shared" si="147"/>
        <v>4.5422903321276618</v>
      </c>
      <c r="L151" s="1">
        <f t="shared" ref="L151" si="148">SUM(L152:L158)</f>
        <v>5.8868619145461745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'[1]Electricity and CHPs'!F25</f>
        <v>2.6027502850931314E-3</v>
      </c>
      <c r="K152" s="1">
        <f>'[1]Electricity and CHPs'!G25</f>
        <v>4.7102002235543091E-3</v>
      </c>
      <c r="L152" s="1">
        <f>'[1]Electricity and CHPs'!H25</f>
        <v>9.2849823365361321E-4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1.7181428087442137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'[1]Electricity and CHPs'!F42</f>
        <v>3.857259546313907</v>
      </c>
      <c r="K154" s="1">
        <f>'[1]Electricity and CHPs'!G42</f>
        <v>4.2437497452987891</v>
      </c>
      <c r="L154" s="1">
        <f>'[1]Electricity and CHPs'!H42</f>
        <v>2.823257727633925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1.3445328799343821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'[1]Electricity and CHPs'!F50</f>
        <v>3.053863521360712E-3</v>
      </c>
      <c r="K156" s="1">
        <f>'[1]Electricity and CHPs'!G50</f>
        <v>2.6553763737235461E-3</v>
      </c>
      <c r="L156" s="1">
        <f>'[1]Electricity and CHPs'!H50</f>
        <v>0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'[1]Electricity and CHPs'!F53</f>
        <v>5.2929719590029799E-3</v>
      </c>
      <c r="K157" s="1">
        <f>'[1]Electricity and CHPs'!G53</f>
        <v>0.28883035642278637</v>
      </c>
      <c r="L157" s="1">
        <f>'[1]Electricity and CHPs'!H53</f>
        <v>0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'[1]Electricity and CHPs'!F56</f>
        <v>1.8174515103046474E-3</v>
      </c>
      <c r="K158" s="1">
        <f>'[1]Electricity and CHPs'!G56</f>
        <v>2.3446538088090839E-3</v>
      </c>
      <c r="L158" s="1">
        <f>'[1]Electricity and CHPs'!H56</f>
        <v>0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2.9171538644695905</v>
      </c>
      <c r="K159" s="1">
        <f t="shared" si="149"/>
        <v>5.7747958768405541</v>
      </c>
      <c r="L159" s="1">
        <f t="shared" si="149"/>
        <v>6.1200033518095447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'[1]Electricity and CHPs'!F33</f>
        <v>2.9171538644695905</v>
      </c>
      <c r="K160" s="1">
        <f>'[1]Electricity and CHPs'!G33</f>
        <v>5.7747958768405541</v>
      </c>
      <c r="L160" s="1">
        <f>'[1]Electricity and CHPs'!H33</f>
        <v>6.1200033518095447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49.799299406787767</v>
      </c>
      <c r="K161" s="1">
        <f t="shared" si="150"/>
        <v>63.964953843045727</v>
      </c>
      <c r="L161" s="1">
        <f t="shared" ref="L161" si="151">SUM(L162:L166)</f>
        <v>90.00002932984637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'[1]Electricity and CHPs'!F34</f>
        <v>0.19264143267481698</v>
      </c>
      <c r="K162" s="1">
        <f>'[1]Electricity and CHPs'!G34</f>
        <v>1.4212346679790082</v>
      </c>
      <c r="L162" s="1">
        <f>'[1]Electricity and CHPs'!H34</f>
        <v>2.8640112154180133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'[1]Electricity and CHPs'!F35</f>
        <v>29.692076365081959</v>
      </c>
      <c r="K163" s="1">
        <f>'[1]Electricity and CHPs'!G35</f>
        <v>40.847370342196385</v>
      </c>
      <c r="L163" s="1">
        <f>'[1]Electricity and CHPs'!H35</f>
        <v>63.061466990957051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'[1]Electricity and CHPs'!F36</f>
        <v>4.6142753156864726</v>
      </c>
      <c r="K164" s="1">
        <f>'[1]Electricity and CHPs'!G36</f>
        <v>4.8978516410459294</v>
      </c>
      <c r="L164" s="1">
        <f>'[1]Electricity and CHPs'!H36</f>
        <v>5.5183571715530935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'[1]Electricity and CHPs'!F37</f>
        <v>4.0147917876504602</v>
      </c>
      <c r="K165" s="1">
        <f>'[1]Electricity and CHPs'!G37</f>
        <v>4.2196313050260557</v>
      </c>
      <c r="L165" s="1">
        <f>'[1]Electricity and CHPs'!H37</f>
        <v>4.661157690186883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'[1]Electricity and CHPs'!F38</f>
        <v>11.285514505694056</v>
      </c>
      <c r="K166" s="1">
        <f>'[1]Electricity and CHPs'!G38</f>
        <v>12.578865886798349</v>
      </c>
      <c r="L166" s="1">
        <f>'[1]Electricity and CHPs'!H38</f>
        <v>13.895036261731333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1.1183544731732364E-2</v>
      </c>
      <c r="K169" s="1">
        <f t="shared" si="157"/>
        <v>0.16509390801102725</v>
      </c>
      <c r="L169" s="1">
        <f t="shared" ref="L169" si="158">SUM(L170:L172)</f>
        <v>0.53038942071166195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0.1607846018316548</v>
      </c>
      <c r="L170" s="1">
        <f>'[1]Electricity and CHPs'!H30</f>
        <v>0.1607860843924665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7.5484429472553764E-3</v>
      </c>
      <c r="K171" s="1">
        <f>'[1]Electricity and CHPs'!G46</f>
        <v>2.4946843259341742E-3</v>
      </c>
      <c r="L171" s="1">
        <f>'[1]Electricity and CHPs'!H46</f>
        <v>0.36960333631919551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'[1]Electricity and CHPs'!F57</f>
        <v>3.6351017844769872E-3</v>
      </c>
      <c r="K172" s="1">
        <f>'[1]Electricity and CHPs'!G57</f>
        <v>1.814621853438286E-3</v>
      </c>
      <c r="L172" s="1">
        <f>'[1]Electricity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1.1479425060663135</v>
      </c>
      <c r="K173" s="1">
        <f t="shared" si="160"/>
        <v>0.79642824283965064</v>
      </c>
      <c r="L173" s="1">
        <f t="shared" ref="L173" si="161">SUM(L174:L180)</f>
        <v>1.3826281166647758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'[1]Electricity and CHPs'!F70</f>
        <v>7.4070591239277896E-3</v>
      </c>
      <c r="K174" s="1">
        <f>'[1]Electricity and CHPs'!G70</f>
        <v>1.3750944489897734E-3</v>
      </c>
      <c r="L174" s="1">
        <f>'[1]Electricity and CHPs'!H70</f>
        <v>1.9717911641311106E-2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'[1]Electricity and CHPs'!F71</f>
        <v>6.2590704842551428E-2</v>
      </c>
      <c r="K175" s="1">
        <f>'[1]Electricity and CHPs'!G71</f>
        <v>6.2614965979480977E-2</v>
      </c>
      <c r="L175" s="1">
        <f>'[1]Electricity and CHPs'!H71</f>
        <v>0.34296076131578113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'[1]Electricity and CHPs'!F72</f>
        <v>6.7559283984944693E-2</v>
      </c>
      <c r="K176" s="1">
        <f>'[1]Electricity and CHPs'!G72</f>
        <v>3.0481608050776585E-2</v>
      </c>
      <c r="L176" s="1">
        <f>'[1]Electricity and CHPs'!H72</f>
        <v>8.2310447771032677E-2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'[1]Electricity and CHPs'!F73</f>
        <v>0.48344707332018011</v>
      </c>
      <c r="K177" s="1">
        <f>'[1]Electricity and CHPs'!G73</f>
        <v>0.49837212434940503</v>
      </c>
      <c r="L177" s="1">
        <f>'[1]Electricity and CHPs'!H73</f>
        <v>0.57682431824123803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'[1]Electricity and CHPs'!F74</f>
        <v>0.21987127534940634</v>
      </c>
      <c r="K178" s="1">
        <f>'[1]Electricity and CHPs'!G74</f>
        <v>7.2434633354779288E-2</v>
      </c>
      <c r="L178" s="1">
        <f>'[1]Electricity and CHPs'!H74</f>
        <v>0.15276337936024892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'[1]Electricity and CHPs'!F75</f>
        <v>9.729602921210051E-2</v>
      </c>
      <c r="K179" s="1">
        <f>'[1]Electricity and CHPs'!G75</f>
        <v>4.9319354876645773E-2</v>
      </c>
      <c r="L179" s="1">
        <f>'[1]Electricity and CHPs'!H75</f>
        <v>5.7813839522201399E-2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'[1]Electricity and CHPs'!F76</f>
        <v>0.20977108023320276</v>
      </c>
      <c r="K180" s="1">
        <f>'[1]Electricity and CHPs'!G76</f>
        <v>8.1830461779573219E-2</v>
      </c>
      <c r="L180" s="1">
        <f>'[1]Electricity and CHPs'!H76</f>
        <v>0.15023745881296249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49.222736558651597</v>
      </c>
      <c r="K181" s="3">
        <f t="shared" si="162"/>
        <v>50.927967448983168</v>
      </c>
      <c r="L181" s="3">
        <f t="shared" ref="L181" si="163">SUM(L182,L233)</f>
        <v>48.331378806933373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34.279168936569015</v>
      </c>
      <c r="K182" s="1">
        <f t="shared" si="164"/>
        <v>35.406562998866491</v>
      </c>
      <c r="L182" s="1">
        <f t="shared" ref="L182" si="165">L183+L210</f>
        <v>35.971089332657144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12.365652871676593</v>
      </c>
      <c r="K183" s="1">
        <f t="shared" si="166"/>
        <v>12.243579936164659</v>
      </c>
      <c r="L183" s="1">
        <f t="shared" ref="L183" si="167">SUM(L185,L189,L190,L198,L199,L207,L209)</f>
        <v>13.926010281713562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3.8399675009154971E-3</v>
      </c>
      <c r="K184" s="1">
        <f t="shared" si="168"/>
        <v>2.8126144540499071E-4</v>
      </c>
      <c r="L184" s="1">
        <f t="shared" si="168"/>
        <v>1.115807038199604E-4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'[1]Electricity and CHPs'!F$94</f>
        <v>3.8399675009154971E-3</v>
      </c>
      <c r="K185" s="1">
        <f>'[1]Electricity and CHPs'!G$94</f>
        <v>2.8126144540499071E-4</v>
      </c>
      <c r="L185" s="1">
        <f>'[1]Electricity and CHPs'!H$94</f>
        <v>1.115807038199604E-4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3.8399675009154971E-3</v>
      </c>
      <c r="K186" s="1">
        <f t="shared" si="169"/>
        <v>2.8126144540499071E-4</v>
      </c>
      <c r="L186" s="1">
        <f t="shared" ref="L186" si="170">L185-L187</f>
        <v>1.115807038199604E-4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1.2048918164739526E-2</v>
      </c>
      <c r="K188" s="1">
        <f t="shared" si="173"/>
        <v>9.5065913405898935E-4</v>
      </c>
      <c r="L188" s="1">
        <f t="shared" ref="L188" si="174">SUM(L189:L190)</f>
        <v>1.5791882352547633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'[1]Electricity and CHPs'!F$91</f>
        <v>1.2048918164739526E-2</v>
      </c>
      <c r="K189" s="1">
        <f>'[1]Electricity and CHPs'!G$91</f>
        <v>7.1317207949974574E-4</v>
      </c>
      <c r="L189" s="1">
        <f>'[1]Electricity and CHPs'!H$91</f>
        <v>0.67128684746032385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2.3748705455924361E-4</v>
      </c>
      <c r="L190" s="1">
        <f>'[1]Electricity and CHPs'!H$95</f>
        <v>0.90790138779443941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1.0711225652565977E-2</v>
      </c>
      <c r="K191" s="1">
        <f t="shared" si="175"/>
        <v>8.3057262996295465E-4</v>
      </c>
      <c r="L191" s="1">
        <f t="shared" ref="L191" si="176">SUM(L192:L193)</f>
        <v>0.6748899060536554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1.0711225652565977E-2</v>
      </c>
      <c r="K192" s="1">
        <f t="shared" si="177"/>
        <v>6.2308475084771851E-4</v>
      </c>
      <c r="L192" s="1">
        <f t="shared" ref="L192" si="178">L189-L195</f>
        <v>0.28688455708034377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2.0748787911523616E-4</v>
      </c>
      <c r="L193" s="1">
        <f t="shared" ref="L193" si="180">L190-L196</f>
        <v>0.38800534897331163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1.3376925121735502E-3</v>
      </c>
      <c r="K194" s="1">
        <f t="shared" si="181"/>
        <v>1.2008650409603471E-4</v>
      </c>
      <c r="L194" s="1">
        <f t="shared" ref="L194" si="182">SUM(L195:L196)</f>
        <v>0.90429832920110786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1.3376925121735502E-3</v>
      </c>
      <c r="K195" s="1">
        <f t="shared" si="183"/>
        <v>9.0087328652027244E-5</v>
      </c>
      <c r="L195" s="1">
        <f t="shared" ref="L195" si="184">L189*IFERROR(L118/L86,0)</f>
        <v>0.38440229037998008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2.9999175444007455E-5</v>
      </c>
      <c r="L196" s="1">
        <f t="shared" ref="L196" si="185">L190*IFERROR(L119/L87,0)</f>
        <v>0.51989603882112778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12.3429573131951</v>
      </c>
      <c r="K197" s="1">
        <f t="shared" si="186"/>
        <v>12.034791526778214</v>
      </c>
      <c r="L197" s="1">
        <f t="shared" ref="L197" si="187">SUM(L198:L199)</f>
        <v>12.141385545804535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'[1]Electricity and CHPs'!F$93-J199</f>
        <v>12.3429573131951</v>
      </c>
      <c r="K198" s="1">
        <f>'[1]Electricity and CHPs'!G$93-K199</f>
        <v>12.034791526778214</v>
      </c>
      <c r="L198" s="1">
        <f>'[1]Electricity and CHPs'!H$93-L199</f>
        <v>1.1177186129120997E-3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12.140267827191623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6.1714786565975501</v>
      </c>
      <c r="K200" s="1">
        <f t="shared" si="188"/>
        <v>6.017395763389108</v>
      </c>
      <c r="L200" s="1">
        <f t="shared" ref="L200" si="189">SUM(L201:L202)</f>
        <v>6.0706927729022677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6.1714786565975501</v>
      </c>
      <c r="K201" s="1">
        <f t="shared" si="190"/>
        <v>6.017395763389108</v>
      </c>
      <c r="L201" s="1">
        <f t="shared" ref="L201" si="191">L198*L140/L133</f>
        <v>5.5885930645604986E-4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6.0701339135958117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6.1714786565975501</v>
      </c>
      <c r="K203" s="1">
        <f t="shared" si="194"/>
        <v>6.0173957633891062</v>
      </c>
      <c r="L203" s="1">
        <f t="shared" ref="L203" si="195">SUM(L204:L205)</f>
        <v>6.0706927729022677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6.1714786565975501</v>
      </c>
      <c r="K204" s="1">
        <f t="shared" si="196"/>
        <v>6.0173957633891062</v>
      </c>
      <c r="L204" s="1">
        <f t="shared" ref="L204" si="197">L198-L201</f>
        <v>5.5885930645604986E-4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6.0701339135958117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6.8066728158375561E-3</v>
      </c>
      <c r="K206" s="1">
        <f t="shared" si="199"/>
        <v>1.2318043725686095E-2</v>
      </c>
      <c r="L206" s="1">
        <f t="shared" si="199"/>
        <v>2.4281944075695647E-3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'[1]Electricity and CHPs'!F$92</f>
        <v>6.8066728158375561E-3</v>
      </c>
      <c r="K207" s="1">
        <f>'[1]Electricity and CHPs'!G$92</f>
        <v>1.2318043725686095E-2</v>
      </c>
      <c r="L207" s="1">
        <f>'[1]Electricity and CHPs'!H$92</f>
        <v>2.4281944075695647E-3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0.19523844508129434</v>
      </c>
      <c r="L208" s="1">
        <f t="shared" si="200"/>
        <v>0.20289672554287397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0.19523844508129434</v>
      </c>
      <c r="L209" s="1">
        <f>'[1]Electricity and CHPs'!H$96</f>
        <v>0.20289672554287397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21.913516064892423</v>
      </c>
      <c r="K210" s="1">
        <f t="shared" si="201"/>
        <v>23.16298306270183</v>
      </c>
      <c r="L210" s="1">
        <f t="shared" ref="L210" si="202">SUM(L211,L217,L219,L225,L227,L229,L231)</f>
        <v>22.045079050943585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11.51694122344281</v>
      </c>
      <c r="K211" s="1">
        <f t="shared" si="203"/>
        <v>9.6525983483525053</v>
      </c>
      <c r="L211" s="1">
        <f t="shared" si="203"/>
        <v>6.6798485262770351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'[1]Electricity and CHPs'!F$97+J216</f>
        <v>11.51694122344281</v>
      </c>
      <c r="K212" s="1">
        <f>'[1]Electricity and CHPs'!G$97+K216</f>
        <v>9.6525983483525053</v>
      </c>
      <c r="L212" s="1">
        <f>'[1]Electricity and CHPs'!H$97+L216</f>
        <v>6.6798485262770351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6.2597100066547506</v>
      </c>
      <c r="K213" s="1">
        <f t="shared" si="204"/>
        <v>2.9730067092697769</v>
      </c>
      <c r="L213" s="1">
        <f t="shared" si="204"/>
        <v>2.5512403722061094E-4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6.2597100066547506</v>
      </c>
      <c r="K214" s="1">
        <f t="shared" si="205"/>
        <v>2.9730067092697769</v>
      </c>
      <c r="L214" s="1">
        <f t="shared" ref="L214" si="206">L212-L216</f>
        <v>2.5512403722061094E-4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5.2572312167880595</v>
      </c>
      <c r="K215" s="1">
        <f t="shared" si="207"/>
        <v>6.6795916390827283</v>
      </c>
      <c r="L215" s="1">
        <f t="shared" si="207"/>
        <v>6.6795934022398145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'[1]Electricity and CHPs'!F$98</f>
        <v>5.2572312167880595</v>
      </c>
      <c r="K216" s="1">
        <f>'[1]Electricity and CHPs'!G$98</f>
        <v>6.6795916390827283</v>
      </c>
      <c r="L216" s="1">
        <f>'[1]Electricity and CHPs'!H$98</f>
        <v>6.6795934022398145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1.2999281001053478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'[1]Electricity and CHPs'!F$99</f>
        <v>1.2999281001053478</v>
      </c>
      <c r="K218" s="1">
        <f>'[1]Electricity and CHPs'!G$99</f>
        <v>0</v>
      </c>
      <c r="L218" s="1">
        <f>'[1]Electricity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2.1378028591438619E-4</v>
      </c>
      <c r="K219" s="1">
        <f t="shared" si="209"/>
        <v>3.2388170229262871E-5</v>
      </c>
      <c r="L219" s="1">
        <f t="shared" si="209"/>
        <v>9.4563474759435828E-6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'[1]Electricity and CHPs'!F$100</f>
        <v>2.1378028591438619E-4</v>
      </c>
      <c r="K220" s="1">
        <f>'[1]Electricity and CHPs'!G$100</f>
        <v>3.2388170229262871E-5</v>
      </c>
      <c r="L220" s="1">
        <f>'[1]Electricity and CHPs'!H$100</f>
        <v>9.4563474759435828E-6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2.1378028591438619E-4</v>
      </c>
      <c r="K221" s="1">
        <f t="shared" si="210"/>
        <v>3.2388170229262871E-5</v>
      </c>
      <c r="L221" s="1">
        <f t="shared" si="210"/>
        <v>9.4563474759435828E-6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2.1378028591438619E-4</v>
      </c>
      <c r="K222" s="1">
        <f t="shared" si="211"/>
        <v>3.2388170229262871E-5</v>
      </c>
      <c r="L222" s="1">
        <f t="shared" ref="L222" si="212">L220-L224</f>
        <v>9.4563474759435828E-6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4.052403803832374</v>
      </c>
      <c r="K225" s="1">
        <f t="shared" si="214"/>
        <v>4.4979146427517822</v>
      </c>
      <c r="L225" s="1">
        <f t="shared" si="214"/>
        <v>5.4098818017494432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'[1]Electricity and CHPs'!F$101</f>
        <v>4.052403803832374</v>
      </c>
      <c r="K226" s="1">
        <f>'[1]Electricity and CHPs'!G$101</f>
        <v>4.4979146427517822</v>
      </c>
      <c r="L226" s="1">
        <f>'[1]Electricity and CHPs'!H$101</f>
        <v>5.4098818017494432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'[1]Electricity and CHPs'!F$102</f>
        <v>0</v>
      </c>
      <c r="K228" s="1">
        <f>'[1]Electricity and CHPs'!G$102</f>
        <v>0</v>
      </c>
      <c r="L228" s="1">
        <f>'[1]Electricity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0</v>
      </c>
      <c r="L230" s="1">
        <f>'[1]Electricity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5.0440291572259772</v>
      </c>
      <c r="K231" s="1">
        <f t="shared" si="217"/>
        <v>9.0124376834273132</v>
      </c>
      <c r="L231" s="1">
        <f t="shared" si="217"/>
        <v>9.955339266569629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'[1]Electricity and CHPs'!F$123</f>
        <v>5.0440291572259772</v>
      </c>
      <c r="K232" s="1">
        <f>'[1]Electricity and CHPs'!G$123</f>
        <v>9.0124376834273132</v>
      </c>
      <c r="L232" s="1">
        <f>'[1]Electricity and CHPs'!H$123</f>
        <v>9.955339266569629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14.943567622082581</v>
      </c>
      <c r="K233" s="1">
        <f t="shared" si="218"/>
        <v>15.521404450116673</v>
      </c>
      <c r="L233" s="1">
        <f t="shared" ref="L233" si="219">SUM(L234,L240,L273,L282,L288)</f>
        <v>12.360289474276225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0.83942020909226223</v>
      </c>
      <c r="K234" s="1">
        <f t="shared" si="220"/>
        <v>1.1437153230838054E-3</v>
      </c>
      <c r="L234" s="1">
        <f t="shared" si="220"/>
        <v>0.38004669862074203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'[1]Electricity and CHPs'!F$104</f>
        <v>0.83942020909226223</v>
      </c>
      <c r="K235" s="1">
        <f>'[1]Electricity and CHPs'!G$104</f>
        <v>1.1437153230838054E-3</v>
      </c>
      <c r="L235" s="1">
        <f>'[1]Electricity and CHPs'!H$104</f>
        <v>0.38004669862074203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0.83942020909226223</v>
      </c>
      <c r="K236" s="1">
        <f t="shared" si="221"/>
        <v>1.1437153230838054E-3</v>
      </c>
      <c r="L236" s="1">
        <f t="shared" si="221"/>
        <v>0.38004669862074203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0.83942020909226223</v>
      </c>
      <c r="K237" s="1">
        <f t="shared" si="222"/>
        <v>1.1437153230838054E-3</v>
      </c>
      <c r="L237" s="1">
        <f t="shared" ref="L237" si="223">L235-L239</f>
        <v>0.38004669862074203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5.9026651641900587</v>
      </c>
      <c r="K240" s="1">
        <f t="shared" si="227"/>
        <v>5.7473959982547838</v>
      </c>
      <c r="L240" s="1">
        <f t="shared" ref="L240" si="228">SUM(L241:L250)</f>
        <v>1.989069848089851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'[1]Electricity and CHPs'!F$103-J242</f>
        <v>2.6098777028343408E-2</v>
      </c>
      <c r="K241" s="1">
        <f>'[1]Electricity and CHPs'!G$103-K242</f>
        <v>7.5431175662982247E-3</v>
      </c>
      <c r="L241" s="1">
        <f>'[1]Electricity and CHPs'!H$103-L242</f>
        <v>5.4930458123255657E-2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3.1823736870883038E-2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6.5105244452722173E-4</v>
      </c>
      <c r="K243" s="1">
        <f>'[1]Electricity and CHPs'!G$107</f>
        <v>3.4313277839102547E-4</v>
      </c>
      <c r="L243" s="1">
        <f>'[1]Electricity and CHPs'!H$107</f>
        <v>0.89640831450095926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'[1]Electricity and CHPs'!F$109</f>
        <v>1.9500658635530105E-2</v>
      </c>
      <c r="K244" s="1">
        <f>'[1]Electricity and CHPs'!G$109</f>
        <v>1.3323098128699419E-2</v>
      </c>
      <c r="L244" s="1">
        <f>'[1]Electricity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'[1]Electricity and CHPs'!F$112</f>
        <v>4.5983147483003775</v>
      </c>
      <c r="K246" s="1">
        <f>'[1]Electricity and CHPs'!G$112</f>
        <v>4.6743146639439637</v>
      </c>
      <c r="L246" s="1">
        <f>'[1]Electricity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'[1]Electricity and CHPs'!F$115</f>
        <v>1.1649218239271291</v>
      </c>
      <c r="K248" s="1">
        <f>'[1]Electricity and CHPs'!G$115</f>
        <v>1.0059181593908362</v>
      </c>
      <c r="L248" s="1">
        <f>'[1]Electricity and CHPs'!H$115</f>
        <v>1.005907338594753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'[1]Electricity and CHPs'!F$116</f>
        <v>9.1795688930665781E-2</v>
      </c>
      <c r="K249" s="1">
        <f>'[1]Electricity and CHPs'!G$116</f>
        <v>4.4690651914025339E-2</v>
      </c>
      <c r="L249" s="1">
        <f>'[1]Electricity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'[1]Electricity and CHPs'!F$118</f>
        <v>1.3824149234859192E-3</v>
      </c>
      <c r="K250" s="1">
        <f>'[1]Electricity and CHPs'!G$118</f>
        <v>1.2631745325703174E-3</v>
      </c>
      <c r="L250" s="1">
        <f>'[1]Electricity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4.2117505744213801</v>
      </c>
      <c r="K251" s="1">
        <f t="shared" si="229"/>
        <v>4.142538137430793</v>
      </c>
      <c r="L251" s="1">
        <f t="shared" ref="L251" si="230">SUM(L252:L261)</f>
        <v>0.4201693242487835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2.3201243977627666E-2</v>
      </c>
      <c r="K252" s="1">
        <f t="shared" si="231"/>
        <v>6.5902769675290603E-3</v>
      </c>
      <c r="L252" s="1">
        <f t="shared" ref="L252" si="232">L241-L263</f>
        <v>2.3475359614940142E-2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1.3600353844835749E-2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5.7877143405235499E-4</v>
      </c>
      <c r="K254" s="1">
        <f t="shared" si="231"/>
        <v>2.9978851931700411E-4</v>
      </c>
      <c r="L254" s="1">
        <f t="shared" ref="L254" si="234">L243-L265</f>
        <v>0.38309361078900761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1.7335660526775414E-2</v>
      </c>
      <c r="K255" s="1">
        <f t="shared" si="235"/>
        <v>1.1640134992193482E-2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4.0878015948938291</v>
      </c>
      <c r="K257" s="1">
        <f t="shared" si="239"/>
        <v>4.0838589612346148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8.160436685067067E-2</v>
      </c>
      <c r="K260" s="1">
        <f t="shared" si="245"/>
        <v>3.904536438471512E-2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1.2289367384256374E-3</v>
      </c>
      <c r="K261" s="1">
        <f t="shared" si="247"/>
        <v>1.1036113324232291E-3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1.6909145897686781</v>
      </c>
      <c r="K262" s="1">
        <f t="shared" si="249"/>
        <v>1.6048578608239916</v>
      </c>
      <c r="L262" s="1">
        <f t="shared" ref="L262" si="250">SUM(L263:L272)</f>
        <v>1.5689005238410676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2.8975330507157418E-3</v>
      </c>
      <c r="K263" s="1">
        <f t="shared" si="251"/>
        <v>9.5284059876916472E-4</v>
      </c>
      <c r="L263" s="1">
        <f t="shared" ref="L263" si="252">L241*IFERROR(L120/L88,0)</f>
        <v>3.1455098508315515E-2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1.8223383026047289E-2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7.2281010474866777E-5</v>
      </c>
      <c r="K265" s="1">
        <f t="shared" si="251"/>
        <v>4.3344259074021368E-5</v>
      </c>
      <c r="L265" s="1">
        <f t="shared" ref="L265" si="254">L243*IFERROR(L122/L90,0)</f>
        <v>0.51331470371195165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2.1649981087546897E-3</v>
      </c>
      <c r="K266" s="1">
        <f t="shared" si="251"/>
        <v>1.6829631365059374E-3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0.51051315340654846</v>
      </c>
      <c r="K268" s="1">
        <f t="shared" si="251"/>
        <v>0.59045570270934911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1.1649218239271291</v>
      </c>
      <c r="K270" s="1">
        <f t="shared" si="251"/>
        <v>1.0059181593908362</v>
      </c>
      <c r="L270" s="1">
        <f t="shared" ref="L270" si="259">L248*IFERROR(L127/L95,0)</f>
        <v>1.005907338594753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1.0191322079995109E-2</v>
      </c>
      <c r="K271" s="1">
        <f t="shared" si="251"/>
        <v>5.6452875293102195E-3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1.5347818506028193E-4</v>
      </c>
      <c r="K272" s="1">
        <f t="shared" si="251"/>
        <v>1.5956320014708826E-4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9.3012267583731517E-3</v>
      </c>
      <c r="K273" s="1">
        <f t="shared" si="262"/>
        <v>1.4286862162927379E-2</v>
      </c>
      <c r="L273" s="1">
        <f t="shared" ref="L273" si="263">SUM(L274:L275)</f>
        <v>0.98989112801152035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'[1]Electricity and CHPs'!F$106-J275</f>
        <v>9.3012267583731517E-3</v>
      </c>
      <c r="K274" s="1">
        <f>'[1]Electricity and CHPs'!G$106-K275</f>
        <v>1.4286862162927379E-2</v>
      </c>
      <c r="L274" s="1">
        <f>'[1]Electricity and CHPs'!H$106-L275</f>
        <v>6.0206186481548407E-4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0.98928906614670487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9.3012267583731517E-3</v>
      </c>
      <c r="K279" s="1">
        <f t="shared" si="266"/>
        <v>1.4286862162927379E-2</v>
      </c>
      <c r="L279" s="1">
        <f t="shared" ref="L279" si="267">SUM(L280:L281)</f>
        <v>0.98989112801152035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9.3012267583731517E-3</v>
      </c>
      <c r="K280" s="1">
        <f t="shared" si="268"/>
        <v>1.4286862162927379E-2</v>
      </c>
      <c r="L280" s="1">
        <f t="shared" ref="L280" si="269">L274</f>
        <v>6.0206186481548407E-4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0.98928906614670487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8.1845831021152371</v>
      </c>
      <c r="K282" s="1">
        <f t="shared" si="272"/>
        <v>9.7559387288425832</v>
      </c>
      <c r="L282" s="1">
        <f t="shared" ref="L282" si="273">SUM(L283:L287)</f>
        <v>8.8164801313945151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'[1]Electricity and CHPs'!F$105-J284</f>
        <v>8.1595875018178941</v>
      </c>
      <c r="K283" s="1">
        <f>'[1]Electricity and CHPs'!G$105-K284</f>
        <v>8.9771629227474659</v>
      </c>
      <c r="L283" s="1">
        <f>'[1]Electricity and CHPs'!H$105-L284</f>
        <v>5.9722759623025503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2.8442041690919653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'[1]Electricity and CHPs'!F$110</f>
        <v>8.0737788093510794E-3</v>
      </c>
      <c r="K285" s="1">
        <f>'[1]Electricity and CHPs'!G$110</f>
        <v>6.8721550352032687E-3</v>
      </c>
      <c r="L285" s="1">
        <f>'[1]Electricity and CHPs'!H$110</f>
        <v>0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'[1]Electricity and CHPs'!F$113</f>
        <v>1.4079826886017794E-2</v>
      </c>
      <c r="K286" s="1">
        <f>'[1]Electricity and CHPs'!G$113</f>
        <v>0.76831720427736283</v>
      </c>
      <c r="L286" s="1">
        <f>'[1]Electricity and CHPs'!H$113</f>
        <v>0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'[1]Electricity and CHPs'!F$117</f>
        <v>2.841994601973452E-3</v>
      </c>
      <c r="K287" s="1">
        <f>'[1]Electricity and CHPs'!G$117</f>
        <v>3.5864467825513445E-3</v>
      </c>
      <c r="L287" s="1">
        <f>'[1]Electricity and CHPs'!H$117</f>
        <v>0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7.5979199266500552E-3</v>
      </c>
      <c r="K288" s="1">
        <f t="shared" si="274"/>
        <v>2.639145533293457E-3</v>
      </c>
      <c r="L288" s="1">
        <f t="shared" ref="L288" si="275">SUM(L289:L290)</f>
        <v>0.18480166815959781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5.0856681270902383E-3</v>
      </c>
      <c r="K289" s="1">
        <f>'[1]Electricity and CHPs'!G$108</f>
        <v>1.4968105955605036E-3</v>
      </c>
      <c r="L289" s="1">
        <f>'[1]Electricity and CHPs'!H$108</f>
        <v>0.18480166815959781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'[1]Electricity and CHPs'!F$119</f>
        <v>2.5122517995598169E-3</v>
      </c>
      <c r="K290" s="1">
        <f>'[1]Electricity and CHPs'!G$119</f>
        <v>1.1423349377329534E-3</v>
      </c>
      <c r="L290" s="1">
        <f>'[1]Electricity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407.38103205787496</v>
      </c>
      <c r="K291" s="3">
        <f t="shared" ref="K291" si="280">SUM(K292,K294,K302,K310,K358,K379,K387,K389,K397,K401,K395)</f>
        <v>358.4544463217369</v>
      </c>
      <c r="L291" s="3">
        <f>IFERROR(SUM(L292,L294,L302,L310,L358,L379,L387,L389,L397,L401,L395),0)</f>
        <v>315.25842095493414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167.60150505187312</v>
      </c>
      <c r="K292" s="1">
        <f t="shared" si="281"/>
        <v>98.945494553568864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'[1]Electricity and CHPs_IN'!F$14</f>
        <v>167.60150505187312</v>
      </c>
      <c r="K293" s="1">
        <f>'[1]Electricity and CHPs_IN'!G$14</f>
        <v>98.945494553568864</v>
      </c>
      <c r="L293" s="1">
        <f>'[1]Electricity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151.92336608352662</v>
      </c>
      <c r="K294" s="1">
        <f t="shared" si="283"/>
        <v>152.16086087397204</v>
      </c>
      <c r="L294" s="1">
        <f t="shared" ref="L294" si="284">SUM(L295:L297)</f>
        <v>152.52842564430136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'[1]Electricity and CHPs_IN'!F$15</f>
        <v>72.138715427381754</v>
      </c>
      <c r="K295" s="1">
        <f>'[1]Electricity and CHPs_IN'!G$15</f>
        <v>72.144661683375418</v>
      </c>
      <c r="L295" s="1">
        <f>'[1]Electricity and CHPs_IN'!H$15</f>
        <v>68.851731887437211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'[1]Electricity and CHPs_IN'!F$16</f>
        <v>63.847364707117038</v>
      </c>
      <c r="K296" s="1">
        <f>'[1]Electricity and CHPs_IN'!G$16</f>
        <v>63.841746569486027</v>
      </c>
      <c r="L296" s="1">
        <f>'[1]Electricity and CHPs_IN'!H$16</f>
        <v>67.134678889880689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'[1]Electricity and CHPs_IN'!F$13</f>
        <v>15.93728594902783</v>
      </c>
      <c r="K297" s="1">
        <f>'[1]Electricity and CHPs_IN'!G$13</f>
        <v>16.174452621110593</v>
      </c>
      <c r="L297" s="1">
        <f>'[1]Electricity and CHPs_IN'!H$13</f>
        <v>16.542014866983465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0.1143465370581183</v>
      </c>
      <c r="K298" s="1">
        <f t="shared" si="285"/>
        <v>1.6065372570532054E-3</v>
      </c>
      <c r="L298" s="1">
        <f t="shared" ref="L298" si="286">SUM(L299:L301)</f>
        <v>0.2028078772656258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'[1]Electricity and CHPs_IN'!F$18</f>
        <v>4.9811604367663168E-3</v>
      </c>
      <c r="K299" s="1">
        <f>'[1]Electricity and CHPs_IN'!G$18</f>
        <v>7.329403933851134E-4</v>
      </c>
      <c r="L299" s="1">
        <f>'[1]Electricity and CHPs_IN'!H$18</f>
        <v>2.6366481217744226E-4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IFERROR(J72/SUM(J72,J185),0)*'[1]Electricity and CHPs_IN'!F$28</f>
        <v>1.1806529672509292E-3</v>
      </c>
      <c r="K300" s="1">
        <f>IFERROR(K72/SUM(K72,K185),0)*'[1]Electricity and CHPs_IN'!G$28</f>
        <v>1.2684365795761772E-4</v>
      </c>
      <c r="L300" s="1">
        <f>IFERROR(L72/SUM(L72,L185),0)*'[1]Electricity and CHPs_IN'!H$28</f>
        <v>3.4709939273484466E-5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IFERROR(J73/SUM(J73,J235),0)*'[1]Electricity and CHPs_IN'!F$41</f>
        <v>0.10818472365410105</v>
      </c>
      <c r="K301" s="1">
        <f>IFERROR(K73/SUM(K73,K235),0)*'[1]Electricity and CHPs_IN'!G$41</f>
        <v>7.4675320571047433E-4</v>
      </c>
      <c r="L301" s="1">
        <f>IFERROR(L73/SUM(L73,L235),0)*'[1]Electricity and CHPs_IN'!H$41</f>
        <v>0.20250950251417488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0.1143465370581183</v>
      </c>
      <c r="K302" s="1">
        <f t="shared" si="287"/>
        <v>1.6065372570532054E-3</v>
      </c>
      <c r="L302" s="1">
        <f t="shared" ref="L302" si="288">L298</f>
        <v>0.2028078772656258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4.9811604367663168E-3</v>
      </c>
      <c r="K303" s="1">
        <f t="shared" si="289"/>
        <v>7.329403933851134E-4</v>
      </c>
      <c r="L303" s="1">
        <f t="shared" ref="L303" si="290">L299</f>
        <v>2.6366481217744226E-4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1.1806529672509292E-3</v>
      </c>
      <c r="K304" s="1">
        <f t="shared" si="291"/>
        <v>1.2684365795761772E-4</v>
      </c>
      <c r="L304" s="1">
        <f t="shared" ref="L304" si="292">L300</f>
        <v>3.4709939273484466E-5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0.10818472365410105</v>
      </c>
      <c r="K305" s="1">
        <f t="shared" si="293"/>
        <v>7.4675320571047433E-4</v>
      </c>
      <c r="L305" s="1">
        <f t="shared" ref="L305" si="294">L301</f>
        <v>0.20250950251417488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4.0477621980768177</v>
      </c>
      <c r="K310" s="1">
        <f t="shared" si="295"/>
        <v>4.1291688778402529</v>
      </c>
      <c r="L310" s="1">
        <f>IFERROR(SUM(L311:L325),0)</f>
        <v>5.4611536757821391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1.318726767530989E-3</v>
      </c>
      <c r="L311" s="1">
        <f>'[1]Electricity and CHPs_IN'!H$21</f>
        <v>0.35730927053519934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'[1]Electricity and CHPs_IN'!F$22</f>
        <v>9.5012046018272435E-3</v>
      </c>
      <c r="K312" s="1">
        <f>'[1]Electricity and CHPs_IN'!G$22</f>
        <v>1.0680401072673184E-3</v>
      </c>
      <c r="L312" s="1">
        <f>'[1]Electricity and CHPs_IN'!H$22</f>
        <v>7.6407036298952985E-2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8.2861958614599868E-5</v>
      </c>
      <c r="L313" s="1">
        <f>'[1]Electricity and CHPs_IN'!H$23</f>
        <v>2.2248623925478541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IFERROR(J86/SUM(J86+J189),0)*'[1]Electricity and CHPs_IN'!F$24</f>
        <v>7.4781440163246265E-3</v>
      </c>
      <c r="K314" s="1">
        <f>IFERROR(K86/SUM(K86+K189),0)*'[1]Electricity and CHPs_IN'!G$24</f>
        <v>5.1224534815113253E-4</v>
      </c>
      <c r="L314" s="1">
        <f>IFERROR(L86/SUM(L86+L189),0)*'[1]Electricity and CHPs_IN'!H$24</f>
        <v>0.41153715432897803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2.0468610606269632E-4</v>
      </c>
      <c r="L315" s="1">
        <f>IFERROR(L87/SUM(L87+L190),0)*'[1]Electricity and CHPs_IN'!H$29</f>
        <v>0.73678343501273202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J88/SUM(J88,J241)*'[1]Electricity and CHPs_IN'!F$39</f>
        <v>1.7186887590176041E-2</v>
      </c>
      <c r="K316" s="1">
        <f>K88/SUM(K88,K241)*'[1]Electricity and CHPs_IN'!G$39</f>
        <v>8.7665626355473061E-3</v>
      </c>
      <c r="L316" s="1">
        <f>L88/SUM(L88,L241)*'[1]Electricity and CHPs_IN'!H$39</f>
        <v>0.10821743365321922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4.2314375867420893E-2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J91/SUM(J91,J244)*'[1]Electricity and CHPs_IN'!F$48</f>
        <v>8.8251057011321729E-3</v>
      </c>
      <c r="K319" s="1">
        <f>K91/SUM(K91,K244)*'[1]Electricity and CHPs_IN'!G$48</f>
        <v>4.8148796220937673E-3</v>
      </c>
      <c r="L319" s="1">
        <f>IFERROR(L91/SUM(L91,L244)*'[1]Electricity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IFERROR(J92/SUM(J92,J245),0)*'[1]Electricity and CHPs_IN'!F$49</f>
        <v>3.0446904627877735E-3</v>
      </c>
      <c r="K320" s="1">
        <f>IFERROR(K92/SUM(K92,K245),0)*'[1]Electricity and CHPs_IN'!G$49</f>
        <v>2.9878602943487608E-3</v>
      </c>
      <c r="L320" s="1">
        <f>IFERROR(L92/SUM(L92,L245),0)*'[1]Electricity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IFERROR(J93/SUM(J93,J246),0)*'[1]Electricity and CHPs_IN'!F$51</f>
        <v>2.4311014882876489</v>
      </c>
      <c r="K321" s="1">
        <f>IFERROR(K93/SUM(K93,K246),0)*'[1]Electricity and CHPs_IN'!G$51</f>
        <v>2.4938260519952715</v>
      </c>
      <c r="L321" s="1">
        <f>IFERROR(L93/SUM(L93,L246),0)*'[1]Electricity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IFERROR(J94/SUM(J94,J247),0)*'[1]Electricity and CHPs_IN'!F$52</f>
        <v>3.1492302797315658E-2</v>
      </c>
      <c r="K322" s="1">
        <f>IFERROR(K94/SUM(K94,K247),0)*'[1]Electricity and CHPs_IN'!G$52</f>
        <v>3.2000494454846429E-2</v>
      </c>
      <c r="L322" s="1">
        <f>IFERROR(L94/SUM(L94,L247),0)*'[1]Electricity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IFERROR(J95/SUM(J95,J248),0)*'[1]Electricity and CHPs_IN'!F$54</f>
        <v>1.457671244039938</v>
      </c>
      <c r="K323" s="1">
        <f>IFERROR(K95/SUM(K95,K248),0)*'[1]Electricity and CHPs_IN'!G$54</f>
        <v>1.5447583054395959</v>
      </c>
      <c r="L323" s="1">
        <f>IFERROR(L95/SUM(L95,L248),0)*'[1]Electricity and CHPs_IN'!H$54</f>
        <v>1.503722577537782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IFERROR(J96/SUM(J96,J249),0)*'[1]Electricity and CHPs_IN'!F$55</f>
        <v>7.5542582768627978E-2</v>
      </c>
      <c r="K324" s="1">
        <f>IFERROR(K96/SUM(K96,K249),0)*'[1]Electricity and CHPs_IN'!G$55</f>
        <v>3.3409481923384401E-2</v>
      </c>
      <c r="L324" s="1">
        <f>IFERROR(L96/SUM(L96,L249),0)*'[1]Electricity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IFERROR(J97/SUM(J97,J250),0)*'[1]Electricity and CHPs_IN'!F$58</f>
        <v>5.9185478110395078E-3</v>
      </c>
      <c r="K325" s="1">
        <f>IFERROR(K97/SUM(K97,K250),0)*'[1]Electricity and CHPs_IN'!G$58</f>
        <v>5.4186811875379199E-3</v>
      </c>
      <c r="L325" s="1">
        <f>IFERROR(L97/SUM(L97,L250),0)*'[1]Electricity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6">G310-G342</f>
        <v>1.4618679316465293</v>
      </c>
      <c r="H326" s="1">
        <f t="shared" si="296"/>
        <v>2.0828425246483451</v>
      </c>
      <c r="I326" s="1">
        <f t="shared" si="296"/>
        <v>1.8084275708349775</v>
      </c>
      <c r="J326" s="1">
        <f t="shared" si="296"/>
        <v>2.3025344093171256</v>
      </c>
      <c r="K326" s="1">
        <f t="shared" si="296"/>
        <v>2.257877493884993</v>
      </c>
      <c r="L326" s="1">
        <f>IFERROR(L310-L342,0)</f>
        <v>1.6912678567904074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7">IFERROR(G99/G83,0)*G311</f>
        <v>0</v>
      </c>
      <c r="H327" s="1">
        <f t="shared" si="297"/>
        <v>0</v>
      </c>
      <c r="I327" s="1">
        <f t="shared" si="297"/>
        <v>0</v>
      </c>
      <c r="J327" s="1">
        <f t="shared" si="297"/>
        <v>0</v>
      </c>
      <c r="K327" s="1">
        <f t="shared" si="297"/>
        <v>1.1521462533413105E-3</v>
      </c>
      <c r="L327" s="1">
        <f t="shared" ref="L327" si="298">IFERROR(L99/L83,0)*L311</f>
        <v>0.15270150488722334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299">IFERROR(F100/F84,0)*F312</f>
        <v>0</v>
      </c>
      <c r="G328" s="1">
        <f t="shared" si="299"/>
        <v>0</v>
      </c>
      <c r="H328" s="1">
        <f t="shared" si="299"/>
        <v>0</v>
      </c>
      <c r="I328" s="1">
        <f t="shared" si="299"/>
        <v>2.8452991558780907E-3</v>
      </c>
      <c r="J328" s="1">
        <f t="shared" si="299"/>
        <v>8.4463638203795474E-3</v>
      </c>
      <c r="K328" s="1">
        <f t="shared" si="299"/>
        <v>9.3312613219354848E-4</v>
      </c>
      <c r="L328" s="1">
        <f t="shared" ref="L328" si="300">IFERROR(L100/L84,0)*L312</f>
        <v>3.2653699159125034E-2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1">IFERROR(F101/F85,0)*F313</f>
        <v>0</v>
      </c>
      <c r="G329" s="1">
        <f t="shared" si="301"/>
        <v>0</v>
      </c>
      <c r="H329" s="1">
        <f t="shared" si="301"/>
        <v>0</v>
      </c>
      <c r="I329" s="1">
        <f t="shared" si="301"/>
        <v>0</v>
      </c>
      <c r="J329" s="1">
        <f t="shared" si="301"/>
        <v>0</v>
      </c>
      <c r="K329" s="1">
        <f t="shared" si="301"/>
        <v>0</v>
      </c>
      <c r="L329" s="1">
        <f t="shared" ref="L329" si="302">IFERROR(L101/L85,0)*L313</f>
        <v>0.95082849375881773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3">IFERROR(F102/F86,0)*F314</f>
        <v>1.2547957169485704</v>
      </c>
      <c r="G330" s="1">
        <f t="shared" si="303"/>
        <v>7.9520007601480071E-4</v>
      </c>
      <c r="H330" s="1">
        <f t="shared" si="303"/>
        <v>1.4356933609214244</v>
      </c>
      <c r="I330" s="1">
        <f t="shared" si="303"/>
        <v>2.6224015324489498E-3</v>
      </c>
      <c r="J330" s="1">
        <f t="shared" si="303"/>
        <v>6.6479070507464684E-3</v>
      </c>
      <c r="K330" s="1">
        <f t="shared" si="303"/>
        <v>4.4753892405537593E-4</v>
      </c>
      <c r="L330" s="1">
        <f t="shared" ref="L330" si="304">IFERROR(L102/L86,0)*L314</f>
        <v>0.17587660876783684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5">IFERROR(F103/F87,0)*F315</f>
        <v>0</v>
      </c>
      <c r="G331" s="1">
        <f t="shared" si="305"/>
        <v>0</v>
      </c>
      <c r="H331" s="1">
        <f t="shared" si="305"/>
        <v>0</v>
      </c>
      <c r="I331" s="1">
        <f t="shared" si="305"/>
        <v>0</v>
      </c>
      <c r="J331" s="1">
        <f t="shared" si="305"/>
        <v>0</v>
      </c>
      <c r="K331" s="1">
        <f t="shared" si="305"/>
        <v>1.7883032028893426E-4</v>
      </c>
      <c r="L331" s="1">
        <f t="shared" ref="L331" si="306">IFERROR(L103/L87,0)*L315</f>
        <v>0.31487551144111298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7">IFERROR(F104/F88,0)*F316</f>
        <v>0.86998096013510462</v>
      </c>
      <c r="G332" s="1">
        <f t="shared" si="307"/>
        <v>0.6807051939891291</v>
      </c>
      <c r="H332" s="1">
        <f t="shared" si="307"/>
        <v>0.52209810873808249</v>
      </c>
      <c r="I332" s="1">
        <f t="shared" si="307"/>
        <v>3.7488043613318998E-2</v>
      </c>
      <c r="J332" s="1">
        <f t="shared" si="307"/>
        <v>1.5278768494120746E-2</v>
      </c>
      <c r="K332" s="1">
        <f t="shared" si="307"/>
        <v>7.6591774307716142E-3</v>
      </c>
      <c r="L332" s="1">
        <f t="shared" ref="L332" si="308">IFERROR(L104/L88,0)*L316</f>
        <v>4.6248352160378411E-2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09">IFERROR(F105/F89,0)*F317</f>
        <v>0</v>
      </c>
      <c r="G333" s="1">
        <f t="shared" si="309"/>
        <v>0</v>
      </c>
      <c r="H333" s="1">
        <f t="shared" si="309"/>
        <v>0</v>
      </c>
      <c r="I333" s="1">
        <f t="shared" si="309"/>
        <v>0</v>
      </c>
      <c r="J333" s="1">
        <f t="shared" si="309"/>
        <v>0</v>
      </c>
      <c r="K333" s="1">
        <f t="shared" si="309"/>
        <v>0</v>
      </c>
      <c r="L333" s="1">
        <f t="shared" ref="L333" si="310">IFERROR(L105/L89,0)*L317</f>
        <v>1.8083686615912319E-2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1">IFERROR(F106/F90,0)*F318</f>
        <v>0</v>
      </c>
      <c r="G334" s="1">
        <f t="shared" si="311"/>
        <v>0</v>
      </c>
      <c r="H334" s="1">
        <f t="shared" si="311"/>
        <v>0</v>
      </c>
      <c r="I334" s="1">
        <f t="shared" si="311"/>
        <v>0</v>
      </c>
      <c r="J334" s="1">
        <f t="shared" si="311"/>
        <v>0</v>
      </c>
      <c r="K334" s="1">
        <f t="shared" si="311"/>
        <v>0</v>
      </c>
      <c r="L334" s="1">
        <f t="shared" ref="L334" si="312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3">IFERROR(F107/F91,0)*F319</f>
        <v>2.6586096294861208E-2</v>
      </c>
      <c r="G335" s="1">
        <f t="shared" si="313"/>
        <v>1.8754391125279813E-3</v>
      </c>
      <c r="H335" s="1">
        <f t="shared" si="313"/>
        <v>1.1127081896946178E-2</v>
      </c>
      <c r="I335" s="1">
        <f t="shared" si="313"/>
        <v>8.3049129555064979E-3</v>
      </c>
      <c r="J335" s="1">
        <f t="shared" si="313"/>
        <v>7.8453266326601098E-3</v>
      </c>
      <c r="K335" s="1">
        <f t="shared" si="313"/>
        <v>4.2066678659075599E-3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4">IFERROR(F108/F92,0)*F320</f>
        <v>0</v>
      </c>
      <c r="G336" s="1">
        <f t="shared" si="314"/>
        <v>0</v>
      </c>
      <c r="H336" s="1">
        <f t="shared" si="314"/>
        <v>0</v>
      </c>
      <c r="I336" s="1">
        <f t="shared" si="314"/>
        <v>1.4311233571994281E-3</v>
      </c>
      <c r="J336" s="1">
        <f t="shared" si="314"/>
        <v>2.7066634649883844E-3</v>
      </c>
      <c r="K336" s="1">
        <f t="shared" si="314"/>
        <v>2.6104361634263227E-3</v>
      </c>
      <c r="L336" s="1">
        <f t="shared" ref="L336" si="315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6">IFERROR(F109/F93,0)*F321</f>
        <v>3.9180547992539602E-2</v>
      </c>
      <c r="G337" s="1">
        <f t="shared" si="316"/>
        <v>1.9149338324680014E-3</v>
      </c>
      <c r="H337" s="1">
        <f t="shared" si="316"/>
        <v>2.7667180717007297E-2</v>
      </c>
      <c r="I337" s="1">
        <f t="shared" si="316"/>
        <v>1.722768874038171</v>
      </c>
      <c r="J337" s="1">
        <f t="shared" si="316"/>
        <v>2.1611962393057653</v>
      </c>
      <c r="K337" s="1">
        <f t="shared" si="316"/>
        <v>2.1788079327993057</v>
      </c>
      <c r="L337" s="1">
        <f t="shared" ref="L337" si="317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18">IFERROR(F110/F94,0)*F322</f>
        <v>0</v>
      </c>
      <c r="G338" s="1">
        <f t="shared" si="318"/>
        <v>0</v>
      </c>
      <c r="H338" s="1">
        <f t="shared" si="318"/>
        <v>0</v>
      </c>
      <c r="I338" s="1">
        <f t="shared" si="318"/>
        <v>6.3515124682740533E-3</v>
      </c>
      <c r="J338" s="1">
        <f t="shared" si="318"/>
        <v>2.7995970838953319E-2</v>
      </c>
      <c r="K338" s="1">
        <f t="shared" si="318"/>
        <v>2.7958217501150639E-2</v>
      </c>
      <c r="L338" s="1">
        <f t="shared" ref="L338" si="319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0">IFERROR(F111/F95,0)*F323</f>
        <v>0</v>
      </c>
      <c r="G339" s="1">
        <f t="shared" si="320"/>
        <v>0</v>
      </c>
      <c r="H339" s="1">
        <f t="shared" si="320"/>
        <v>0</v>
      </c>
      <c r="I339" s="1">
        <f t="shared" si="320"/>
        <v>0</v>
      </c>
      <c r="J339" s="1">
        <f t="shared" si="320"/>
        <v>0</v>
      </c>
      <c r="K339" s="1">
        <f t="shared" si="320"/>
        <v>0</v>
      </c>
      <c r="L339" s="1">
        <f t="shared" ref="L339" si="321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2">IFERROR(F112/F96,0)*F324</f>
        <v>0.7568196093721572</v>
      </c>
      <c r="G340" s="1">
        <f t="shared" si="322"/>
        <v>0.77657716463638948</v>
      </c>
      <c r="H340" s="1">
        <f t="shared" si="322"/>
        <v>8.6256792374884178E-2</v>
      </c>
      <c r="I340" s="1">
        <f t="shared" si="322"/>
        <v>2.5708670095973989E-2</v>
      </c>
      <c r="J340" s="1">
        <f t="shared" si="322"/>
        <v>6.715570969519559E-2</v>
      </c>
      <c r="K340" s="1">
        <f t="shared" si="322"/>
        <v>2.9189222795689588E-2</v>
      </c>
      <c r="L340" s="1">
        <f t="shared" ref="L340" si="323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4">IFERROR(F113/F97,0)*F325</f>
        <v>0</v>
      </c>
      <c r="G341" s="1">
        <f t="shared" si="324"/>
        <v>0</v>
      </c>
      <c r="H341" s="1">
        <f t="shared" si="324"/>
        <v>0</v>
      </c>
      <c r="I341" s="1">
        <f t="shared" si="324"/>
        <v>9.0673361820616785E-4</v>
      </c>
      <c r="J341" s="1">
        <f t="shared" si="324"/>
        <v>5.2614600143161524E-3</v>
      </c>
      <c r="K341" s="1">
        <f t="shared" si="324"/>
        <v>4.7341976988619448E-3</v>
      </c>
      <c r="L341" s="1">
        <f t="shared" ref="L341" si="325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6">SUM(G343:G357)</f>
        <v>1.281668556533609</v>
      </c>
      <c r="H342" s="1">
        <f t="shared" si="326"/>
        <v>1.4489727045639085</v>
      </c>
      <c r="I342" s="1">
        <f t="shared" si="326"/>
        <v>1.6199977535012677</v>
      </c>
      <c r="J342" s="1">
        <f t="shared" si="326"/>
        <v>1.7452277887596923</v>
      </c>
      <c r="K342" s="1">
        <f t="shared" si="326"/>
        <v>1.8712913839552601</v>
      </c>
      <c r="L342" s="1">
        <f>IFERROR(SUM(L343:L357),0)</f>
        <v>3.7698858189917317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27">G311-G327</f>
        <v>0</v>
      </c>
      <c r="H343" s="1">
        <f t="shared" si="327"/>
        <v>0</v>
      </c>
      <c r="I343" s="1">
        <f t="shared" si="327"/>
        <v>0</v>
      </c>
      <c r="J343" s="1">
        <f t="shared" si="327"/>
        <v>0</v>
      </c>
      <c r="K343" s="1">
        <f t="shared" si="327"/>
        <v>1.6658051418967841E-4</v>
      </c>
      <c r="L343" s="1">
        <f t="shared" ref="L343" si="328">L311-L327</f>
        <v>0.204607765647976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29">F312-F328</f>
        <v>0</v>
      </c>
      <c r="G344" s="1">
        <f t="shared" si="329"/>
        <v>0</v>
      </c>
      <c r="H344" s="1">
        <f t="shared" si="329"/>
        <v>0</v>
      </c>
      <c r="I344" s="1">
        <f t="shared" si="329"/>
        <v>3.7732353709279401E-4</v>
      </c>
      <c r="J344" s="1">
        <f t="shared" si="329"/>
        <v>1.0548407814476961E-3</v>
      </c>
      <c r="K344" s="1">
        <f t="shared" si="329"/>
        <v>1.3491397507376995E-4</v>
      </c>
      <c r="L344" s="1">
        <f t="shared" ref="L344" si="330">L312-L328</f>
        <v>4.3753337139827951E-2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1">F313-F329</f>
        <v>0</v>
      </c>
      <c r="G345" s="1">
        <f t="shared" si="331"/>
        <v>0</v>
      </c>
      <c r="H345" s="1">
        <f t="shared" si="331"/>
        <v>0</v>
      </c>
      <c r="I345" s="1">
        <f t="shared" si="331"/>
        <v>0</v>
      </c>
      <c r="J345" s="1">
        <f t="shared" si="331"/>
        <v>0</v>
      </c>
      <c r="K345" s="1">
        <f t="shared" si="331"/>
        <v>8.2861958614599868E-5</v>
      </c>
      <c r="L345" s="1">
        <f t="shared" ref="L345" si="332">L313-L329</f>
        <v>1.2740338987890363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3">F314-F330</f>
        <v>3.3632343493294803E-2</v>
      </c>
      <c r="G346" s="1">
        <f t="shared" si="333"/>
        <v>1.4502050324297251E-5</v>
      </c>
      <c r="H346" s="1">
        <f t="shared" si="333"/>
        <v>1.7394803873939102E-2</v>
      </c>
      <c r="I346" s="1">
        <f t="shared" si="333"/>
        <v>3.4776442394713128E-4</v>
      </c>
      <c r="J346" s="1">
        <f t="shared" si="333"/>
        <v>8.3023696557815805E-4</v>
      </c>
      <c r="K346" s="1">
        <f t="shared" si="333"/>
        <v>6.47064240957566E-5</v>
      </c>
      <c r="L346" s="1">
        <f t="shared" ref="L346" si="334">L314-L330</f>
        <v>0.23566054556114119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5">F315-F331</f>
        <v>0</v>
      </c>
      <c r="G347" s="1">
        <f t="shared" si="335"/>
        <v>0</v>
      </c>
      <c r="H347" s="1">
        <f t="shared" si="335"/>
        <v>0</v>
      </c>
      <c r="I347" s="1">
        <f t="shared" si="335"/>
        <v>0</v>
      </c>
      <c r="J347" s="1">
        <f t="shared" si="335"/>
        <v>0</v>
      </c>
      <c r="K347" s="1">
        <f t="shared" si="335"/>
        <v>2.5855785773762059E-5</v>
      </c>
      <c r="L347" s="1">
        <f t="shared" ref="L347" si="336">L315-L331</f>
        <v>0.42190792357161905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37">F316-F332</f>
        <v>2.3318137039106013E-2</v>
      </c>
      <c r="G348" s="1">
        <f t="shared" si="337"/>
        <v>1.2414009099085188E-2</v>
      </c>
      <c r="H348" s="1">
        <f t="shared" si="337"/>
        <v>6.3257199981928691E-3</v>
      </c>
      <c r="I348" s="1">
        <f t="shared" si="337"/>
        <v>4.9714003484112174E-3</v>
      </c>
      <c r="J348" s="1">
        <f t="shared" si="337"/>
        <v>1.9081190960552954E-3</v>
      </c>
      <c r="K348" s="1">
        <f t="shared" si="337"/>
        <v>1.1073852047756919E-3</v>
      </c>
      <c r="L348" s="1">
        <f t="shared" ref="L348" si="338">L316-L332</f>
        <v>6.1969081492840805E-2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39">F317-F333</f>
        <v>0</v>
      </c>
      <c r="G349" s="1">
        <f t="shared" si="339"/>
        <v>0</v>
      </c>
      <c r="H349" s="1">
        <f t="shared" si="339"/>
        <v>0</v>
      </c>
      <c r="I349" s="1">
        <f t="shared" si="339"/>
        <v>0</v>
      </c>
      <c r="J349" s="1">
        <f t="shared" si="339"/>
        <v>0</v>
      </c>
      <c r="K349" s="1">
        <f t="shared" si="339"/>
        <v>0</v>
      </c>
      <c r="L349" s="1">
        <f t="shared" ref="L349" si="340">L317-L333</f>
        <v>2.4230689251508574E-2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1">F318-F334</f>
        <v>0</v>
      </c>
      <c r="G350" s="1">
        <f t="shared" si="341"/>
        <v>0</v>
      </c>
      <c r="H350" s="1">
        <f t="shared" si="341"/>
        <v>0</v>
      </c>
      <c r="I350" s="1">
        <f t="shared" si="341"/>
        <v>0</v>
      </c>
      <c r="J350" s="1">
        <f t="shared" si="341"/>
        <v>0</v>
      </c>
      <c r="K350" s="1">
        <f t="shared" si="341"/>
        <v>0</v>
      </c>
      <c r="L350" s="1">
        <f t="shared" ref="L350" si="342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3">F319-F335</f>
        <v>7.1258828083107378E-4</v>
      </c>
      <c r="G351" s="1">
        <f t="shared" si="343"/>
        <v>3.4202351345763785E-5</v>
      </c>
      <c r="H351" s="1">
        <f t="shared" si="343"/>
        <v>1.3481528337110603E-4</v>
      </c>
      <c r="I351" s="1">
        <f t="shared" si="343"/>
        <v>1.1013390719024092E-3</v>
      </c>
      <c r="J351" s="1">
        <f t="shared" si="343"/>
        <v>9.7977906847206316E-4</v>
      </c>
      <c r="K351" s="1">
        <f t="shared" si="343"/>
        <v>6.082117561862074E-4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4">F320-F336</f>
        <v>0</v>
      </c>
      <c r="G352" s="1">
        <f t="shared" si="344"/>
        <v>0</v>
      </c>
      <c r="H352" s="1">
        <f t="shared" si="344"/>
        <v>0</v>
      </c>
      <c r="I352" s="1">
        <f t="shared" si="344"/>
        <v>1.8978550147847402E-4</v>
      </c>
      <c r="J352" s="1">
        <f t="shared" si="344"/>
        <v>3.3802699779938907E-4</v>
      </c>
      <c r="K352" s="1">
        <f t="shared" si="344"/>
        <v>3.7742413092243816E-4</v>
      </c>
      <c r="L352" s="1">
        <f t="shared" ref="L352" si="345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46">F321-F337</f>
        <v>1.0501579106000497E-3</v>
      </c>
      <c r="G353" s="1">
        <f t="shared" si="346"/>
        <v>3.4922615884701693E-5</v>
      </c>
      <c r="H353" s="1">
        <f t="shared" si="346"/>
        <v>3.3521446530078783E-4</v>
      </c>
      <c r="I353" s="1">
        <f t="shared" si="346"/>
        <v>0.22846147611668055</v>
      </c>
      <c r="J353" s="1">
        <f t="shared" si="346"/>
        <v>0.26990524898188362</v>
      </c>
      <c r="K353" s="1">
        <f t="shared" si="346"/>
        <v>0.31501811919596578</v>
      </c>
      <c r="L353" s="1">
        <f t="shared" ref="L353" si="347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48">F322-F338</f>
        <v>0</v>
      </c>
      <c r="G354" s="1">
        <f t="shared" si="348"/>
        <v>0</v>
      </c>
      <c r="H354" s="1">
        <f t="shared" si="348"/>
        <v>0</v>
      </c>
      <c r="I354" s="1">
        <f t="shared" si="348"/>
        <v>8.4229285538115709E-4</v>
      </c>
      <c r="J354" s="1">
        <f t="shared" si="348"/>
        <v>3.4963319583623392E-3</v>
      </c>
      <c r="K354" s="1">
        <f t="shared" si="348"/>
        <v>4.0422769536957899E-3</v>
      </c>
      <c r="L354" s="1">
        <f t="shared" ref="L354" si="349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0">F323-F339</f>
        <v>1.0647037863800024</v>
      </c>
      <c r="G355" s="1">
        <f t="shared" si="350"/>
        <v>1.2550084958122114</v>
      </c>
      <c r="H355" s="1">
        <f t="shared" si="350"/>
        <v>1.423737067064474</v>
      </c>
      <c r="I355" s="1">
        <f t="shared" si="350"/>
        <v>1.3801768242348689</v>
      </c>
      <c r="J355" s="1">
        <f t="shared" si="350"/>
        <v>1.457671244039938</v>
      </c>
      <c r="K355" s="1">
        <f t="shared" si="350"/>
        <v>1.5447583054395959</v>
      </c>
      <c r="L355" s="1">
        <f t="shared" ref="L355" si="351">L323-L339</f>
        <v>1.503722577537782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2">F324-F340</f>
        <v>2.0285068494466985E-2</v>
      </c>
      <c r="G356" s="1">
        <f t="shared" si="352"/>
        <v>1.4162424604757584E-2</v>
      </c>
      <c r="H356" s="1">
        <f t="shared" si="352"/>
        <v>1.0450838786307537E-3</v>
      </c>
      <c r="I356" s="1">
        <f t="shared" si="352"/>
        <v>3.4093027843924498E-3</v>
      </c>
      <c r="J356" s="1">
        <f t="shared" si="352"/>
        <v>8.3868730734323882E-3</v>
      </c>
      <c r="K356" s="1">
        <f t="shared" si="352"/>
        <v>4.2202591276948136E-3</v>
      </c>
      <c r="L356" s="1">
        <f t="shared" ref="L356" si="353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4">F325-F341</f>
        <v>0</v>
      </c>
      <c r="G357" s="1">
        <f t="shared" si="354"/>
        <v>0</v>
      </c>
      <c r="H357" s="1">
        <f t="shared" si="354"/>
        <v>0</v>
      </c>
      <c r="I357" s="1">
        <f t="shared" si="354"/>
        <v>1.2024462711264993E-4</v>
      </c>
      <c r="J357" s="1">
        <f t="shared" si="354"/>
        <v>6.5708779672335547E-4</v>
      </c>
      <c r="K357" s="1">
        <f t="shared" si="354"/>
        <v>6.8448348867597517E-4</v>
      </c>
      <c r="L357" s="1">
        <f t="shared" ref="L357" si="355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6">E357</f>
        <v>PJ/yr.</v>
      </c>
      <c r="F358" s="1">
        <f>SUM(F359:F364)</f>
        <v>22.495513724299485</v>
      </c>
      <c r="G358" s="1">
        <f t="shared" ref="G358:K358" si="357">SUM(G359:G364)</f>
        <v>24.624386410689073</v>
      </c>
      <c r="H358" s="1">
        <f t="shared" si="357"/>
        <v>26.540375356185571</v>
      </c>
      <c r="I358" s="1">
        <f t="shared" si="357"/>
        <v>24.62579737847101</v>
      </c>
      <c r="J358" s="1">
        <f t="shared" si="357"/>
        <v>25.149584373186642</v>
      </c>
      <c r="K358" s="1">
        <f t="shared" si="357"/>
        <v>25.960727240485809</v>
      </c>
      <c r="L358" s="1">
        <f t="shared" ref="L358" si="358">SUM(L359:L364)</f>
        <v>45.664630815963335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6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'[1]Electricity and CHPs_IN'!F$19</f>
        <v>20.958788167165171</v>
      </c>
      <c r="K359" s="1">
        <f>'[1]Electricity and CHPs_IN'!G$19</f>
        <v>21.451606030452798</v>
      </c>
      <c r="L359" s="1">
        <f>'[1]Electricity and CHPs_IN'!H$19</f>
        <v>5.5797867202606079E-3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6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25.060281901887194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6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IFERROR(J133/SUM(J133,J198),0)*'[1]Electricity and CHPs_IN'!F$26</f>
        <v>4.1871111578888005</v>
      </c>
      <c r="K361" s="1">
        <f>IFERROR(K133/SUM(K133,K198),0)*'[1]Electricity and CHPs_IN'!G$26</f>
        <v>4.5016167335243695</v>
      </c>
      <c r="L361" s="1">
        <f>IFERROR(L133/SUM(L133,L198),0)*'[1]Electricity and CHPs_IN'!H$26</f>
        <v>16.834182095529176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6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2.5734982140213849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6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IFERROR(J135/SUM(J135,J274),0)*'[1]Electricity and CHPs_IN'!F$44</f>
        <v>3.6850481326718264E-3</v>
      </c>
      <c r="K363" s="1">
        <f>IFERROR(K135/SUM(K135,K274),0)*'[1]Electricity and CHPs_IN'!G$44</f>
        <v>7.5044765086432867E-3</v>
      </c>
      <c r="L363" s="1">
        <f>IFERROR(L135/SUM(L135,L274),0)*'[1]Electricity and CHPs_IN'!H$44</f>
        <v>6.5202877087127439E-4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6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1.1904367890344538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6"/>
        <v>PJ/yr.</v>
      </c>
      <c r="F365" s="1">
        <f>SUM(F366:F369)</f>
        <v>11.050534143630552</v>
      </c>
      <c r="G365" s="1">
        <f t="shared" ref="G365:K365" si="359">SUM(G366:G369)</f>
        <v>12.107596821910951</v>
      </c>
      <c r="H365" s="1">
        <f t="shared" si="359"/>
        <v>13.268286905764915</v>
      </c>
      <c r="I365" s="1">
        <f t="shared" si="359"/>
        <v>12.312022452699587</v>
      </c>
      <c r="J365" s="1">
        <f t="shared" si="359"/>
        <v>12.572949662526986</v>
      </c>
      <c r="K365" s="1">
        <f t="shared" si="359"/>
        <v>12.976611381988585</v>
      </c>
      <c r="L365" s="1">
        <f t="shared" ref="L365" si="360">SUM(L366:L369)</f>
        <v>22.236770999079006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6"/>
        <v>PJ/yr.</v>
      </c>
      <c r="F366" s="1">
        <f>F359*IFERROR(F138/F131,0)</f>
        <v>9.1017964550915877</v>
      </c>
      <c r="G366" s="1">
        <f t="shared" ref="G366:K366" si="361">G359*IFERROR(G138/G131,0)</f>
        <v>10.214891427998639</v>
      </c>
      <c r="H366" s="1">
        <f t="shared" si="361"/>
        <v>11.468183475729937</v>
      </c>
      <c r="I366" s="1">
        <f t="shared" si="361"/>
        <v>10.348293249681497</v>
      </c>
      <c r="J366" s="1">
        <f t="shared" si="361"/>
        <v>10.479394083582585</v>
      </c>
      <c r="K366" s="1">
        <f t="shared" si="361"/>
        <v>10.725803015226401</v>
      </c>
      <c r="L366" s="1">
        <f t="shared" ref="L366" si="362">L359*IFERROR(L138/L131,0)</f>
        <v>2.7898933601303039E-3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6"/>
        <v>PJ/yr.</v>
      </c>
      <c r="F367" s="1">
        <f t="shared" ref="F367:K367" si="363">F360*IFERROR(F139/F132,0)</f>
        <v>0</v>
      </c>
      <c r="G367" s="1">
        <f t="shared" si="363"/>
        <v>0</v>
      </c>
      <c r="H367" s="1">
        <f t="shared" si="363"/>
        <v>0</v>
      </c>
      <c r="I367" s="1">
        <f t="shared" si="363"/>
        <v>0</v>
      </c>
      <c r="J367" s="1">
        <f t="shared" si="363"/>
        <v>0</v>
      </c>
      <c r="K367" s="1">
        <f t="shared" si="363"/>
        <v>0</v>
      </c>
      <c r="L367" s="1">
        <f t="shared" ref="L367" si="364">L360*IFERROR(L139/L132,0)</f>
        <v>12.530140950943597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6"/>
        <v>PJ/yr.</v>
      </c>
      <c r="F368" s="1">
        <f t="shared" ref="F368:K368" si="365">F361*IFERROR(F140/F133,0)</f>
        <v>1.9487376885389636</v>
      </c>
      <c r="G368" s="1">
        <f t="shared" si="365"/>
        <v>1.8927053939123113</v>
      </c>
      <c r="H368" s="1">
        <f t="shared" si="365"/>
        <v>1.800103430034979</v>
      </c>
      <c r="I368" s="1">
        <f t="shared" si="365"/>
        <v>1.9637292030180911</v>
      </c>
      <c r="J368" s="1">
        <f t="shared" si="365"/>
        <v>2.0935555789444003</v>
      </c>
      <c r="K368" s="1">
        <f t="shared" si="365"/>
        <v>2.2508083667621848</v>
      </c>
      <c r="L368" s="1">
        <f t="shared" ref="L368" si="366">L361*IFERROR(L140/L133,0)</f>
        <v>8.4170910477645879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6"/>
        <v>PJ/yr.</v>
      </c>
      <c r="F369" s="1">
        <f t="shared" ref="F369:K369" si="367">F362*IFERROR(F141/F134,0)</f>
        <v>0</v>
      </c>
      <c r="G369" s="1">
        <f t="shared" si="367"/>
        <v>0</v>
      </c>
      <c r="H369" s="1">
        <f t="shared" si="367"/>
        <v>0</v>
      </c>
      <c r="I369" s="1">
        <f t="shared" si="367"/>
        <v>0</v>
      </c>
      <c r="J369" s="1">
        <f t="shared" si="367"/>
        <v>0</v>
      </c>
      <c r="K369" s="1">
        <f t="shared" si="367"/>
        <v>0</v>
      </c>
      <c r="L369" s="1">
        <f t="shared" ref="L369" si="368">L362*IFERROR(L141/L134,0)</f>
        <v>1.2867491070106925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6"/>
        <v>PJ/yr.</v>
      </c>
      <c r="F370" s="1">
        <f t="shared" ref="F370:K370" si="369">F363*IFERROR(F142/F135,0)</f>
        <v>0</v>
      </c>
      <c r="G370" s="1">
        <f t="shared" si="369"/>
        <v>0</v>
      </c>
      <c r="H370" s="1">
        <f t="shared" si="369"/>
        <v>0</v>
      </c>
      <c r="I370" s="1">
        <f t="shared" si="369"/>
        <v>0</v>
      </c>
      <c r="J370" s="1">
        <f t="shared" si="369"/>
        <v>0</v>
      </c>
      <c r="K370" s="1">
        <f t="shared" si="369"/>
        <v>0</v>
      </c>
      <c r="L370" s="1">
        <f t="shared" ref="L370" si="370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6"/>
        <v>PJ/yr.</v>
      </c>
      <c r="F371" s="1">
        <f t="shared" ref="F371:K371" si="371">F364*IFERROR(F143/F136,0)</f>
        <v>0</v>
      </c>
      <c r="G371" s="1">
        <f t="shared" si="371"/>
        <v>0</v>
      </c>
      <c r="H371" s="1">
        <f t="shared" si="371"/>
        <v>0</v>
      </c>
      <c r="I371" s="1">
        <f t="shared" si="371"/>
        <v>0</v>
      </c>
      <c r="J371" s="1">
        <f t="shared" si="371"/>
        <v>0</v>
      </c>
      <c r="K371" s="1">
        <f t="shared" si="371"/>
        <v>0</v>
      </c>
      <c r="L371" s="1">
        <f t="shared" ref="L371" si="372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6"/>
        <v>PJ/yr.</v>
      </c>
      <c r="F372" s="1">
        <f>SUM(F373:F378)</f>
        <v>11.444979580668932</v>
      </c>
      <c r="G372" s="1">
        <f t="shared" ref="G372:K372" si="373">SUM(G373:G378)</f>
        <v>12.516789588778122</v>
      </c>
      <c r="H372" s="1">
        <f t="shared" si="373"/>
        <v>13.272088450420656</v>
      </c>
      <c r="I372" s="1">
        <f t="shared" si="373"/>
        <v>12.313774925771421</v>
      </c>
      <c r="J372" s="1">
        <f t="shared" si="373"/>
        <v>12.576634710659658</v>
      </c>
      <c r="K372" s="1">
        <f t="shared" si="373"/>
        <v>12.984115858497226</v>
      </c>
      <c r="L372" s="1">
        <f t="shared" ref="L372" si="374">SUM(L373:L378)</f>
        <v>23.427859816884332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6"/>
        <v>PJ/yr.</v>
      </c>
      <c r="F373" s="1">
        <f t="shared" ref="F373:K373" si="375">F366*IFERROR(F145/F138,0)</f>
        <v>9.1017964550915877</v>
      </c>
      <c r="G373" s="1">
        <f t="shared" si="375"/>
        <v>10.214891427998639</v>
      </c>
      <c r="H373" s="1">
        <f t="shared" si="375"/>
        <v>11.468183475729937</v>
      </c>
      <c r="I373" s="1">
        <f t="shared" si="375"/>
        <v>10.348293249681497</v>
      </c>
      <c r="J373" s="1">
        <f t="shared" si="375"/>
        <v>10.479394083582585</v>
      </c>
      <c r="K373" s="1">
        <f t="shared" si="375"/>
        <v>10.725803015226399</v>
      </c>
      <c r="L373" s="1">
        <f t="shared" ref="L373" si="376">L366*IFERROR(L145/L138,0)</f>
        <v>2.7898933601303039E-3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6"/>
        <v>PJ/yr.</v>
      </c>
      <c r="F374" s="1">
        <f t="shared" ref="F374:K374" si="377">F367*IFERROR(F146/F139,0)</f>
        <v>0</v>
      </c>
      <c r="G374" s="1">
        <f t="shared" si="377"/>
        <v>0</v>
      </c>
      <c r="H374" s="1">
        <f t="shared" si="377"/>
        <v>0</v>
      </c>
      <c r="I374" s="1">
        <f t="shared" si="377"/>
        <v>0</v>
      </c>
      <c r="J374" s="1">
        <f t="shared" si="377"/>
        <v>0</v>
      </c>
      <c r="K374" s="1">
        <f t="shared" si="377"/>
        <v>0</v>
      </c>
      <c r="L374" s="1">
        <f t="shared" ref="L374" si="378">L367*IFERROR(L146/L139,0)</f>
        <v>12.530140950943597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6"/>
        <v>PJ/yr.</v>
      </c>
      <c r="F375" s="1">
        <f t="shared" ref="F375:K375" si="379">F368*IFERROR(F147/F140,0)</f>
        <v>1.9487376885389636</v>
      </c>
      <c r="G375" s="1">
        <f t="shared" si="379"/>
        <v>1.8927053939123113</v>
      </c>
      <c r="H375" s="1">
        <f t="shared" si="379"/>
        <v>1.800103430034979</v>
      </c>
      <c r="I375" s="1">
        <f t="shared" si="379"/>
        <v>1.9637292030180911</v>
      </c>
      <c r="J375" s="1">
        <f t="shared" si="379"/>
        <v>2.0935555789444003</v>
      </c>
      <c r="K375" s="1">
        <f t="shared" si="379"/>
        <v>2.2508083667621848</v>
      </c>
      <c r="L375" s="1">
        <f t="shared" ref="L375" si="380">L368*IFERROR(L147/L140,0)</f>
        <v>8.4170910477645879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6"/>
        <v>PJ/yr.</v>
      </c>
      <c r="F376" s="1">
        <f t="shared" ref="F376:K376" si="381">F369*IFERROR(F148/F141,0)</f>
        <v>0</v>
      </c>
      <c r="G376" s="1">
        <f t="shared" si="381"/>
        <v>0</v>
      </c>
      <c r="H376" s="1">
        <f t="shared" si="381"/>
        <v>0</v>
      </c>
      <c r="I376" s="1">
        <f t="shared" si="381"/>
        <v>0</v>
      </c>
      <c r="J376" s="1">
        <f t="shared" si="381"/>
        <v>0</v>
      </c>
      <c r="K376" s="1">
        <f t="shared" si="381"/>
        <v>0</v>
      </c>
      <c r="L376" s="1">
        <f t="shared" ref="L376" si="382">L369*IFERROR(L148/L141,0)</f>
        <v>1.2867491070106925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6"/>
        <v>PJ/yr.</v>
      </c>
      <c r="F377" s="1">
        <f>F363</f>
        <v>0.3944454370383807</v>
      </c>
      <c r="G377" s="1">
        <f t="shared" ref="G377:K377" si="383">G363</f>
        <v>0.40919276686717115</v>
      </c>
      <c r="H377" s="1">
        <f t="shared" si="383"/>
        <v>3.8015446557410782E-3</v>
      </c>
      <c r="I377" s="1">
        <f t="shared" si="383"/>
        <v>1.7524730718346182E-3</v>
      </c>
      <c r="J377" s="1">
        <f t="shared" si="383"/>
        <v>3.6850481326718264E-3</v>
      </c>
      <c r="K377" s="1">
        <f t="shared" si="383"/>
        <v>7.5044765086432867E-3</v>
      </c>
      <c r="L377" s="1">
        <f t="shared" ref="L377" si="384">L363</f>
        <v>6.5202877087127439E-4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6"/>
        <v>PJ/yr.</v>
      </c>
      <c r="F378" s="1">
        <f t="shared" ref="F378:K378" si="385">F364</f>
        <v>0</v>
      </c>
      <c r="G378" s="1">
        <f t="shared" si="385"/>
        <v>0</v>
      </c>
      <c r="H378" s="1">
        <f t="shared" si="385"/>
        <v>0</v>
      </c>
      <c r="I378" s="1">
        <f t="shared" si="385"/>
        <v>0</v>
      </c>
      <c r="J378" s="1">
        <f t="shared" si="385"/>
        <v>0</v>
      </c>
      <c r="K378" s="1">
        <f t="shared" si="385"/>
        <v>0</v>
      </c>
      <c r="L378" s="1">
        <f t="shared" ref="L378" si="386">L364</f>
        <v>1.1904367890344538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6"/>
        <v>PJ/yr.</v>
      </c>
      <c r="F379" s="1">
        <f>SUM(F380:F386)</f>
        <v>0.18092069480103751</v>
      </c>
      <c r="G379" s="1">
        <f t="shared" ref="G379:K379" si="387">SUM(G380:G386)</f>
        <v>0.16227120255614966</v>
      </c>
      <c r="H379" s="1">
        <f t="shared" si="387"/>
        <v>1.3489875366597841</v>
      </c>
      <c r="I379" s="1">
        <f t="shared" si="387"/>
        <v>3.4460066155266373</v>
      </c>
      <c r="J379" s="1">
        <f t="shared" si="387"/>
        <v>4.5394574426907184</v>
      </c>
      <c r="K379" s="1">
        <f t="shared" si="387"/>
        <v>6.4545045484149597</v>
      </c>
      <c r="L379" s="1">
        <f t="shared" ref="L379" si="388">SUM(L380:L386)</f>
        <v>13.148776611615691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6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IFERROR(J152/SUM(J152,J207),0)*'[1]Electricity and CHPs_IN'!F$25</f>
        <v>0.16569312468365771</v>
      </c>
      <c r="K380" s="1">
        <f>IFERROR(K152/SUM(K152,K207),0)*'[1]Electricity and CHPs_IN'!G$25</f>
        <v>0.19901759268475097</v>
      </c>
      <c r="L380" s="1">
        <f>IFERROR(L152/SUM(L152,L207),0)*'[1]Electricity and CHPs_IN'!H$25</f>
        <v>0.41963158566792685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6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0.70505940382598919</v>
      </c>
      <c r="L381" s="1">
        <f>'[1]Electricity and CHPs_IN'!H$31</f>
        <v>8.0943907333368159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6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IFERROR(J154/SUM(J154,J283),0)*'[1]Electricity and CHPs_IN'!F$42</f>
        <v>3.6831598150613551</v>
      </c>
      <c r="K382" s="1">
        <f>IFERROR(K154/SUM(K154,K283),0)*'[1]Electricity and CHPs_IN'!G$42</f>
        <v>4.0502045966784674</v>
      </c>
      <c r="L382" s="1">
        <f>IFERROR(L154/SUM(L154,L283),0)*'[1]Electricity and CHPs_IN'!H$42</f>
        <v>2.9157109014409497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6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1.719043391169998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6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IFERROR(J156/SUM(J285,J156),0)*'[1]Electricity and CHPs_IN'!F$50</f>
        <v>0.22480222290210791</v>
      </c>
      <c r="K384" s="1">
        <f>IFERROR(K156/SUM(K285,K156),0)*'[1]Electricity and CHPs_IN'!G$50</f>
        <v>0.39776889702204504</v>
      </c>
      <c r="L384" s="1">
        <f>IFERROR(L156/SUM(L285,L156),0)*'[1]Electricity and CHPs_IN'!H$50</f>
        <v>0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6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IFERROR(J157/SUM(J286,J157),0)*'[1]Electricity and CHPs_IN'!F$53</f>
        <v>0.2259393946029693</v>
      </c>
      <c r="K385" s="1">
        <f>IFERROR(K157/SUM(K286,K157),0)*'[1]Electricity and CHPs_IN'!G$53</f>
        <v>0.67203344314347191</v>
      </c>
      <c r="L385" s="1">
        <f>IFERROR(L157/SUM(L286,L157),0)*'[1]Electricity and CHPs_IN'!H$53</f>
        <v>0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6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IFERROR(J158/SUM(J287,J158),0)*'[1]Electricity and CHPs_IN'!F$56</f>
        <v>0.23986288544062784</v>
      </c>
      <c r="K386" s="1">
        <f>IFERROR(K158/SUM(K287,K158),0)*'[1]Electricity and CHPs_IN'!G$56</f>
        <v>0.43042061506023493</v>
      </c>
      <c r="L386" s="1">
        <f>IFERROR(L158/SUM(L287,L158),0)*'[1]Electricity and CHPs_IN'!H$56</f>
        <v>0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6"/>
        <v>PJ/yr.</v>
      </c>
      <c r="F387" s="1">
        <f>F388</f>
        <v>0.52400000000000047</v>
      </c>
      <c r="G387" s="1">
        <f t="shared" ref="G387:L387" si="389">G388</f>
        <v>0.54529224331287351</v>
      </c>
      <c r="H387" s="1">
        <f t="shared" si="389"/>
        <v>0.50316484164642317</v>
      </c>
      <c r="I387" s="1">
        <f t="shared" si="389"/>
        <v>1.6453367237501542</v>
      </c>
      <c r="J387" s="1">
        <f t="shared" si="389"/>
        <v>2.9171538644695905</v>
      </c>
      <c r="K387" s="1">
        <f t="shared" si="389"/>
        <v>5.7747958768405541</v>
      </c>
      <c r="L387" s="1">
        <f t="shared" si="389"/>
        <v>6.1200033518095447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6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'[1]Electricity and CHPs_IN'!F$33</f>
        <v>2.9171538644695905</v>
      </c>
      <c r="K388" s="1">
        <f>'[1]Electricity and CHPs_IN'!G$33</f>
        <v>5.7747958768405541</v>
      </c>
      <c r="L388" s="1">
        <f>'[1]Electricity and CHPs_IN'!H$33</f>
        <v>6.1200033518095447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6"/>
        <v>PJ/yr.</v>
      </c>
      <c r="F389" s="1">
        <f>SUM(F390:F394)</f>
        <v>9.3550000000000111</v>
      </c>
      <c r="G389" s="1">
        <f t="shared" ref="G389:K389" si="390">SUM(G390:G394)</f>
        <v>12.821412724156708</v>
      </c>
      <c r="H389" s="1">
        <f t="shared" si="390"/>
        <v>28.800005811017826</v>
      </c>
      <c r="I389" s="1">
        <f t="shared" si="390"/>
        <v>31.1749998053978</v>
      </c>
      <c r="J389" s="1">
        <f t="shared" si="390"/>
        <v>49.799299406787767</v>
      </c>
      <c r="K389" s="1">
        <f t="shared" si="390"/>
        <v>63.964953843045727</v>
      </c>
      <c r="L389" s="1">
        <f t="shared" ref="L389" si="391">SUM(L390:L394)</f>
        <v>90.00002932984637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6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'[1]Electricity and CHPs_IN'!F34</f>
        <v>0.19264143267481698</v>
      </c>
      <c r="K390" s="1">
        <f>'[1]Electricity and CHPs_IN'!G34</f>
        <v>1.4212346679790082</v>
      </c>
      <c r="L390" s="1">
        <f>'[1]Electricity and CHPs_IN'!H34</f>
        <v>2.8640112154180133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6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'[1]Electricity and CHPs_IN'!F35</f>
        <v>29.692076365081959</v>
      </c>
      <c r="K391" s="1">
        <f>'[1]Electricity and CHPs_IN'!G35</f>
        <v>40.847370342196385</v>
      </c>
      <c r="L391" s="1">
        <f>'[1]Electricity and CHPs_IN'!H35</f>
        <v>63.061466990957051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6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'[1]Electricity and CHPs_IN'!F36</f>
        <v>4.6142753156864726</v>
      </c>
      <c r="K392" s="1">
        <f>'[1]Electricity and CHPs_IN'!G36</f>
        <v>4.8978516410459294</v>
      </c>
      <c r="L392" s="1">
        <f>'[1]Electricity and CHPs_IN'!H36</f>
        <v>5.5183571715530935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6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'[1]Electricity and CHPs_IN'!F37</f>
        <v>4.0147917876504602</v>
      </c>
      <c r="K393" s="1">
        <f>'[1]Electricity and CHPs_IN'!G37</f>
        <v>4.2196313050260557</v>
      </c>
      <c r="L393" s="1">
        <f>'[1]Electricity and CHPs_IN'!H37</f>
        <v>4.661157690186883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6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'[1]Electricity and CHPs_IN'!F38</f>
        <v>11.285514505694056</v>
      </c>
      <c r="K394" s="1">
        <f>'[1]Electricity and CHPs_IN'!G38</f>
        <v>12.578865886798349</v>
      </c>
      <c r="L394" s="1">
        <f>'[1]Electricity and CHPs_IN'!H38</f>
        <v>13.895036261731333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6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6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6"/>
        <v>PJ/yr.</v>
      </c>
      <c r="F397" s="1">
        <f t="shared" ref="F397" si="392">SUM(F398:F400)</f>
        <v>0</v>
      </c>
      <c r="G397" s="1">
        <f t="shared" ref="G397" si="393">SUM(G398:G400)</f>
        <v>0</v>
      </c>
      <c r="H397" s="1">
        <f t="shared" ref="H397" si="394">SUM(H398:H400)</f>
        <v>0</v>
      </c>
      <c r="I397" s="1">
        <f t="shared" ref="I397" si="395">SUM(I398:I400)</f>
        <v>4.1942788197668439E-3</v>
      </c>
      <c r="J397" s="1">
        <f t="shared" ref="J397" si="396">SUM(J398:J400)</f>
        <v>1.2866991390724416E-2</v>
      </c>
      <c r="K397" s="1">
        <f t="shared" ref="K397:L397" si="397">SUM(K398:K400)</f>
        <v>0.17778375025976367</v>
      </c>
      <c r="L397" s="1">
        <f t="shared" si="397"/>
        <v>0.57991888357480237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6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0.17288666863618837</v>
      </c>
      <c r="L398" s="1">
        <f>IFERROR(L170/SUM(L170,L209),0)*'[1]Electricity and CHPs_IN'!H$30</f>
        <v>0.16924850988680698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6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8.6314501826761526E-3</v>
      </c>
      <c r="K399" s="1">
        <f>IFERROR(K171/SUM(K171,K289),0)*'[1]Electricity and CHPs_IN'!G$46</f>
        <v>2.8348685521979253E-3</v>
      </c>
      <c r="L399" s="1">
        <f>IFERROR(L171/SUM(L171,L289),0)*'[1]Electricity and CHPs_IN'!H$46</f>
        <v>0.41067037368799542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6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IFERROR(J172/SUM(J172,J290),0)*'[1]Electricity and CHPs_IN'!F$57</f>
        <v>4.2355412080482624E-3</v>
      </c>
      <c r="K400" s="1">
        <f>IFERROR(K172/SUM(K172,K290),0)*'[1]Electricity and CHPs_IN'!G$57</f>
        <v>2.0622130713773917E-3</v>
      </c>
      <c r="L400" s="1">
        <f>IFERROR(L172/SUM(L172,L290),0)*'[1]Electricity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6"/>
        <v>PJ/yr.</v>
      </c>
      <c r="F401" s="1">
        <f>SUM(F402:F408)</f>
        <v>0.16869266037851247</v>
      </c>
      <c r="G401" s="1">
        <f t="shared" ref="G401:K401" si="398">SUM(G402:G408)</f>
        <v>4.2955337908309736E-2</v>
      </c>
      <c r="H401" s="1">
        <f t="shared" si="398"/>
        <v>0.43440832806451735</v>
      </c>
      <c r="I401" s="1">
        <f t="shared" si="398"/>
        <v>1.0969631754705589</v>
      </c>
      <c r="J401" s="1">
        <f t="shared" si="398"/>
        <v>1.2756901088147805</v>
      </c>
      <c r="K401" s="1">
        <f t="shared" si="398"/>
        <v>0.88455022005191053</v>
      </c>
      <c r="L401" s="1">
        <f t="shared" ref="L401" si="399">SUM(L402:L408)</f>
        <v>1.5526747647753261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6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'[1]Electricity and CHPs_IN'!F63</f>
        <v>1.0585987239830378E-2</v>
      </c>
      <c r="K402" s="1">
        <f>'[1]Electricity and CHPs_IN'!G63</f>
        <v>1.9693657614509703E-3</v>
      </c>
      <c r="L402" s="1">
        <f>'[1]Electricity and CHPs_IN'!H63</f>
        <v>2.817109612240774E-2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6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'[1]Electricity and CHPs_IN'!F64</f>
        <v>7.2192539581231424E-2</v>
      </c>
      <c r="K403" s="1">
        <f>'[1]Electricity and CHPs_IN'!G64</f>
        <v>7.2219366828799425E-2</v>
      </c>
      <c r="L403" s="1">
        <f>'[1]Electricity and CHPs_IN'!H64</f>
        <v>0.39555472010555404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6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'[1]Electricity and CHPs_IN'!F65</f>
        <v>7.5549538947300654E-2</v>
      </c>
      <c r="K404" s="1">
        <f>'[1]Electricity and CHPs_IN'!G65</f>
        <v>3.4087968284668417E-2</v>
      </c>
      <c r="L404" s="1">
        <f>'[1]Electricity and CHPs_IN'!H65</f>
        <v>9.2042536193457702E-2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6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'[1]Electricity and CHPs_IN'!F66</f>
        <v>0.53462915498247177</v>
      </c>
      <c r="K405" s="1">
        <f>'[1]Electricity and CHPs_IN'!G66</f>
        <v>0.55113293030887467</v>
      </c>
      <c r="L405" s="1">
        <f>'[1]Electricity and CHPs_IN'!H66</f>
        <v>0.63789044973068831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6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'[1]Electricity and CHPs_IN'!F67</f>
        <v>0.2431520145271697</v>
      </c>
      <c r="K406" s="1">
        <f>'[1]Electricity and CHPs_IN'!G67</f>
        <v>8.0104396070132783E-2</v>
      </c>
      <c r="L406" s="1">
        <f>'[1]Electricity and CHPs_IN'!H67</f>
        <v>0.16893712841346037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6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'[1]Electricity and CHPs_IN'!F68</f>
        <v>0.10760036491854541</v>
      </c>
      <c r="K407" s="1">
        <f>'[1]Electricity and CHPs_IN'!G68</f>
        <v>5.4542023343064391E-2</v>
      </c>
      <c r="L407" s="1">
        <f>'[1]Electricity and CHPs_IN'!H68</f>
        <v>6.3935774875813867E-2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6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'[1]Electricity and CHPs_IN'!F69</f>
        <v>0.23198050861823111</v>
      </c>
      <c r="K408" s="1">
        <f>'[1]Electricity and CHPs_IN'!G69</f>
        <v>9.0494169454919948E-2</v>
      </c>
      <c r="L408" s="1">
        <f>'[1]Electricity and CHPs_IN'!H69</f>
        <v>0.16614305933394383</v>
      </c>
      <c r="N408" s="1"/>
    </row>
    <row r="409" spans="1:19" x14ac:dyDescent="0.35">
      <c r="A409" s="5"/>
      <c r="B409" s="9" t="str">
        <f t="shared" ref="B409:C409" si="400">B408</f>
        <v>SPS1</v>
      </c>
      <c r="C409" s="2" t="str">
        <f t="shared" si="400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1">G410+G463</f>
        <v>57.935578782761013</v>
      </c>
      <c r="H409" s="3">
        <f t="shared" si="401"/>
        <v>52.158931962086463</v>
      </c>
      <c r="I409" s="3">
        <f t="shared" si="401"/>
        <v>73.619309450364355</v>
      </c>
      <c r="J409" s="3">
        <f t="shared" si="401"/>
        <v>82.503535266179298</v>
      </c>
      <c r="K409" s="3">
        <f t="shared" si="401"/>
        <v>87.629675589558545</v>
      </c>
      <c r="L409" s="3">
        <f>IFERROR(L410+L463,0)</f>
        <v>71.970088827858149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2">F411+F440</f>
        <v>48.024932994853664</v>
      </c>
      <c r="G410" s="1">
        <f t="shared" si="402"/>
        <v>49.898749520577475</v>
      </c>
      <c r="H410" s="1">
        <f t="shared" si="402"/>
        <v>45.148285597209721</v>
      </c>
      <c r="I410" s="1">
        <f t="shared" si="402"/>
        <v>60.008437927749213</v>
      </c>
      <c r="J410" s="1">
        <f t="shared" si="402"/>
        <v>65.884156229693446</v>
      </c>
      <c r="K410" s="1">
        <f t="shared" si="402"/>
        <v>68.626328166404917</v>
      </c>
      <c r="L410" s="1">
        <f t="shared" ref="L410" si="403">L411+L440</f>
        <v>54.746564918612968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04">SUM(G412,G418,G427,G436,G438)</f>
        <v>36.498036008821636</v>
      </c>
      <c r="H411" s="1">
        <f t="shared" si="404"/>
        <v>35.724478340294183</v>
      </c>
      <c r="I411" s="1">
        <f t="shared" si="404"/>
        <v>35.429652840039992</v>
      </c>
      <c r="J411" s="1">
        <f t="shared" si="404"/>
        <v>36.574944900040315</v>
      </c>
      <c r="K411" s="1">
        <f t="shared" si="404"/>
        <v>38.074114451633065</v>
      </c>
      <c r="L411" s="1">
        <f t="shared" ref="L411" si="405">SUM(L412,L418,L427,L436,L438)</f>
        <v>26.045544786352377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06">G413</f>
        <v>1.7653249789384595</v>
      </c>
      <c r="H412" s="1">
        <f t="shared" si="406"/>
        <v>2.6822934305441533E-2</v>
      </c>
      <c r="I412" s="1">
        <f t="shared" si="406"/>
        <v>1.868837006075811E-3</v>
      </c>
      <c r="J412" s="1">
        <f t="shared" si="406"/>
        <v>6.0719295458619175E-3</v>
      </c>
      <c r="K412" s="1">
        <f t="shared" si="406"/>
        <v>6.5233881235346155E-4</v>
      </c>
      <c r="L412" s="1">
        <f t="shared" si="406"/>
        <v>1.7850825912077699E-4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'[1]Electricity and CHPs_IN'!F$28-J300</f>
        <v>6.0719295458619175E-3</v>
      </c>
      <c r="K413" s="1">
        <f>'[1]Electricity and CHPs_IN'!G$28-K300</f>
        <v>6.5233881235346155E-4</v>
      </c>
      <c r="L413" s="1">
        <f>'[1]Electricity and CHPs_IN'!H$28-L300</f>
        <v>1.7850825912077699E-4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07">G415</f>
        <v>1.7653249789384595</v>
      </c>
      <c r="H414" s="1">
        <f t="shared" si="407"/>
        <v>2.6822934305441533E-2</v>
      </c>
      <c r="I414" s="1">
        <f t="shared" si="407"/>
        <v>1.868837006075811E-3</v>
      </c>
      <c r="J414" s="1">
        <f t="shared" si="407"/>
        <v>6.0719295458619175E-3</v>
      </c>
      <c r="K414" s="1">
        <f t="shared" si="407"/>
        <v>6.5233881235346155E-4</v>
      </c>
      <c r="L414" s="1">
        <f t="shared" si="407"/>
        <v>1.7850825912077699E-4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08">G413-G417</f>
        <v>1.7653249789384595</v>
      </c>
      <c r="H415" s="1">
        <f t="shared" si="408"/>
        <v>2.6822934305441533E-2</v>
      </c>
      <c r="I415" s="1">
        <f t="shared" si="408"/>
        <v>1.868837006075811E-3</v>
      </c>
      <c r="J415" s="1">
        <f t="shared" si="408"/>
        <v>6.0719295458619175E-3</v>
      </c>
      <c r="K415" s="1">
        <f t="shared" si="408"/>
        <v>6.5233881235346155E-4</v>
      </c>
      <c r="L415" s="1">
        <f t="shared" ref="L415" si="409">L413-L417</f>
        <v>1.7850825912077699E-4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0">G417</f>
        <v>0</v>
      </c>
      <c r="H416" s="1">
        <f t="shared" si="410"/>
        <v>0</v>
      </c>
      <c r="I416" s="1">
        <f t="shared" si="410"/>
        <v>0</v>
      </c>
      <c r="J416" s="1">
        <f t="shared" si="410"/>
        <v>0</v>
      </c>
      <c r="K416" s="1">
        <f t="shared" si="410"/>
        <v>0</v>
      </c>
      <c r="L416" s="1">
        <f t="shared" si="410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1">IFERROR(G308/G300,0)*G413</f>
        <v>0</v>
      </c>
      <c r="H417" s="1">
        <f t="shared" si="411"/>
        <v>0</v>
      </c>
      <c r="I417" s="1">
        <f t="shared" si="411"/>
        <v>0</v>
      </c>
      <c r="J417" s="1">
        <f t="shared" si="411"/>
        <v>0</v>
      </c>
      <c r="K417" s="1">
        <f t="shared" si="411"/>
        <v>0</v>
      </c>
      <c r="L417" s="1">
        <f t="shared" ref="L417" si="412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3">SUM(G419:G420)</f>
        <v>1.5558871412924297E-3</v>
      </c>
      <c r="H418" s="1">
        <f t="shared" si="413"/>
        <v>2.9105301847794447</v>
      </c>
      <c r="I418" s="1">
        <f t="shared" si="413"/>
        <v>6.3523883747074027E-3</v>
      </c>
      <c r="J418" s="1">
        <f t="shared" si="413"/>
        <v>1.5907756520689209E-2</v>
      </c>
      <c r="K418" s="1">
        <f t="shared" si="413"/>
        <v>1.3447500336828378E-3</v>
      </c>
      <c r="L418" s="1">
        <f t="shared" ref="L418" si="414">SUM(L419:L420)</f>
        <v>1.8376786790295678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'[1]Electricity and CHPs_IN'!F$24-J314</f>
        <v>1.5907756520689209E-2</v>
      </c>
      <c r="K419" s="1">
        <f>'[1]Electricity and CHPs_IN'!G$24-K314</f>
        <v>1.0837752484529001E-3</v>
      </c>
      <c r="L419" s="1">
        <f>'[1]Electricity and CHPs_IN'!H$24-L314</f>
        <v>0.86144062763769758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2.6097478522993768E-4</v>
      </c>
      <c r="L420" s="1">
        <f>'[1]Electricity and CHPs_IN'!H$29-L315</f>
        <v>0.97623805139187025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15">SUM(G422:G423)</f>
        <v>1.5280206544845388E-3</v>
      </c>
      <c r="H421" s="1">
        <f t="shared" si="415"/>
        <v>2.8756884573743164</v>
      </c>
      <c r="I421" s="1">
        <f t="shared" si="415"/>
        <v>5.6086135431828105E-3</v>
      </c>
      <c r="J421" s="1">
        <f t="shared" si="415"/>
        <v>1.4141648850916854E-2</v>
      </c>
      <c r="K421" s="1">
        <f t="shared" si="415"/>
        <v>1.1748822812545773E-3</v>
      </c>
      <c r="L421" s="1">
        <f t="shared" ref="L421" si="416">SUM(L422:L423)</f>
        <v>0.78535969516451587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17">G419-G425</f>
        <v>1.5280206544845388E-3</v>
      </c>
      <c r="H422" s="1">
        <f t="shared" si="417"/>
        <v>2.8756884573743164</v>
      </c>
      <c r="I422" s="1">
        <f t="shared" si="417"/>
        <v>5.6086135431828105E-3</v>
      </c>
      <c r="J422" s="1">
        <f t="shared" si="417"/>
        <v>1.4141648850916854E-2</v>
      </c>
      <c r="K422" s="1">
        <f t="shared" si="417"/>
        <v>9.4687362288618619E-4</v>
      </c>
      <c r="L422" s="1">
        <f t="shared" ref="L422" si="418">L419-L425</f>
        <v>0.36814964250504101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9">G420-G426</f>
        <v>0</v>
      </c>
      <c r="H423" s="1">
        <f t="shared" si="419"/>
        <v>0</v>
      </c>
      <c r="I423" s="1">
        <f t="shared" si="419"/>
        <v>0</v>
      </c>
      <c r="J423" s="1">
        <f t="shared" si="419"/>
        <v>0</v>
      </c>
      <c r="K423" s="1">
        <f t="shared" si="419"/>
        <v>2.2800865836839108E-4</v>
      </c>
      <c r="L423" s="1">
        <f t="shared" ref="L423" si="420">L420-L426</f>
        <v>0.41721005265947486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1">SUM(G425:G426)</f>
        <v>2.7866486807891047E-5</v>
      </c>
      <c r="H424" s="1">
        <f t="shared" si="421"/>
        <v>3.4841727405128281E-2</v>
      </c>
      <c r="I424" s="1">
        <f t="shared" si="421"/>
        <v>7.4377483152459191E-4</v>
      </c>
      <c r="J424" s="1">
        <f t="shared" si="421"/>
        <v>1.766107669772355E-3</v>
      </c>
      <c r="K424" s="1">
        <f t="shared" si="421"/>
        <v>1.6986775242826049E-4</v>
      </c>
      <c r="L424" s="1">
        <f t="shared" ref="L424" si="422">SUM(L425:L426)</f>
        <v>1.052318983865052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3">IFERROR(G346/G314,0)*G419</f>
        <v>2.7866486807891047E-5</v>
      </c>
      <c r="H425" s="1">
        <f t="shared" si="423"/>
        <v>3.4841727405128281E-2</v>
      </c>
      <c r="I425" s="1">
        <f t="shared" si="423"/>
        <v>7.4377483152459191E-4</v>
      </c>
      <c r="J425" s="1">
        <f t="shared" si="423"/>
        <v>1.766107669772355E-3</v>
      </c>
      <c r="K425" s="1">
        <f t="shared" si="423"/>
        <v>1.3690162556671389E-4</v>
      </c>
      <c r="L425" s="1">
        <f t="shared" ref="L425" si="424">IFERROR(L346/L314,0)*L419</f>
        <v>0.49329098513265657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5">IFERROR(G347/G315,0)*G420</f>
        <v>0</v>
      </c>
      <c r="H426" s="1">
        <f t="shared" si="425"/>
        <v>0</v>
      </c>
      <c r="I426" s="1">
        <f t="shared" si="425"/>
        <v>0</v>
      </c>
      <c r="J426" s="1">
        <f t="shared" si="425"/>
        <v>0</v>
      </c>
      <c r="K426" s="1">
        <f t="shared" si="425"/>
        <v>3.2966126861546607E-5</v>
      </c>
      <c r="L426" s="1">
        <f t="shared" ref="L426" si="426">IFERROR(L347/L315,0)*L420</f>
        <v>0.55902799873239539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27">SUM(G428:G429)</f>
        <v>34.687807861201172</v>
      </c>
      <c r="H427" s="1">
        <f t="shared" si="427"/>
        <v>32.726074862664703</v>
      </c>
      <c r="I427" s="1">
        <f t="shared" si="427"/>
        <v>35.219552309528666</v>
      </c>
      <c r="J427" s="1">
        <f t="shared" si="427"/>
        <v>36.119647083527347</v>
      </c>
      <c r="K427" s="1">
        <f t="shared" si="427"/>
        <v>37.341715780390842</v>
      </c>
      <c r="L427" s="1">
        <f t="shared" ref="L427" si="428">SUM(L428:L429)</f>
        <v>22.896697981128892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'[1]Electricity and CHPs_IN'!F$26-J361</f>
        <v>36.119647083527347</v>
      </c>
      <c r="K428" s="1">
        <f>'[1]Electricity and CHPs_IN'!G$26-K361</f>
        <v>37.341715780390842</v>
      </c>
      <c r="L428" s="1">
        <f>'[1]Electricity and CHPs_IN'!H$26-L361</f>
        <v>9.5503804899411904E-2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22.80119417622948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29">SUM(G431:G432)</f>
        <v>17.343903930600586</v>
      </c>
      <c r="H430" s="1">
        <f t="shared" si="429"/>
        <v>16.363037431332351</v>
      </c>
      <c r="I430" s="1">
        <f t="shared" si="429"/>
        <v>17.609776154764333</v>
      </c>
      <c r="J430" s="1">
        <f t="shared" si="429"/>
        <v>18.059823541763674</v>
      </c>
      <c r="K430" s="1">
        <f t="shared" si="429"/>
        <v>18.670857890195421</v>
      </c>
      <c r="L430" s="1">
        <f t="shared" ref="L430" si="430">SUM(L431:L432)</f>
        <v>11.448348990564446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1">IFERROR(G368/G361,0)*G428</f>
        <v>17.343903930600586</v>
      </c>
      <c r="H431" s="1">
        <f t="shared" si="431"/>
        <v>16.363037431332351</v>
      </c>
      <c r="I431" s="1">
        <f t="shared" si="431"/>
        <v>17.609776154764333</v>
      </c>
      <c r="J431" s="1">
        <f t="shared" si="431"/>
        <v>18.059823541763674</v>
      </c>
      <c r="K431" s="1">
        <f t="shared" si="431"/>
        <v>18.670857890195421</v>
      </c>
      <c r="L431" s="1">
        <f t="shared" ref="L431" si="432">IFERROR(L368/L361,0)*L428</f>
        <v>4.7751902449705952E-2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3">IFERROR(G369/G362,0)*G429</f>
        <v>0</v>
      </c>
      <c r="H432" s="1">
        <f t="shared" si="433"/>
        <v>0</v>
      </c>
      <c r="I432" s="1">
        <f t="shared" si="433"/>
        <v>0</v>
      </c>
      <c r="J432" s="1">
        <f t="shared" si="433"/>
        <v>0</v>
      </c>
      <c r="K432" s="1">
        <f t="shared" si="433"/>
        <v>0</v>
      </c>
      <c r="L432" s="1">
        <f t="shared" ref="L432" si="434">IFERROR(L369/L362,0)*L429</f>
        <v>11.40059708811474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35">SUM(G434:G435)</f>
        <v>17.343903930600586</v>
      </c>
      <c r="H433" s="1">
        <f t="shared" si="435"/>
        <v>16.363037431332351</v>
      </c>
      <c r="I433" s="1">
        <f t="shared" si="435"/>
        <v>17.609776154764333</v>
      </c>
      <c r="J433" s="1">
        <f t="shared" si="435"/>
        <v>18.059823541763674</v>
      </c>
      <c r="K433" s="1">
        <f t="shared" si="435"/>
        <v>18.670857890195421</v>
      </c>
      <c r="L433" s="1">
        <f t="shared" ref="L433" si="436">SUM(L434:L435)</f>
        <v>11.448348990564446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37">G428-G431</f>
        <v>17.343903930600586</v>
      </c>
      <c r="H434" s="1">
        <f t="shared" si="437"/>
        <v>16.363037431332351</v>
      </c>
      <c r="I434" s="1">
        <f t="shared" si="437"/>
        <v>17.609776154764333</v>
      </c>
      <c r="J434" s="1">
        <f t="shared" si="437"/>
        <v>18.059823541763674</v>
      </c>
      <c r="K434" s="1">
        <f t="shared" si="437"/>
        <v>18.670857890195421</v>
      </c>
      <c r="L434" s="1">
        <f t="shared" ref="L434" si="438">L428-L431</f>
        <v>4.7751902449705952E-2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9">G429-G432</f>
        <v>0</v>
      </c>
      <c r="H435" s="1">
        <f t="shared" si="439"/>
        <v>0</v>
      </c>
      <c r="I435" s="1">
        <f t="shared" si="439"/>
        <v>0</v>
      </c>
      <c r="J435" s="1">
        <f t="shared" si="439"/>
        <v>0</v>
      </c>
      <c r="K435" s="1">
        <f t="shared" si="439"/>
        <v>0</v>
      </c>
      <c r="L435" s="1">
        <f t="shared" ref="L435" si="440">L429-L432</f>
        <v>11.40059708811474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1">G437</f>
        <v>4.3347281540713004E-2</v>
      </c>
      <c r="H436" s="1">
        <f t="shared" si="441"/>
        <v>6.1050358544590365E-2</v>
      </c>
      <c r="I436" s="1">
        <f t="shared" si="441"/>
        <v>0.20187930513053909</v>
      </c>
      <c r="J436" s="1">
        <f t="shared" si="441"/>
        <v>0.43331813044641743</v>
      </c>
      <c r="K436" s="1">
        <f t="shared" si="441"/>
        <v>0.52046777048081505</v>
      </c>
      <c r="L436" s="1">
        <f t="shared" si="441"/>
        <v>1.0974141173633492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'[1]Electricity and CHPs_IN'!F$25-J380</f>
        <v>0.43331813044641743</v>
      </c>
      <c r="K437" s="1">
        <f>'[1]Electricity and CHPs_IN'!G$25-K380</f>
        <v>0.52046777048081505</v>
      </c>
      <c r="L437" s="1">
        <f>'[1]Electricity and CHPs_IN'!H$25-L380</f>
        <v>1.0974141173633492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2">+G439</f>
        <v>0</v>
      </c>
      <c r="H438" s="1">
        <f t="shared" si="442"/>
        <v>0</v>
      </c>
      <c r="I438" s="1">
        <f t="shared" si="442"/>
        <v>0</v>
      </c>
      <c r="J438" s="1">
        <f t="shared" si="442"/>
        <v>0</v>
      </c>
      <c r="K438" s="1">
        <f t="shared" si="442"/>
        <v>0.20993381191537083</v>
      </c>
      <c r="L438" s="1">
        <f t="shared" si="442"/>
        <v>0.21357550057144645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0.20993381191537083</v>
      </c>
      <c r="L439" s="1">
        <f>'[1]Electricity and CHPs_IN'!H$30-L398</f>
        <v>0.21357550057144645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3">SUM(G441,G447,G449,G455,G457,G459,G461)</f>
        <v>13.400713511755837</v>
      </c>
      <c r="H440" s="1">
        <f t="shared" si="443"/>
        <v>9.4238072569155396</v>
      </c>
      <c r="I440" s="1">
        <f t="shared" si="443"/>
        <v>24.578785087709221</v>
      </c>
      <c r="J440" s="1">
        <f t="shared" si="443"/>
        <v>29.309211329653127</v>
      </c>
      <c r="K440" s="1">
        <f t="shared" si="443"/>
        <v>30.552213714771849</v>
      </c>
      <c r="L440" s="1">
        <f t="shared" ref="L440" si="444">SUM(L441,L447,L449,L455,L457,L459,L461)</f>
        <v>28.701020132260592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45">+G442</f>
        <v>5.7131700349637971</v>
      </c>
      <c r="H441" s="1">
        <f t="shared" si="445"/>
        <v>2.3761144905951959</v>
      </c>
      <c r="I441" s="1">
        <f t="shared" si="445"/>
        <v>17.233226768035145</v>
      </c>
      <c r="J441" s="1">
        <f t="shared" si="445"/>
        <v>21.130528394468076</v>
      </c>
      <c r="K441" s="1">
        <f t="shared" si="445"/>
        <v>21.018846330705209</v>
      </c>
      <c r="L441" s="1">
        <f t="shared" si="445"/>
        <v>17.539730882061018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46">SUM(G444:G446)</f>
        <v>5.7131700349637971</v>
      </c>
      <c r="H442" s="1">
        <f t="shared" si="446"/>
        <v>2.3761144905951959</v>
      </c>
      <c r="I442" s="1">
        <f t="shared" si="446"/>
        <v>17.233226768035145</v>
      </c>
      <c r="J442" s="1">
        <f t="shared" si="446"/>
        <v>21.130528394468076</v>
      </c>
      <c r="K442" s="1">
        <f t="shared" si="446"/>
        <v>21.018846330705209</v>
      </c>
      <c r="L442" s="1">
        <f t="shared" ref="L442" si="447">SUM(L444:L446)</f>
        <v>17.539730882061018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48">G444</f>
        <v>3.3452617801954414</v>
      </c>
      <c r="H443" s="1">
        <f t="shared" si="448"/>
        <v>8.1803202411154154E-3</v>
      </c>
      <c r="I443" s="1">
        <f t="shared" si="448"/>
        <v>7.1635101197639797</v>
      </c>
      <c r="J443" s="1">
        <f t="shared" si="448"/>
        <v>7.3259679272209084</v>
      </c>
      <c r="K443" s="1">
        <f t="shared" si="448"/>
        <v>3.4794186593896979</v>
      </c>
      <c r="L443" s="1">
        <f t="shared" si="448"/>
        <v>2.9858100649312751E-4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'[1]Electricity and CHPs_IN'!F$90</f>
        <v>7.3259679272209084</v>
      </c>
      <c r="K444" s="1">
        <f>'[1]Electricity and CHPs_IN'!G$90</f>
        <v>3.4794186593896979</v>
      </c>
      <c r="L444" s="1">
        <f>'[1]Electricity and CHPs_IN'!H$90</f>
        <v>2.9858100649312751E-4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49">G446</f>
        <v>1.1839541273841776</v>
      </c>
      <c r="H445" s="1">
        <f t="shared" si="449"/>
        <v>1.1839670851770401</v>
      </c>
      <c r="I445" s="1">
        <f t="shared" si="449"/>
        <v>5.0348583241355831</v>
      </c>
      <c r="J445" s="1">
        <f t="shared" si="449"/>
        <v>6.9022802336235838</v>
      </c>
      <c r="K445" s="1">
        <f t="shared" si="449"/>
        <v>8.7697138356577558</v>
      </c>
      <c r="L445" s="1">
        <f t="shared" si="449"/>
        <v>8.7697161505272625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'[1]Electricity and CHPs_IN'!F$91</f>
        <v>6.9022802336235838</v>
      </c>
      <c r="K446" s="1">
        <f>'[1]Electricity and CHPs_IN'!G$91</f>
        <v>8.7697138356577558</v>
      </c>
      <c r="L446" s="1">
        <f>'[1]Electricity and CHPs_IN'!H$91</f>
        <v>8.7697161505272625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0">G448</f>
        <v>3.8018808539604878</v>
      </c>
      <c r="H447" s="1">
        <f t="shared" si="450"/>
        <v>3.7505044664968259</v>
      </c>
      <c r="I447" s="1">
        <f t="shared" si="450"/>
        <v>0.83544678137636186</v>
      </c>
      <c r="J447" s="1">
        <f t="shared" si="450"/>
        <v>0.64996405005267388</v>
      </c>
      <c r="K447" s="1">
        <f t="shared" si="450"/>
        <v>0</v>
      </c>
      <c r="L447" s="1">
        <f t="shared" si="450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'[1]Electricity and CHPs_IN'!F$92</f>
        <v>0.64996405005267388</v>
      </c>
      <c r="K448" s="1">
        <f>'[1]Electricity and CHPs_IN'!G$92</f>
        <v>0</v>
      </c>
      <c r="L448" s="1">
        <f>'[1]Electricity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1">G450</f>
        <v>0.21741804082315655</v>
      </c>
      <c r="H449" s="1">
        <f t="shared" si="451"/>
        <v>2.8933107913978818E-3</v>
      </c>
      <c r="I449" s="1">
        <f t="shared" si="451"/>
        <v>8.547925020521421E-4</v>
      </c>
      <c r="J449" s="1">
        <f t="shared" si="451"/>
        <v>2.5019489983017182E-4</v>
      </c>
      <c r="K449" s="1">
        <f t="shared" si="451"/>
        <v>3.790506206656567E-5</v>
      </c>
      <c r="L449" s="1">
        <f t="shared" si="451"/>
        <v>1.1067109857129186E-5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'[1]Electricity and CHPs_IN'!F$93</f>
        <v>2.5019489983017182E-4</v>
      </c>
      <c r="K450" s="1">
        <f>'[1]Electricity and CHPs_IN'!G$93</f>
        <v>3.790506206656567E-5</v>
      </c>
      <c r="L450" s="1">
        <f>'[1]Electricity and CHPs_IN'!H$93</f>
        <v>1.1067109857129186E-5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2">G452</f>
        <v>0.21741804082315655</v>
      </c>
      <c r="H451" s="1">
        <f t="shared" si="452"/>
        <v>2.8933107913978818E-3</v>
      </c>
      <c r="I451" s="1">
        <f t="shared" si="452"/>
        <v>8.547925020521421E-4</v>
      </c>
      <c r="J451" s="1">
        <f t="shared" si="452"/>
        <v>2.5019489983017182E-4</v>
      </c>
      <c r="K451" s="1">
        <f t="shared" si="452"/>
        <v>3.790506206656567E-5</v>
      </c>
      <c r="L451" s="1">
        <f t="shared" si="452"/>
        <v>1.1067109857129186E-5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3">G450</f>
        <v>0.21741804082315655</v>
      </c>
      <c r="H452" s="1">
        <f t="shared" si="453"/>
        <v>2.8933107913978818E-3</v>
      </c>
      <c r="I452" s="1">
        <f t="shared" si="453"/>
        <v>8.547925020521421E-4</v>
      </c>
      <c r="J452" s="1">
        <f t="shared" si="453"/>
        <v>2.5019489983017182E-4</v>
      </c>
      <c r="K452" s="1">
        <f t="shared" si="453"/>
        <v>3.790506206656567E-5</v>
      </c>
      <c r="L452" s="1">
        <f t="shared" ref="L452" si="454">L450</f>
        <v>1.1067109857129186E-5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5">G454</f>
        <v>0</v>
      </c>
      <c r="H453" s="1">
        <f t="shared" si="455"/>
        <v>0</v>
      </c>
      <c r="I453" s="1">
        <f t="shared" si="455"/>
        <v>0</v>
      </c>
      <c r="J453" s="1">
        <f t="shared" si="455"/>
        <v>0</v>
      </c>
      <c r="K453" s="1">
        <f t="shared" si="455"/>
        <v>0</v>
      </c>
      <c r="L453" s="1">
        <f t="shared" si="455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56">G456</f>
        <v>2.8053432154168556</v>
      </c>
      <c r="H455" s="1">
        <f t="shared" si="456"/>
        <v>2.4052461556359179</v>
      </c>
      <c r="I455" s="1">
        <f t="shared" si="456"/>
        <v>5.1497190955467316</v>
      </c>
      <c r="J455" s="1">
        <f t="shared" si="456"/>
        <v>5.7891482911891066</v>
      </c>
      <c r="K455" s="1">
        <f t="shared" si="456"/>
        <v>6.4255923467882603</v>
      </c>
      <c r="L455" s="1">
        <f t="shared" si="456"/>
        <v>7.7284025739277729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'[1]Electricity and CHPs_IN'!F$94</f>
        <v>5.7891482911891066</v>
      </c>
      <c r="K456" s="1">
        <f>'[1]Electricity and CHPs_IN'!G$94</f>
        <v>6.4255923467882603</v>
      </c>
      <c r="L456" s="1">
        <f>'[1]Electricity and CHPs_IN'!H$94</f>
        <v>7.7284025739277729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7">G458</f>
        <v>0</v>
      </c>
      <c r="H457" s="1">
        <f t="shared" si="457"/>
        <v>0</v>
      </c>
      <c r="I457" s="1">
        <f t="shared" si="457"/>
        <v>0</v>
      </c>
      <c r="J457" s="1">
        <f t="shared" si="457"/>
        <v>0</v>
      </c>
      <c r="K457" s="1">
        <f t="shared" si="457"/>
        <v>0</v>
      </c>
      <c r="L457" s="1">
        <f t="shared" si="457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'[1]Electricity and CHPs_IN'!F$95</f>
        <v>0</v>
      </c>
      <c r="K458" s="1">
        <f>'[1]Electricity and CHPs_IN'!G$95</f>
        <v>0</v>
      </c>
      <c r="L458" s="1">
        <f>'[1]Electricity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8">G460</f>
        <v>0</v>
      </c>
      <c r="H459" s="1">
        <f t="shared" si="458"/>
        <v>0</v>
      </c>
      <c r="I459" s="1">
        <f t="shared" si="458"/>
        <v>0</v>
      </c>
      <c r="J459" s="1">
        <f t="shared" si="458"/>
        <v>0</v>
      </c>
      <c r="K459" s="1">
        <f t="shared" si="458"/>
        <v>0</v>
      </c>
      <c r="L459" s="1">
        <f t="shared" si="458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0</v>
      </c>
      <c r="L460" s="1">
        <f>'[1]Electricity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9">G462</f>
        <v>0.86290136659153904</v>
      </c>
      <c r="H461" s="1">
        <f>H462</f>
        <v>0.88904883339620122</v>
      </c>
      <c r="I461" s="1">
        <f t="shared" ref="I461" si="460">I462</f>
        <v>1.3595376502489278</v>
      </c>
      <c r="J461" s="1">
        <f t="shared" ref="J461" si="461">J462</f>
        <v>1.7393203990434396</v>
      </c>
      <c r="K461" s="1">
        <f t="shared" ref="K461:L461" si="462">K462</f>
        <v>3.1077371322163145</v>
      </c>
      <c r="L461" s="1">
        <f t="shared" si="462"/>
        <v>3.4328756091619428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'[1]Electricity and CHPs_IN'!F$97</f>
        <v>1.7393203990434396</v>
      </c>
      <c r="K462" s="1">
        <f>'[1]Electricity and CHPs_IN'!G$97</f>
        <v>3.1077371322163145</v>
      </c>
      <c r="L462" s="1">
        <f>'[1]Electricity and CHPs_IN'!H$97</f>
        <v>3.4328756091619428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3">SUM(G464,G470,G503,G512,G518)</f>
        <v>8.0368292621835398</v>
      </c>
      <c r="H463" s="1">
        <f t="shared" si="463"/>
        <v>7.0106463648767443</v>
      </c>
      <c r="I463" s="1">
        <f t="shared" si="463"/>
        <v>13.610871522615138</v>
      </c>
      <c r="J463" s="1">
        <f t="shared" si="463"/>
        <v>16.619379036485853</v>
      </c>
      <c r="K463" s="1">
        <f t="shared" si="463"/>
        <v>19.003347423153624</v>
      </c>
      <c r="L463" s="1">
        <f>IFERROR(SUM(L464,L470,L503,L512,L518),0)</f>
        <v>17.223523909245181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64">+G465</f>
        <v>0.64162313948980976</v>
      </c>
      <c r="H464" s="1">
        <f t="shared" si="464"/>
        <v>0.28747340978908109</v>
      </c>
      <c r="I464" s="1">
        <f t="shared" si="464"/>
        <v>0.57442529290132938</v>
      </c>
      <c r="J464" s="1">
        <f t="shared" si="464"/>
        <v>0.53637926679393355</v>
      </c>
      <c r="K464" s="1">
        <f t="shared" si="464"/>
        <v>1.6553427386939009E-3</v>
      </c>
      <c r="L464" s="1">
        <f t="shared" si="464"/>
        <v>0.44890685696409804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'[1]Electricity and CHPs_IN'!F$41-J301</f>
        <v>0.53637926679393355</v>
      </c>
      <c r="K465" s="1">
        <f>'[1]Electricity and CHPs_IN'!G$41-K301</f>
        <v>1.6553427386939009E-3</v>
      </c>
      <c r="L465" s="1">
        <f>'[1]Electricity and CHPs_IN'!H$41-L301</f>
        <v>0.44890685696409804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65">G467</f>
        <v>0.64162313948980976</v>
      </c>
      <c r="H466" s="1">
        <f t="shared" si="465"/>
        <v>0.28747340978908109</v>
      </c>
      <c r="I466" s="1">
        <f t="shared" si="465"/>
        <v>0.57442529290132938</v>
      </c>
      <c r="J466" s="1">
        <f t="shared" si="465"/>
        <v>0.53637926679393355</v>
      </c>
      <c r="K466" s="1">
        <f t="shared" si="465"/>
        <v>1.6553427386939009E-3</v>
      </c>
      <c r="L466" s="1">
        <f t="shared" si="465"/>
        <v>0.44890685696409804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66">G465-G469</f>
        <v>0.64162313948980976</v>
      </c>
      <c r="H467" s="1">
        <f t="shared" si="466"/>
        <v>0.28747340978908109</v>
      </c>
      <c r="I467" s="1">
        <f t="shared" si="466"/>
        <v>0.57442529290132938</v>
      </c>
      <c r="J467" s="1">
        <f t="shared" si="466"/>
        <v>0.53637926679393355</v>
      </c>
      <c r="K467" s="1">
        <f t="shared" si="466"/>
        <v>1.6553427386939009E-3</v>
      </c>
      <c r="L467" s="1">
        <f t="shared" ref="L467" si="467">L465-L469</f>
        <v>0.44890685696409804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8">G469</f>
        <v>0</v>
      </c>
      <c r="H468" s="1">
        <f t="shared" si="468"/>
        <v>0</v>
      </c>
      <c r="I468" s="1">
        <f t="shared" si="468"/>
        <v>0</v>
      </c>
      <c r="J468" s="1">
        <f t="shared" si="468"/>
        <v>0</v>
      </c>
      <c r="K468" s="1">
        <f t="shared" si="468"/>
        <v>0</v>
      </c>
      <c r="L468" s="1">
        <f t="shared" si="468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9">IFERROR(G309/G301,0)*G465</f>
        <v>0</v>
      </c>
      <c r="H469" s="1">
        <f t="shared" si="469"/>
        <v>0</v>
      </c>
      <c r="I469" s="1">
        <f t="shared" si="469"/>
        <v>0</v>
      </c>
      <c r="J469" s="1">
        <f t="shared" si="469"/>
        <v>0</v>
      </c>
      <c r="K469" s="1">
        <f t="shared" si="469"/>
        <v>0</v>
      </c>
      <c r="L469" s="1">
        <f t="shared" ref="L469" si="470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1">SUM(G471:G480)</f>
        <v>3.5315271747903876</v>
      </c>
      <c r="H470" s="1">
        <f t="shared" si="471"/>
        <v>2.6935756308812926</v>
      </c>
      <c r="I470" s="1">
        <f t="shared" si="471"/>
        <v>5.8012610382688656</v>
      </c>
      <c r="J470" s="1">
        <f t="shared" si="471"/>
        <v>6.6907796317686028</v>
      </c>
      <c r="K470" s="1">
        <f t="shared" si="471"/>
        <v>6.5412662332193134</v>
      </c>
      <c r="L470" s="1">
        <f>IFERROR(SUM(L471:L480),0)</f>
        <v>1.5340893304598429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'[1]Electricity and CHPs_IN'!F$39-J316</f>
        <v>2.7971511621943019E-2</v>
      </c>
      <c r="K471" s="1">
        <f>'[1]Electricity and CHPs_IN'!G$39-K316</f>
        <v>9.9290798233699091E-3</v>
      </c>
      <c r="L471" s="1">
        <f>'[1]Electricity and CHPs_IN'!H$39-L316</f>
        <v>0.11960874245882148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6.2308297087459871E-5</v>
      </c>
      <c r="L472" s="6">
        <f>'[1]Electricity and CHPs_IN'!H$40-L317</f>
        <v>4.6768520695570616E-2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'[1]Electricity and CHPs_IN'!F$48-J319</f>
        <v>2.3422868425143246E-2</v>
      </c>
      <c r="K474" s="1">
        <f>'[1]Electricity and CHPs_IN'!G$48-K319</f>
        <v>1.3672536882926432E-2</v>
      </c>
      <c r="L474" s="1">
        <f>IFERROR('[1]Electricity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'[1]Electricity and CHPs_IN'!F$51-J321</f>
        <v>4.9952358467713616</v>
      </c>
      <c r="K476" s="1">
        <f>'[1]Electricity and CHPs_IN'!G$51-K321</f>
        <v>5.0608529839449092</v>
      </c>
      <c r="L476" s="1">
        <f>'[1]Electricity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'[1]Electricity and CHPs_IN'!F$54-J323</f>
        <v>1.5353979474011616</v>
      </c>
      <c r="K478" s="1">
        <f>'[1]Electricity and CHPs_IN'!G$54-K323</f>
        <v>1.4050361462814245</v>
      </c>
      <c r="L478" s="1">
        <f>'[1]Electricity and CHPs_IN'!H$54-L323</f>
        <v>1.3677120673054508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'[1]Electricity and CHPs_IN'!F$55-J324</f>
        <v>0.10699044701177433</v>
      </c>
      <c r="K479" s="1">
        <f>'[1]Electricity and CHPs_IN'!G$55-K324</f>
        <v>5.011422288507654E-2</v>
      </c>
      <c r="L479" s="1">
        <f>'[1]Electricity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'[1]Electricity and CHPs_IN'!F$58-J325</f>
        <v>1.7610105372191324E-3</v>
      </c>
      <c r="K480" s="1">
        <f>'[1]Electricity and CHPs_IN'!G$58-K325</f>
        <v>1.5989551045193888E-3</v>
      </c>
      <c r="L480" s="1">
        <f>'[1]Electricity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72">SUM(G482:G491)</f>
        <v>1.7092963228604785</v>
      </c>
      <c r="H481" s="1">
        <f t="shared" si="472"/>
        <v>0.77514393340049093</v>
      </c>
      <c r="I481" s="1">
        <f t="shared" si="472"/>
        <v>3.6632634573787888</v>
      </c>
      <c r="J481" s="1">
        <f t="shared" si="472"/>
        <v>4.5830219602590416</v>
      </c>
      <c r="K481" s="1">
        <f t="shared" si="472"/>
        <v>4.4874334668978415</v>
      </c>
      <c r="L481" s="1">
        <f>IFERROR(SUM(L482:L491),0)</f>
        <v>7.1103832331689931E-2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3">F471-F493</f>
        <v>1.0115977099451983</v>
      </c>
      <c r="G482" s="1">
        <f t="shared" ref="G482:K482" si="474">G471-G493</f>
        <v>0.76985896156642974</v>
      </c>
      <c r="H482" s="1">
        <f t="shared" si="474"/>
        <v>0.58266750526166733</v>
      </c>
      <c r="I482" s="1">
        <f t="shared" si="474"/>
        <v>4.1270233364611879E-2</v>
      </c>
      <c r="J482" s="1">
        <f t="shared" si="474"/>
        <v>2.4866064216685659E-2</v>
      </c>
      <c r="K482" s="1">
        <f t="shared" si="474"/>
        <v>8.6748463740072071E-3</v>
      </c>
      <c r="L482" s="1">
        <f t="shared" ref="L482" si="475">L471-L493</f>
        <v>5.1116599756207831E-2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3"/>
        <v>0</v>
      </c>
      <c r="G483" s="1">
        <f t="shared" ref="G483:K483" si="476">G472-G494</f>
        <v>0</v>
      </c>
      <c r="H483" s="1">
        <f t="shared" si="476"/>
        <v>0</v>
      </c>
      <c r="I483" s="1">
        <f t="shared" si="476"/>
        <v>0</v>
      </c>
      <c r="J483" s="1">
        <f t="shared" si="476"/>
        <v>0</v>
      </c>
      <c r="K483" s="1">
        <f t="shared" si="476"/>
        <v>6.2308297087459871E-5</v>
      </c>
      <c r="L483" s="1">
        <f t="shared" ref="L483" si="477">L472-L494</f>
        <v>1.9987232575482104E-2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3"/>
        <v>0</v>
      </c>
      <c r="G484" s="1">
        <f t="shared" ref="G484:K484" si="478">G473-G495</f>
        <v>0</v>
      </c>
      <c r="H484" s="1">
        <f t="shared" si="478"/>
        <v>0</v>
      </c>
      <c r="I484" s="1">
        <f t="shared" si="478"/>
        <v>0</v>
      </c>
      <c r="J484" s="1">
        <f t="shared" si="478"/>
        <v>0</v>
      </c>
      <c r="K484" s="1">
        <f t="shared" si="478"/>
        <v>0</v>
      </c>
      <c r="L484" s="1">
        <f t="shared" ref="L484" si="479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3"/>
        <v>6.4003565154295575E-2</v>
      </c>
      <c r="G485" s="1">
        <f t="shared" ref="G485:K485" si="480">G474-G496</f>
        <v>4.4693004036116604E-3</v>
      </c>
      <c r="H485" s="1">
        <f t="shared" si="480"/>
        <v>2.6110374715849902E-2</v>
      </c>
      <c r="I485" s="1">
        <f t="shared" si="480"/>
        <v>2.0577527977658119E-2</v>
      </c>
      <c r="J485" s="1">
        <f t="shared" si="480"/>
        <v>2.0822419548526802E-2</v>
      </c>
      <c r="K485" s="1">
        <f t="shared" si="480"/>
        <v>1.194543292150502E-2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3"/>
        <v>0</v>
      </c>
      <c r="G486" s="1">
        <f t="shared" ref="G486:K486" si="481">G475-G497</f>
        <v>0</v>
      </c>
      <c r="H486" s="1">
        <f t="shared" si="481"/>
        <v>0</v>
      </c>
      <c r="I486" s="1">
        <f t="shared" si="481"/>
        <v>0</v>
      </c>
      <c r="J486" s="1">
        <f t="shared" si="481"/>
        <v>0</v>
      </c>
      <c r="K486" s="1">
        <f t="shared" si="481"/>
        <v>0</v>
      </c>
      <c r="L486" s="1">
        <f t="shared" ref="L486" si="48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3"/>
        <v>8.511636288034477E-2</v>
      </c>
      <c r="G487" s="1">
        <f t="shared" ref="G487:K487" si="483">G476-G498</f>
        <v>4.1195289205139228E-3</v>
      </c>
      <c r="H487" s="1">
        <f t="shared" si="483"/>
        <v>5.8641702577197176E-2</v>
      </c>
      <c r="I487" s="1">
        <f t="shared" si="483"/>
        <v>3.5668848654631473</v>
      </c>
      <c r="J487" s="1">
        <f t="shared" si="483"/>
        <v>4.4406558008779706</v>
      </c>
      <c r="K487" s="1">
        <f t="shared" si="483"/>
        <v>4.421570068741552</v>
      </c>
      <c r="L487" s="1">
        <f t="shared" ref="L487" si="484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3"/>
        <v>0</v>
      </c>
      <c r="G488" s="1">
        <f t="shared" ref="G488:K488" si="485">G477-G499</f>
        <v>0</v>
      </c>
      <c r="H488" s="1">
        <f t="shared" si="485"/>
        <v>0</v>
      </c>
      <c r="I488" s="1">
        <f t="shared" si="485"/>
        <v>0</v>
      </c>
      <c r="J488" s="1">
        <f t="shared" si="485"/>
        <v>0</v>
      </c>
      <c r="K488" s="1">
        <f t="shared" si="485"/>
        <v>0</v>
      </c>
      <c r="L488" s="1">
        <f t="shared" ref="L488" si="48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87">G479-G501</f>
        <v>0.93084853196992312</v>
      </c>
      <c r="H490" s="1">
        <f t="shared" si="487"/>
        <v>0.10772435084577661</v>
      </c>
      <c r="I490" s="1">
        <f t="shared" si="487"/>
        <v>3.4259024626214635E-2</v>
      </c>
      <c r="J490" s="1">
        <f t="shared" si="487"/>
        <v>9.5112175627992762E-2</v>
      </c>
      <c r="K490" s="1">
        <f t="shared" si="487"/>
        <v>4.3783834193534328E-2</v>
      </c>
      <c r="L490" s="1">
        <f t="shared" ref="L490" si="488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9">G480-G502</f>
        <v>0</v>
      </c>
      <c r="H491" s="1">
        <f t="shared" si="489"/>
        <v>0</v>
      </c>
      <c r="I491" s="1">
        <f t="shared" si="489"/>
        <v>2.7180594715708379E-4</v>
      </c>
      <c r="J491" s="1">
        <f t="shared" si="489"/>
        <v>1.5654999878661996E-3</v>
      </c>
      <c r="K491" s="1">
        <f t="shared" si="489"/>
        <v>1.396976370155986E-3</v>
      </c>
      <c r="L491" s="1">
        <f t="shared" ref="L491" si="490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491">SUM(G493:G502)</f>
        <v>1.8222308519299089</v>
      </c>
      <c r="H492" s="1">
        <f t="shared" si="491"/>
        <v>1.9184316974808018</v>
      </c>
      <c r="I492" s="1">
        <f t="shared" si="491"/>
        <v>2.1379975808900769</v>
      </c>
      <c r="J492" s="1">
        <f t="shared" si="491"/>
        <v>2.1077576715095603</v>
      </c>
      <c r="K492" s="1">
        <f t="shared" si="491"/>
        <v>2.0538327663214715</v>
      </c>
      <c r="L492" s="1">
        <f>IFERROR(SUM(L493:L502),0)</f>
        <v>1.4629854981281529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2">IFERROR(F348/F316,0)*F471</f>
        <v>2.7113896866529968E-2</v>
      </c>
      <c r="G493" s="1">
        <f t="shared" ref="G493:K493" si="493">IFERROR(G348/G316,0)*G471</f>
        <v>1.4039904849103531E-2</v>
      </c>
      <c r="H493" s="1">
        <f t="shared" si="493"/>
        <v>7.0595764065100345E-3</v>
      </c>
      <c r="I493" s="1">
        <f t="shared" si="493"/>
        <v>5.472967718564788E-3</v>
      </c>
      <c r="J493" s="1">
        <f t="shared" si="493"/>
        <v>3.1054474052573597E-3</v>
      </c>
      <c r="K493" s="1">
        <f t="shared" si="493"/>
        <v>1.254233449362702E-3</v>
      </c>
      <c r="L493" s="1">
        <f t="shared" ref="L493" si="494">IFERROR(L348/L316,0)*L471</f>
        <v>6.8492142702613654E-2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2"/>
        <v>0</v>
      </c>
      <c r="G494" s="1">
        <f t="shared" ref="G494:K494" si="495">IFERROR(G349/G317,0)*G472</f>
        <v>0</v>
      </c>
      <c r="H494" s="1">
        <f t="shared" si="495"/>
        <v>0</v>
      </c>
      <c r="I494" s="1">
        <f t="shared" si="495"/>
        <v>0</v>
      </c>
      <c r="J494" s="1">
        <f t="shared" si="495"/>
        <v>0</v>
      </c>
      <c r="K494" s="1">
        <f t="shared" si="495"/>
        <v>0</v>
      </c>
      <c r="L494" s="1">
        <f t="shared" ref="L494" si="496">IFERROR(L349/L317,0)*L472</f>
        <v>2.6781288120088512E-2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2"/>
        <v>0</v>
      </c>
      <c r="G495" s="1">
        <f t="shared" ref="G495:K495" si="497">IFERROR(G350/G318,0)*G473</f>
        <v>0</v>
      </c>
      <c r="H495" s="1">
        <f t="shared" si="497"/>
        <v>0</v>
      </c>
      <c r="I495" s="1">
        <f t="shared" si="497"/>
        <v>0</v>
      </c>
      <c r="J495" s="1">
        <f t="shared" si="497"/>
        <v>0</v>
      </c>
      <c r="K495" s="1">
        <f t="shared" si="497"/>
        <v>0</v>
      </c>
      <c r="L495" s="1">
        <f t="shared" ref="L495" si="49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2"/>
        <v>1.7154903057044388E-3</v>
      </c>
      <c r="G496" s="1">
        <f t="shared" ref="G496:K496" si="499">IFERROR(G351/G319,0)*G474</f>
        <v>8.1506555799640349E-5</v>
      </c>
      <c r="H496" s="1">
        <f t="shared" si="499"/>
        <v>3.1635226547664311E-4</v>
      </c>
      <c r="I496" s="1">
        <f t="shared" si="499"/>
        <v>2.7288468508190038E-3</v>
      </c>
      <c r="J496" s="1">
        <f t="shared" si="499"/>
        <v>2.6004488766164461E-3</v>
      </c>
      <c r="K496" s="1">
        <f t="shared" si="499"/>
        <v>1.7271039614214125E-3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2"/>
        <v>0</v>
      </c>
      <c r="G497" s="1">
        <f t="shared" ref="G497:K497" si="500">IFERROR(G352/G320,0)*G475</f>
        <v>0</v>
      </c>
      <c r="H497" s="1">
        <f t="shared" si="500"/>
        <v>0</v>
      </c>
      <c r="I497" s="1">
        <f t="shared" si="500"/>
        <v>0</v>
      </c>
      <c r="J497" s="1">
        <f t="shared" si="500"/>
        <v>0</v>
      </c>
      <c r="K497" s="1">
        <f t="shared" si="500"/>
        <v>0</v>
      </c>
      <c r="L497" s="1">
        <f t="shared" ref="L497" si="501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2"/>
        <v>2.2813775299242492E-3</v>
      </c>
      <c r="G498" s="1">
        <f t="shared" ref="G498:K498" si="502">IFERROR(G353/G321,0)*G476</f>
        <v>7.5127779183687014E-5</v>
      </c>
      <c r="H498" s="1">
        <f t="shared" si="502"/>
        <v>7.1050054484442964E-4</v>
      </c>
      <c r="I498" s="1">
        <f t="shared" si="502"/>
        <v>0.47301515239931291</v>
      </c>
      <c r="J498" s="1">
        <f t="shared" si="502"/>
        <v>0.55458004589339061</v>
      </c>
      <c r="K498" s="1">
        <f t="shared" si="502"/>
        <v>0.63928291520335734</v>
      </c>
      <c r="L498" s="1">
        <f t="shared" ref="L498" si="503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2"/>
        <v>0</v>
      </c>
      <c r="G499" s="1">
        <f t="shared" ref="G499:K499" si="504">IFERROR(G354/G322,0)*G477</f>
        <v>0</v>
      </c>
      <c r="H499" s="1">
        <f t="shared" si="504"/>
        <v>0</v>
      </c>
      <c r="I499" s="1">
        <f t="shared" si="504"/>
        <v>0</v>
      </c>
      <c r="J499" s="1">
        <f t="shared" si="504"/>
        <v>0</v>
      </c>
      <c r="K499" s="1">
        <f t="shared" si="504"/>
        <v>0</v>
      </c>
      <c r="L499" s="1">
        <f t="shared" ref="L499" si="505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06">G478</f>
        <v>1.791058443826671</v>
      </c>
      <c r="H500" s="1">
        <f t="shared" si="506"/>
        <v>1.9090400842975233</v>
      </c>
      <c r="I500" s="1">
        <f t="shared" si="506"/>
        <v>1.6522013783412555</v>
      </c>
      <c r="J500" s="1">
        <f t="shared" si="506"/>
        <v>1.5353979474011616</v>
      </c>
      <c r="K500" s="1">
        <f t="shared" si="506"/>
        <v>1.4050361462814245</v>
      </c>
      <c r="L500" s="1">
        <f t="shared" ref="L500" si="507">L478</f>
        <v>1.3677120673054508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08">IFERROR(G356/G324,0)*G479</f>
        <v>1.6975868919151031E-2</v>
      </c>
      <c r="H501" s="1">
        <f t="shared" si="508"/>
        <v>1.3051839664474365E-3</v>
      </c>
      <c r="I501" s="1">
        <f t="shared" si="508"/>
        <v>4.543190589505211E-3</v>
      </c>
      <c r="J501" s="1">
        <f t="shared" si="508"/>
        <v>1.1878271383781577E-2</v>
      </c>
      <c r="K501" s="1">
        <f t="shared" si="508"/>
        <v>6.3303886915422125E-3</v>
      </c>
      <c r="L501" s="1">
        <f t="shared" ref="L501" si="509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10">IFERROR(G357/G325,0)*G480</f>
        <v>0</v>
      </c>
      <c r="H502" s="1">
        <f t="shared" si="510"/>
        <v>0</v>
      </c>
      <c r="I502" s="1">
        <f t="shared" si="510"/>
        <v>3.6044990619806111E-5</v>
      </c>
      <c r="J502" s="1">
        <f t="shared" si="510"/>
        <v>1.9551054935293283E-4</v>
      </c>
      <c r="K502" s="1">
        <f t="shared" si="510"/>
        <v>2.0197873436340283E-4</v>
      </c>
      <c r="L502" s="1">
        <f t="shared" ref="L502" si="511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12">SUM(G504:G505)</f>
        <v>3.3046669254558378</v>
      </c>
      <c r="H503" s="1">
        <f t="shared" si="512"/>
        <v>2.8793759857486917E-2</v>
      </c>
      <c r="I503" s="1">
        <f t="shared" si="512"/>
        <v>1.1807866639139408E-2</v>
      </c>
      <c r="J503" s="1">
        <f t="shared" si="512"/>
        <v>2.174707111352292E-2</v>
      </c>
      <c r="K503" s="1">
        <f t="shared" si="512"/>
        <v>3.8010465686668313E-2</v>
      </c>
      <c r="L503" s="1">
        <f t="shared" ref="L503" si="513">SUM(L504:L505)</f>
        <v>5.2309046083002206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'[1]Electricity and CHPs_IN'!F$44-J363</f>
        <v>2.174707111352292E-2</v>
      </c>
      <c r="K504" s="6">
        <f>'[1]Electricity and CHPs_IN'!G$44-K363</f>
        <v>3.8010465686668313E-2</v>
      </c>
      <c r="L504" s="6">
        <f>'[1]Electricity and CHPs_IN'!H$44-L363</f>
        <v>2.2118428336812554E-3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5.2286927654665396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4">SUM(G507:G508)</f>
        <v>0</v>
      </c>
      <c r="H506" s="1">
        <f t="shared" si="514"/>
        <v>0</v>
      </c>
      <c r="I506" s="1">
        <f t="shared" si="514"/>
        <v>0</v>
      </c>
      <c r="J506" s="1">
        <f t="shared" si="514"/>
        <v>0</v>
      </c>
      <c r="K506" s="1">
        <f t="shared" si="514"/>
        <v>0</v>
      </c>
      <c r="L506" s="1">
        <f t="shared" ref="L506" si="515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16">SUM(G510:G511)</f>
        <v>3.3046669254558378</v>
      </c>
      <c r="H509" s="1">
        <f t="shared" si="516"/>
        <v>2.8793759857486917E-2</v>
      </c>
      <c r="I509" s="1">
        <f t="shared" si="516"/>
        <v>1.1807866639139408E-2</v>
      </c>
      <c r="J509" s="1">
        <f t="shared" si="516"/>
        <v>2.174707111352292E-2</v>
      </c>
      <c r="K509" s="1">
        <f t="shared" si="516"/>
        <v>3.8010465686668313E-2</v>
      </c>
      <c r="L509" s="1">
        <f t="shared" ref="L509" si="517">SUM(L510:L511)</f>
        <v>5.2309046083002206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18">G504</f>
        <v>3.3046669254558378</v>
      </c>
      <c r="H510" s="1">
        <f t="shared" si="518"/>
        <v>2.8793759857486917E-2</v>
      </c>
      <c r="I510" s="1">
        <f t="shared" si="518"/>
        <v>1.1807866639139408E-2</v>
      </c>
      <c r="J510" s="1">
        <f t="shared" si="518"/>
        <v>2.174707111352292E-2</v>
      </c>
      <c r="K510" s="1">
        <f t="shared" si="518"/>
        <v>3.8010465686668313E-2</v>
      </c>
      <c r="L510" s="1">
        <f t="shared" ref="L510" si="519">L504</f>
        <v>2.2118428336812554E-3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20">G505</f>
        <v>0</v>
      </c>
      <c r="H511" s="1">
        <f t="shared" si="520"/>
        <v>0</v>
      </c>
      <c r="I511" s="1">
        <f t="shared" si="520"/>
        <v>0</v>
      </c>
      <c r="J511" s="1">
        <f t="shared" si="520"/>
        <v>0</v>
      </c>
      <c r="K511" s="1">
        <f t="shared" si="520"/>
        <v>0</v>
      </c>
      <c r="L511" s="1">
        <f t="shared" ref="L511" si="521">L505</f>
        <v>5.2286927654665396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22">SUM(G513:G517)</f>
        <v>0.55901202244750492</v>
      </c>
      <c r="H512" s="1">
        <f t="shared" si="522"/>
        <v>4.0008035643488835</v>
      </c>
      <c r="I512" s="1">
        <f t="shared" si="522"/>
        <v>7.2202205781151365</v>
      </c>
      <c r="J512" s="1">
        <f t="shared" si="522"/>
        <v>9.3617305153033215</v>
      </c>
      <c r="K512" s="1">
        <f t="shared" si="522"/>
        <v>12.419416262609309</v>
      </c>
      <c r="L512" s="1">
        <f t="shared" ref="L512" si="523">SUM(L513:L517)</f>
        <v>9.8042879266770253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'[1]Electricity and CHPs_IN'!F$42-J382</f>
        <v>7.7912996087836479</v>
      </c>
      <c r="K513" s="6">
        <f>'[1]Electricity and CHPs_IN'!G$42-K382</f>
        <v>8.5677404929737087</v>
      </c>
      <c r="L513" s="6">
        <f>'[1]Electricity and CHPs_IN'!H$42-L382</f>
        <v>6.1678499838174101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0.37618537674737029</v>
      </c>
      <c r="L514" s="1">
        <f>'[1]Electricity and CHPs_IN'!H$43-L383</f>
        <v>3.6364379428596152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'[1]Electricity and CHPs_IN'!F$50-J384</f>
        <v>0.59433023475565949</v>
      </c>
      <c r="K515" s="1">
        <f>'[1]Electricity and CHPs_IN'!G$50-K384</f>
        <v>1.0294320441979981</v>
      </c>
      <c r="L515" s="1">
        <f>'[1]Electricity and CHPs_IN'!H$50-L384</f>
        <v>0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'[1]Electricity and CHPs_IN'!F$53-J385</f>
        <v>0.60102104968277603</v>
      </c>
      <c r="K516" s="1">
        <f>'[1]Electricity and CHPs_IN'!G$53-K385</f>
        <v>1.7876751689530783</v>
      </c>
      <c r="L516" s="1">
        <f>'[1]Electricity and CHPs_IN'!H$53-L385</f>
        <v>0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'[1]Electricity and CHPs_IN'!F$56-J386</f>
        <v>0.37507962208123713</v>
      </c>
      <c r="K517" s="1">
        <f>'[1]Electricity and CHPs_IN'!G$56-K386</f>
        <v>0.65838317973715244</v>
      </c>
      <c r="L517" s="1">
        <f>'[1]Electricity and CHPs_IN'!H$56-L386</f>
        <v>0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4">SUM(G519:G520)</f>
        <v>0</v>
      </c>
      <c r="H518" s="1">
        <f t="shared" si="524"/>
        <v>0</v>
      </c>
      <c r="I518" s="1">
        <f t="shared" si="524"/>
        <v>3.1567466906666222E-3</v>
      </c>
      <c r="J518" s="1">
        <f t="shared" si="524"/>
        <v>8.7425515064734009E-3</v>
      </c>
      <c r="K518" s="1">
        <f t="shared" si="524"/>
        <v>2.9991188996418895E-3</v>
      </c>
      <c r="L518" s="1">
        <f t="shared" ref="L518" si="525">SUM(L519:L520)</f>
        <v>0.20533518684399787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5.8153305776212031E-3</v>
      </c>
      <c r="K519" s="1">
        <f>'[1]Electricity and CHPs_IN'!G$46-K399</f>
        <v>1.7009211313187538E-3</v>
      </c>
      <c r="L519" s="1">
        <f>'[1]Electricity and CHPs_IN'!H$46-L399</f>
        <v>0.20533518684399787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'[1]Electricity and CHPs_IN'!F$57-J400</f>
        <v>2.9272209288521978E-3</v>
      </c>
      <c r="K520" s="1">
        <f>'[1]Electricity and CHPs_IN'!G$57-K400</f>
        <v>1.2981977683231356E-3</v>
      </c>
      <c r="L520" s="1">
        <f>'[1]Electricity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6">IFERROR(F65/F293,"-")</f>
        <v>0.32978918575931371</v>
      </c>
      <c r="G522" s="13">
        <f t="shared" si="526"/>
        <v>0.3267271324561894</v>
      </c>
      <c r="H522" s="13">
        <f t="shared" si="526"/>
        <v>0.32637053973209779</v>
      </c>
      <c r="I522" s="13">
        <f t="shared" si="526"/>
        <v>0.33022531806800037</v>
      </c>
      <c r="J522" s="13">
        <f t="shared" si="526"/>
        <v>0.3304194740897905</v>
      </c>
      <c r="K522" s="13">
        <f t="shared" si="526"/>
        <v>0.33170584005147591</v>
      </c>
      <c r="L522" s="13" t="str">
        <f t="shared" ref="L522" si="527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8">IFERROR(F67/F295,"-")</f>
        <v>1</v>
      </c>
      <c r="G523" s="13">
        <f t="shared" si="528"/>
        <v>1</v>
      </c>
      <c r="H523" s="13">
        <f t="shared" si="528"/>
        <v>1</v>
      </c>
      <c r="I523" s="13">
        <f t="shared" si="528"/>
        <v>1</v>
      </c>
      <c r="J523" s="13">
        <f t="shared" si="528"/>
        <v>1</v>
      </c>
      <c r="K523" s="13">
        <f t="shared" si="528"/>
        <v>1</v>
      </c>
      <c r="L523" s="13">
        <f t="shared" ref="L523" si="529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8"/>
        <v>1</v>
      </c>
      <c r="G524" s="13">
        <f t="shared" si="528"/>
        <v>1</v>
      </c>
      <c r="H524" s="13">
        <f t="shared" si="528"/>
        <v>1</v>
      </c>
      <c r="I524" s="13">
        <f t="shared" si="528"/>
        <v>1</v>
      </c>
      <c r="J524" s="13">
        <f t="shared" si="528"/>
        <v>1</v>
      </c>
      <c r="K524" s="13">
        <f t="shared" si="528"/>
        <v>1</v>
      </c>
      <c r="L524" s="13">
        <f t="shared" ref="L524" si="530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8"/>
        <v>0.79999990611351157</v>
      </c>
      <c r="G525" s="13">
        <f t="shared" si="528"/>
        <v>0.7999998797315101</v>
      </c>
      <c r="H525" s="13">
        <f t="shared" si="528"/>
        <v>0.79999951421079896</v>
      </c>
      <c r="I525" s="13">
        <f t="shared" si="528"/>
        <v>0.80000001639435592</v>
      </c>
      <c r="J525" s="13">
        <f t="shared" si="528"/>
        <v>0.80000010467434246</v>
      </c>
      <c r="K525" s="13">
        <f t="shared" si="528"/>
        <v>0.80000010352566986</v>
      </c>
      <c r="L525" s="13">
        <f t="shared" ref="L525" si="531">IFERROR(L69/L297,"-")</f>
        <v>0.80000008482678486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32">IFERROR(G71/G299,"-")</f>
        <v>6.8365369668443345E-5</v>
      </c>
      <c r="H526" s="13">
        <f t="shared" si="532"/>
        <v>0.34180583728213049</v>
      </c>
      <c r="I526" s="13">
        <f t="shared" si="532"/>
        <v>0.28284247285449349</v>
      </c>
      <c r="J526" s="13">
        <f t="shared" si="532"/>
        <v>0.29819335284945891</v>
      </c>
      <c r="K526" s="13">
        <f t="shared" si="532"/>
        <v>0.22915245612674992</v>
      </c>
      <c r="L526" s="13">
        <f t="shared" ref="L526" si="533">IFERROR(L71/L299,"-")</f>
        <v>0.30736067153007335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34">IFERROR(G72/(G300+G413),"-")</f>
        <v>5.3424396750979376E-5</v>
      </c>
      <c r="H527" s="13">
        <f t="shared" si="534"/>
        <v>8.9672734506311635E-2</v>
      </c>
      <c r="I527" s="13">
        <f t="shared" si="534"/>
        <v>9.9678050179609096E-2</v>
      </c>
      <c r="J527" s="13">
        <f t="shared" si="534"/>
        <v>0.10295096209526136</v>
      </c>
      <c r="K527" s="13">
        <f t="shared" si="534"/>
        <v>7.0188598408253117E-2</v>
      </c>
      <c r="L527" s="13">
        <f t="shared" ref="L527" si="535">IFERROR(L72/(L300+L413),"-")</f>
        <v>0.10175607958601092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36">IFERROR(G73/(G301+G465),"-")</f>
        <v>0.24659644779564285</v>
      </c>
      <c r="H528" s="13">
        <f t="shared" si="536"/>
        <v>0.25113823812911884</v>
      </c>
      <c r="I528" s="13">
        <f t="shared" si="536"/>
        <v>0.26334977519830666</v>
      </c>
      <c r="J528" s="13">
        <f t="shared" si="536"/>
        <v>0.2626681039117339</v>
      </c>
      <c r="K528" s="13">
        <f t="shared" si="536"/>
        <v>0.21479133497191455</v>
      </c>
      <c r="L528" s="13">
        <f t="shared" ref="L528" si="537">IFERROR(L73/(L301+L465),"-")</f>
        <v>0.26318884047209518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8">IFERROR(G83/G311,"-")</f>
        <v>-</v>
      </c>
      <c r="H529" s="13" t="str">
        <f t="shared" si="538"/>
        <v>-</v>
      </c>
      <c r="I529" s="13" t="str">
        <f t="shared" si="538"/>
        <v>-</v>
      </c>
      <c r="J529" s="13" t="str">
        <f t="shared" si="538"/>
        <v>-</v>
      </c>
      <c r="K529" s="13">
        <f t="shared" si="538"/>
        <v>0.52374970996168724</v>
      </c>
      <c r="L529" s="13">
        <f t="shared" ref="L529" si="539">IFERROR(L83/L311,"-")</f>
        <v>0.62640499315111453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40">IFERROR(G84/G312,"-")</f>
        <v>-</v>
      </c>
      <c r="H530" s="13" t="str">
        <f t="shared" si="540"/>
        <v>-</v>
      </c>
      <c r="I530" s="13">
        <f t="shared" si="540"/>
        <v>0.3702177357184096</v>
      </c>
      <c r="J530" s="13">
        <f t="shared" si="540"/>
        <v>0.37829600272553121</v>
      </c>
      <c r="K530" s="13">
        <f t="shared" si="540"/>
        <v>0.34052044070682058</v>
      </c>
      <c r="L530" s="13">
        <f t="shared" ref="L530" si="541">IFERROR(L84/L312,"-")</f>
        <v>0.41862641146393936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2">IFERROR(G85/G313,"-")</f>
        <v>-</v>
      </c>
      <c r="H531" s="13" t="str">
        <f t="shared" si="542"/>
        <v>-</v>
      </c>
      <c r="I531" s="13" t="str">
        <f t="shared" si="542"/>
        <v>-</v>
      </c>
      <c r="J531" s="13" t="str">
        <f t="shared" si="542"/>
        <v>-</v>
      </c>
      <c r="K531" s="13">
        <f t="shared" si="542"/>
        <v>0</v>
      </c>
      <c r="L531" s="13">
        <f t="shared" ref="L531" si="543">IFERROR(L85/L313,"-")</f>
        <v>0.54760064015932253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44">IFERROR(G86/SUM(G314,G419),"-")</f>
        <v>0.20806469578458786</v>
      </c>
      <c r="H532" s="13">
        <f t="shared" si="544"/>
        <v>0.25433109922281771</v>
      </c>
      <c r="I532" s="13">
        <f t="shared" si="544"/>
        <v>0.23314299552159312</v>
      </c>
      <c r="J532" s="13">
        <f t="shared" si="544"/>
        <v>0.24220262511668902</v>
      </c>
      <c r="K532" s="13">
        <f t="shared" si="544"/>
        <v>0.21120035098148529</v>
      </c>
      <c r="L532" s="13">
        <f t="shared" ref="L532" si="545">IFERROR(L86/SUM(L314,L419),"-")</f>
        <v>0.25192485329609682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6">IFERROR(G87/SUM(G315,G420),"-")</f>
        <v>-</v>
      </c>
      <c r="H533" s="13" t="str">
        <f t="shared" si="546"/>
        <v>-</v>
      </c>
      <c r="I533" s="13" t="str">
        <f t="shared" si="546"/>
        <v>-</v>
      </c>
      <c r="J533" s="13" t="str">
        <f t="shared" si="546"/>
        <v>-</v>
      </c>
      <c r="K533" s="13">
        <f t="shared" si="546"/>
        <v>0.40000000000000058</v>
      </c>
      <c r="L533" s="13">
        <f t="shared" ref="L533" si="547">IFERROR(L87/SUM(L315,L420),"-")</f>
        <v>0.39999999999999991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48">IFERROR(G88/SUM(G316,G471),"-'")</f>
        <v>0.35195195850976801</v>
      </c>
      <c r="H534" s="13">
        <f t="shared" si="548"/>
        <v>0.35444041395883863</v>
      </c>
      <c r="I534" s="13">
        <f t="shared" si="548"/>
        <v>0.35699146539058668</v>
      </c>
      <c r="J534" s="13">
        <f t="shared" si="548"/>
        <v>0.35511001289870914</v>
      </c>
      <c r="K534" s="13">
        <f t="shared" si="548"/>
        <v>0.35623027053703926</v>
      </c>
      <c r="L534" s="13">
        <f t="shared" ref="L534" si="549">IFERROR(L88/SUM(L316,L471),"-'")</f>
        <v>0.21814431848515811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50">IFERROR(F89/SUM(F317,F472),"-")</f>
        <v>-</v>
      </c>
      <c r="G535" s="13" t="str">
        <f t="shared" ref="G535:K535" si="551">IFERROR(G89/SUM(G317,G472),"-")</f>
        <v>-</v>
      </c>
      <c r="H535" s="13" t="str">
        <f t="shared" si="551"/>
        <v>-</v>
      </c>
      <c r="I535" s="13" t="str">
        <f t="shared" si="551"/>
        <v>-</v>
      </c>
      <c r="J535" s="13" t="str">
        <f t="shared" si="551"/>
        <v>-</v>
      </c>
      <c r="K535" s="13">
        <f t="shared" si="551"/>
        <v>0</v>
      </c>
      <c r="L535" s="13">
        <f t="shared" ref="L535" si="552">IFERROR(L89/SUM(L317,L472),"-")</f>
        <v>0.32321473480133106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50"/>
        <v>-</v>
      </c>
      <c r="G536" s="13" t="str">
        <f t="shared" ref="G536:K536" si="553">IFERROR(G90/SUM(G318,G473),"-")</f>
        <v>-</v>
      </c>
      <c r="H536" s="13" t="str">
        <f t="shared" si="553"/>
        <v>-</v>
      </c>
      <c r="I536" s="13" t="str">
        <f t="shared" si="553"/>
        <v>-</v>
      </c>
      <c r="J536" s="13" t="str">
        <f t="shared" si="553"/>
        <v>-</v>
      </c>
      <c r="K536" s="13" t="str">
        <f t="shared" si="553"/>
        <v>-</v>
      </c>
      <c r="L536" s="13" t="str">
        <f t="shared" ref="L536" si="554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50"/>
        <v>0.19030450391919823</v>
      </c>
      <c r="G537" s="13">
        <f t="shared" ref="G537:K537" si="555">IFERROR(G91/SUM(G319,G474),"-")</f>
        <v>0.26509167990335775</v>
      </c>
      <c r="H537" s="13">
        <f t="shared" si="555"/>
        <v>0.20790608820787462</v>
      </c>
      <c r="I537" s="13">
        <f t="shared" si="555"/>
        <v>0.24274502446174084</v>
      </c>
      <c r="J537" s="13">
        <f t="shared" si="555"/>
        <v>0.22783827307366014</v>
      </c>
      <c r="K537" s="13">
        <f t="shared" si="555"/>
        <v>0.25378463865644069</v>
      </c>
      <c r="L537" s="13" t="str">
        <f t="shared" ref="L537" si="556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50"/>
        <v>-</v>
      </c>
      <c r="G538" s="13" t="str">
        <f t="shared" ref="G538:K538" si="557">IFERROR(G92/SUM(G320,G475),"-")</f>
        <v>-</v>
      </c>
      <c r="H538" s="13" t="str">
        <f t="shared" si="557"/>
        <v>-</v>
      </c>
      <c r="I538" s="13">
        <f t="shared" si="557"/>
        <v>0.42</v>
      </c>
      <c r="J538" s="13">
        <f t="shared" si="557"/>
        <v>0.42999999999999994</v>
      </c>
      <c r="K538" s="13">
        <f t="shared" si="557"/>
        <v>0.43999999999999995</v>
      </c>
      <c r="L538" s="13" t="str">
        <f t="shared" ref="L538" si="558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50"/>
        <v>0.22499861717179509</v>
      </c>
      <c r="G539" s="13">
        <f t="shared" ref="G539:K539" si="559">IFERROR(G93/SUM(G321,G476),"-")</f>
        <v>0.28363047869204056</v>
      </c>
      <c r="H539" s="13">
        <f t="shared" si="559"/>
        <v>0.26462088930054001</v>
      </c>
      <c r="I539" s="13">
        <f t="shared" si="559"/>
        <v>0.2995971232139123</v>
      </c>
      <c r="J539" s="13">
        <f t="shared" si="559"/>
        <v>0.30134994270555199</v>
      </c>
      <c r="K539" s="13">
        <f t="shared" si="559"/>
        <v>0.30489083030410624</v>
      </c>
      <c r="L539" s="13" t="str">
        <f t="shared" ref="L539" si="560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50"/>
        <v>-</v>
      </c>
      <c r="G540" s="13" t="str">
        <f t="shared" ref="G540:K540" si="561">IFERROR(G94/SUM(G322,G477),"-")</f>
        <v>-</v>
      </c>
      <c r="H540" s="13" t="str">
        <f t="shared" si="561"/>
        <v>-</v>
      </c>
      <c r="I540" s="13">
        <f t="shared" si="561"/>
        <v>0.42000000000000026</v>
      </c>
      <c r="J540" s="13">
        <f t="shared" si="561"/>
        <v>0.43000000000000027</v>
      </c>
      <c r="K540" s="13">
        <f t="shared" si="561"/>
        <v>0.44000000000000006</v>
      </c>
      <c r="L540" s="13" t="str">
        <f t="shared" ref="L540" si="562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50"/>
        <v>0.36265592760101079</v>
      </c>
      <c r="G541" s="13">
        <f t="shared" ref="G541:K541" si="563">IFERROR(G95/SUM(G323,G478),"-")</f>
        <v>0.36307538864160938</v>
      </c>
      <c r="H541" s="13">
        <f t="shared" si="563"/>
        <v>0.33184023252624906</v>
      </c>
      <c r="I541" s="13">
        <f t="shared" si="563"/>
        <v>0.36471342392260342</v>
      </c>
      <c r="J541" s="13">
        <f t="shared" si="563"/>
        <v>0.36950358434422853</v>
      </c>
      <c r="K541" s="13">
        <f t="shared" si="563"/>
        <v>0.37492459901983349</v>
      </c>
      <c r="L541" s="13">
        <f t="shared" ref="L541" si="564">IFERROR(L95/SUM(L323,L478),"-")</f>
        <v>0.38515193341809473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50"/>
        <v>0.35327462535967252</v>
      </c>
      <c r="G542" s="13">
        <f t="shared" ref="G542:K542" si="565">IFERROR(G96/SUM(G324,G479),"-")</f>
        <v>0.35999812868800379</v>
      </c>
      <c r="H542" s="13">
        <f t="shared" si="565"/>
        <v>0.35199525879477939</v>
      </c>
      <c r="I542" s="13">
        <f t="shared" si="565"/>
        <v>0.34767103561032714</v>
      </c>
      <c r="J542" s="13">
        <f t="shared" si="565"/>
        <v>0.35508117647092169</v>
      </c>
      <c r="K542" s="13">
        <f t="shared" si="565"/>
        <v>0.35671032566152988</v>
      </c>
      <c r="L542" s="13" t="str">
        <f t="shared" ref="L542" si="566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50"/>
        <v>-</v>
      </c>
      <c r="G543" s="13" t="str">
        <f t="shared" ref="G543:K543" si="567">IFERROR(G97/SUM(G325,G480),"-")</f>
        <v>-</v>
      </c>
      <c r="H543" s="13" t="str">
        <f t="shared" si="567"/>
        <v>-</v>
      </c>
      <c r="I543" s="13">
        <f t="shared" si="567"/>
        <v>0.59999999999999976</v>
      </c>
      <c r="J543" s="13">
        <f t="shared" si="567"/>
        <v>0.60500000000000009</v>
      </c>
      <c r="K543" s="13">
        <f t="shared" si="567"/>
        <v>0.60999999999999965</v>
      </c>
      <c r="L543" s="13" t="str">
        <f t="shared" ref="L543" si="568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69">IFERROR(G131/G359,"-")</f>
        <v>0.35745695376016606</v>
      </c>
      <c r="H544" s="13">
        <f t="shared" si="569"/>
        <v>0.35745695376016551</v>
      </c>
      <c r="I544" s="13">
        <f t="shared" si="569"/>
        <v>0.35745695376016612</v>
      </c>
      <c r="J544" s="13">
        <f t="shared" si="569"/>
        <v>0.35745695376016551</v>
      </c>
      <c r="K544" s="13">
        <f t="shared" si="569"/>
        <v>0.35745695376016529</v>
      </c>
      <c r="L544" s="13">
        <f t="shared" ref="L544" si="570">IFERROR(L131/L359,"-")</f>
        <v>0.35745695376016595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1">IFERROR(G132/G360,"-")</f>
        <v>-</v>
      </c>
      <c r="H545" s="13" t="str">
        <f t="shared" si="571"/>
        <v>-</v>
      </c>
      <c r="I545" s="13" t="str">
        <f t="shared" si="571"/>
        <v>-</v>
      </c>
      <c r="J545" s="13" t="str">
        <f t="shared" si="571"/>
        <v>-</v>
      </c>
      <c r="K545" s="13" t="str">
        <f t="shared" si="571"/>
        <v>-</v>
      </c>
      <c r="L545" s="13">
        <f t="shared" ref="L545" si="572">IFERROR(L132/L360,"-")</f>
        <v>0.34140256108732597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73">IFERROR(G133/SUM(G361,G428),"-")</f>
        <v>3.702056535222336E-2</v>
      </c>
      <c r="H546" s="13">
        <f t="shared" si="573"/>
        <v>3.6789012310203019E-2</v>
      </c>
      <c r="I546" s="13">
        <f t="shared" si="573"/>
        <v>3.6403882198244114E-2</v>
      </c>
      <c r="J546" s="13">
        <f t="shared" si="573"/>
        <v>3.5498691809036823E-2</v>
      </c>
      <c r="K546" s="13">
        <f t="shared" si="573"/>
        <v>3.4672611500281926E-2</v>
      </c>
      <c r="L546" s="13">
        <f t="shared" ref="L546" si="574">IFERROR(L133/SUM(L361,L428),"-")</f>
        <v>1.1637372310240193E-2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5">IFERROR(G134/SUM(G362,G429),"-")</f>
        <v>-</v>
      </c>
      <c r="H547" s="13" t="str">
        <f t="shared" si="575"/>
        <v>-</v>
      </c>
      <c r="I547" s="13" t="str">
        <f t="shared" si="575"/>
        <v>-</v>
      </c>
      <c r="J547" s="13" t="str">
        <f t="shared" si="575"/>
        <v>-</v>
      </c>
      <c r="K547" s="13" t="str">
        <f t="shared" si="575"/>
        <v>-</v>
      </c>
      <c r="L547" s="13">
        <f t="shared" ref="L547" si="576">IFERROR(L134/SUM(L362,L429),"-")</f>
        <v>5.3999999999999979E-2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77">IFERROR(G135/SUM(G363,G504),"-")</f>
        <v>6.1973076335662867E-2</v>
      </c>
      <c r="H548" s="13">
        <f t="shared" si="577"/>
        <v>6.1972650567355327E-2</v>
      </c>
      <c r="I548" s="13">
        <f t="shared" si="577"/>
        <v>6.1972650567355292E-2</v>
      </c>
      <c r="J548" s="13">
        <f t="shared" si="577"/>
        <v>6.197265056735532E-2</v>
      </c>
      <c r="K548" s="13">
        <f t="shared" si="577"/>
        <v>6.1972650567355292E-2</v>
      </c>
      <c r="L548" s="13">
        <f t="shared" ref="L548" si="578">IFERROR(L135/SUM(L363,L504),"-")</f>
        <v>6.1972650567355292E-2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9">IFERROR(G136/SUM(G364,G505),"-")</f>
        <v>-</v>
      </c>
      <c r="H549" s="13" t="str">
        <f t="shared" si="579"/>
        <v>-</v>
      </c>
      <c r="I549" s="13" t="str">
        <f t="shared" si="579"/>
        <v>-</v>
      </c>
      <c r="J549" s="13" t="str">
        <f t="shared" si="579"/>
        <v>-</v>
      </c>
      <c r="K549" s="13" t="str">
        <f t="shared" si="579"/>
        <v>-</v>
      </c>
      <c r="L549" s="13">
        <f t="shared" ref="L549" si="580">IFERROR(L136/SUM(L364,L505),"-")</f>
        <v>4.543176021521432E-2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81">IFERROR(G152/SUM(G380,G437),"-")</f>
        <v>0.249729803534116</v>
      </c>
      <c r="H550" s="13">
        <f t="shared" si="581"/>
        <v>0.24880577796460621</v>
      </c>
      <c r="I550" s="13">
        <f t="shared" si="581"/>
        <v>4.6345772552048884E-3</v>
      </c>
      <c r="J550" s="13">
        <f t="shared" si="581"/>
        <v>4.34507743018609E-3</v>
      </c>
      <c r="K550" s="13">
        <f t="shared" si="581"/>
        <v>6.5466241075850919E-3</v>
      </c>
      <c r="L550" s="13">
        <f t="shared" ref="L550" si="582">IFERROR(L152/SUM(L380,L437),"-")</f>
        <v>6.1204367923678232E-4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3">IFERROR(G153/G381,"-")</f>
        <v>-</v>
      </c>
      <c r="H551" s="13" t="str">
        <f t="shared" si="583"/>
        <v>-</v>
      </c>
      <c r="I551" s="13" t="str">
        <f t="shared" si="583"/>
        <v>-</v>
      </c>
      <c r="J551" s="13" t="str">
        <f t="shared" si="583"/>
        <v>-</v>
      </c>
      <c r="K551" s="13">
        <f t="shared" si="583"/>
        <v>0</v>
      </c>
      <c r="L551" s="13">
        <f t="shared" ref="L551" si="584">IFERROR(L153/L381,"-")</f>
        <v>0.21226338897479066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85">IFERROR(G154/SUM(G382,G513),"-")</f>
        <v>0.2258138024045126</v>
      </c>
      <c r="H552" s="13">
        <f t="shared" si="585"/>
        <v>0.26798487344804445</v>
      </c>
      <c r="I552" s="13">
        <f t="shared" si="585"/>
        <v>0.33246537363563894</v>
      </c>
      <c r="J552" s="13">
        <f t="shared" si="585"/>
        <v>0.33616045896664726</v>
      </c>
      <c r="K552" s="13">
        <f t="shared" si="585"/>
        <v>0.33632653456219563</v>
      </c>
      <c r="L552" s="13">
        <f t="shared" ref="L552" si="586">IFERROR(L154/SUM(L382,L513),"-")</f>
        <v>0.31080957823663274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7">IFERROR(G155/SUM(G383,G514),"-")</f>
        <v>-</v>
      </c>
      <c r="H553" s="13" t="str">
        <f t="shared" si="587"/>
        <v>-</v>
      </c>
      <c r="I553" s="13" t="str">
        <f t="shared" si="587"/>
        <v>-</v>
      </c>
      <c r="J553" s="13" t="str">
        <f t="shared" si="587"/>
        <v>-</v>
      </c>
      <c r="K553" s="13">
        <f t="shared" si="587"/>
        <v>0</v>
      </c>
      <c r="L553" s="13">
        <f t="shared" ref="L553" si="588">IFERROR(L155/SUM(L383,L514),"-")</f>
        <v>0.2510573366003534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9">IFERROR(G156/SUM(G384,G515),"-")</f>
        <v>-</v>
      </c>
      <c r="H554" s="13" t="str">
        <f t="shared" si="589"/>
        <v>-</v>
      </c>
      <c r="I554" s="13">
        <f t="shared" si="589"/>
        <v>3.1320532852754271E-3</v>
      </c>
      <c r="J554" s="13">
        <f t="shared" si="589"/>
        <v>3.7281681281351601E-3</v>
      </c>
      <c r="K554" s="13">
        <f t="shared" si="589"/>
        <v>1.8605483622044119E-3</v>
      </c>
      <c r="L554" s="13" t="str">
        <f t="shared" ref="L554" si="590">IFERROR(L156/SUM(L384,L515),"-")</f>
        <v>-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1">IFERROR(G157/SUM(G385,G516),"-")</f>
        <v>-</v>
      </c>
      <c r="H555" s="13" t="str">
        <f t="shared" si="591"/>
        <v>-</v>
      </c>
      <c r="I555" s="13">
        <f t="shared" si="591"/>
        <v>4.5582386138031368E-3</v>
      </c>
      <c r="J555" s="13">
        <f t="shared" si="591"/>
        <v>6.4005140700225107E-3</v>
      </c>
      <c r="K555" s="13">
        <f t="shared" si="591"/>
        <v>0.11742462298271979</v>
      </c>
      <c r="L555" s="13" t="str">
        <f t="shared" ref="L555" si="592">IFERROR(L157/SUM(L385,L516),"-")</f>
        <v>-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3">IFERROR(G158/SUM(G386,G517),"-")</f>
        <v>-</v>
      </c>
      <c r="H556" s="13" t="str">
        <f t="shared" si="593"/>
        <v>-</v>
      </c>
      <c r="I556" s="13">
        <f t="shared" si="593"/>
        <v>3.4359368131129109E-3</v>
      </c>
      <c r="J556" s="13">
        <f t="shared" si="593"/>
        <v>2.9554819972174812E-3</v>
      </c>
      <c r="K556" s="13">
        <f t="shared" si="593"/>
        <v>2.153421782705482E-3</v>
      </c>
      <c r="L556" s="13" t="str">
        <f t="shared" ref="L556" si="594">IFERROR(L158/SUM(L386,L517),"-")</f>
        <v>-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5">IFERROR(G168/G396,"-")</f>
        <v>-</v>
      </c>
      <c r="H563" s="13" t="str">
        <f t="shared" si="595"/>
        <v>-</v>
      </c>
      <c r="I563" s="13" t="str">
        <f t="shared" si="595"/>
        <v>-</v>
      </c>
      <c r="J563" s="13" t="str">
        <f t="shared" si="595"/>
        <v>-</v>
      </c>
      <c r="K563" s="13" t="str">
        <f t="shared" si="595"/>
        <v>-</v>
      </c>
      <c r="L563" s="13" t="str">
        <f t="shared" ref="L563" si="596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7">IFERROR(G170/SUM(G398,G439),"-")</f>
        <v>-</v>
      </c>
      <c r="H564" s="13" t="str">
        <f t="shared" si="597"/>
        <v>-</v>
      </c>
      <c r="I564" s="13" t="str">
        <f t="shared" si="597"/>
        <v>-</v>
      </c>
      <c r="J564" s="13" t="str">
        <f t="shared" si="597"/>
        <v>-</v>
      </c>
      <c r="K564" s="13">
        <f t="shared" si="597"/>
        <v>0.41999999999999982</v>
      </c>
      <c r="L564" s="13">
        <f t="shared" ref="L564" si="598">IFERROR(L170/SUM(L398,L439),"-")</f>
        <v>0.42000000000000015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9">IFERROR(G171/SUM(G399,G519),"-")</f>
        <v>-</v>
      </c>
      <c r="H565" s="13" t="str">
        <f t="shared" si="599"/>
        <v>-</v>
      </c>
      <c r="I565" s="13" t="str">
        <f t="shared" si="599"/>
        <v>-</v>
      </c>
      <c r="J565" s="13">
        <f t="shared" si="599"/>
        <v>0.52250000000000052</v>
      </c>
      <c r="K565" s="13">
        <f t="shared" si="599"/>
        <v>0.55000000000000016</v>
      </c>
      <c r="L565" s="13">
        <f t="shared" ref="L565" si="600">IFERROR(L171/SUM(L399,L519),"-")</f>
        <v>0.5999999999999992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1">IFERROR(G172/SUM(G400,G520),"-")</f>
        <v>-</v>
      </c>
      <c r="H566" s="13" t="str">
        <f t="shared" si="601"/>
        <v>-</v>
      </c>
      <c r="I566" s="13">
        <f t="shared" si="601"/>
        <v>0.47492792286664998</v>
      </c>
      <c r="J566" s="13">
        <f t="shared" si="601"/>
        <v>0.50750000000000051</v>
      </c>
      <c r="K566" s="13">
        <f t="shared" si="601"/>
        <v>0.54000000000000037</v>
      </c>
      <c r="L566" s="13" t="str">
        <f t="shared" ref="L566" si="602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3">IFERROR(F174/F402,"-")</f>
        <v>0.69990248621037421</v>
      </c>
      <c r="G567" s="13">
        <f t="shared" si="603"/>
        <v>0.6994794723071448</v>
      </c>
      <c r="H567" s="13">
        <f t="shared" si="603"/>
        <v>0.69998025491386107</v>
      </c>
      <c r="I567" s="13">
        <f t="shared" si="603"/>
        <v>0.69998005189702917</v>
      </c>
      <c r="J567" s="13">
        <f t="shared" si="603"/>
        <v>0.69970414247792678</v>
      </c>
      <c r="K567" s="13">
        <f t="shared" si="603"/>
        <v>0.69824228485451312</v>
      </c>
      <c r="L567" s="13">
        <f t="shared" ref="L567" si="604">IFERROR(L174/L402,"-")</f>
        <v>0.69993412949335554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3"/>
        <v>0.86627968364692587</v>
      </c>
      <c r="G568" s="13">
        <f t="shared" si="603"/>
        <v>0.865807276523477</v>
      </c>
      <c r="H568" s="13">
        <f t="shared" si="603"/>
        <v>0.86701957517308403</v>
      </c>
      <c r="I568" s="13">
        <f t="shared" si="603"/>
        <v>0.86700414378824486</v>
      </c>
      <c r="J568" s="13">
        <f t="shared" si="603"/>
        <v>0.86699685598570808</v>
      </c>
      <c r="K568" s="13">
        <f t="shared" si="603"/>
        <v>0.86701073034763254</v>
      </c>
      <c r="L568" s="13">
        <f t="shared" ref="L568" si="605">IFERROR(L175/L403,"-")</f>
        <v>0.86703746380339441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3"/>
        <v>0.89412364732918126</v>
      </c>
      <c r="G569" s="13">
        <f t="shared" si="603"/>
        <v>0.89419432446185743</v>
      </c>
      <c r="H569" s="13">
        <f t="shared" si="603"/>
        <v>0.89421841416173531</v>
      </c>
      <c r="I569" s="13">
        <f t="shared" si="603"/>
        <v>0.89423525547244043</v>
      </c>
      <c r="J569" s="13">
        <f t="shared" si="603"/>
        <v>0.89423820351928895</v>
      </c>
      <c r="K569" s="13">
        <f t="shared" si="603"/>
        <v>0.89420430681655361</v>
      </c>
      <c r="L569" s="13">
        <f t="shared" ref="L569" si="606">IFERROR(L176/L404,"-")</f>
        <v>0.89426531661437669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3"/>
        <v>0.90102377889405361</v>
      </c>
      <c r="G570" s="13">
        <f t="shared" si="603"/>
        <v>0.90154505154555142</v>
      </c>
      <c r="H570" s="13">
        <f t="shared" si="603"/>
        <v>0.90425657373397805</v>
      </c>
      <c r="I570" s="13">
        <f t="shared" si="603"/>
        <v>0.90426433644023296</v>
      </c>
      <c r="J570" s="13">
        <f t="shared" si="603"/>
        <v>0.90426619800790753</v>
      </c>
      <c r="K570" s="13">
        <f t="shared" si="603"/>
        <v>0.90426845674073475</v>
      </c>
      <c r="L570" s="13">
        <f t="shared" ref="L570" si="607">IFERROR(L177/L405,"-")</f>
        <v>0.90426862243315942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3"/>
        <v>0.90095105772131889</v>
      </c>
      <c r="G571" s="13">
        <f t="shared" si="603"/>
        <v>0.90111489946042589</v>
      </c>
      <c r="H571" s="13">
        <f t="shared" si="603"/>
        <v>0.90425308176014674</v>
      </c>
      <c r="I571" s="13">
        <f t="shared" si="603"/>
        <v>0.90426201695607533</v>
      </c>
      <c r="J571" s="13">
        <f t="shared" si="603"/>
        <v>0.90425438496557475</v>
      </c>
      <c r="K571" s="13">
        <f t="shared" si="603"/>
        <v>0.90425291130541097</v>
      </c>
      <c r="L571" s="13">
        <f t="shared" ref="L571" si="608">IFERROR(L178/L406,"-")</f>
        <v>0.90426172621078615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3"/>
        <v>0.90097937154651941</v>
      </c>
      <c r="G572" s="13">
        <f t="shared" si="603"/>
        <v>0.90114129171978985</v>
      </c>
      <c r="H572" s="13">
        <f t="shared" si="603"/>
        <v>0.90423294528385256</v>
      </c>
      <c r="I572" s="13">
        <f t="shared" si="603"/>
        <v>0.90425037752471615</v>
      </c>
      <c r="J572" s="13">
        <f t="shared" si="603"/>
        <v>0.90423512304772025</v>
      </c>
      <c r="K572" s="13">
        <f t="shared" si="603"/>
        <v>0.90424505461470495</v>
      </c>
      <c r="L572" s="13">
        <f t="shared" ref="L572" si="609">IFERROR(L179/L407,"-")</f>
        <v>0.90424867196020609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3"/>
        <v>0.9010787095582542</v>
      </c>
      <c r="G573" s="13">
        <f t="shared" si="603"/>
        <v>0.9015905757822299</v>
      </c>
      <c r="H573" s="13">
        <f t="shared" si="603"/>
        <v>0.90425966654133283</v>
      </c>
      <c r="I573" s="13">
        <f t="shared" si="603"/>
        <v>0.90426564775507445</v>
      </c>
      <c r="J573" s="13">
        <f t="shared" si="603"/>
        <v>0.90426166182100121</v>
      </c>
      <c r="K573" s="13">
        <f t="shared" si="603"/>
        <v>0.90426225548528194</v>
      </c>
      <c r="L573" s="13">
        <f t="shared" ref="L573" si="610">IFERROR(L180/L408,"-")</f>
        <v>0.90426563357659473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11">IFERROR(G212/G442,"-")</f>
        <v>0.65815529878101509</v>
      </c>
      <c r="H575" s="4">
        <f t="shared" si="611"/>
        <v>0.3824634833502869</v>
      </c>
      <c r="I575" s="4">
        <f t="shared" si="611"/>
        <v>0.57770822338112593</v>
      </c>
      <c r="J575" s="4">
        <f t="shared" si="611"/>
        <v>0.54503801364749205</v>
      </c>
      <c r="K575" s="4">
        <f t="shared" si="611"/>
        <v>0.45923540219481918</v>
      </c>
      <c r="L575" s="4">
        <f t="shared" ref="L575" si="612">IFERROR(L212/L442,"-")</f>
        <v>0.38084099301141128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3">IFERROR(G218/G448,"-")</f>
        <v>2</v>
      </c>
      <c r="H576" s="4">
        <f t="shared" si="613"/>
        <v>2</v>
      </c>
      <c r="I576" s="4">
        <f t="shared" si="613"/>
        <v>2</v>
      </c>
      <c r="J576" s="4">
        <f t="shared" si="613"/>
        <v>2</v>
      </c>
      <c r="K576" s="4" t="str">
        <f t="shared" si="613"/>
        <v>-</v>
      </c>
      <c r="L576" s="4" t="str">
        <f t="shared" ref="L576" si="614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5">IFERROR(G220/G450,"-")</f>
        <v>0.85445501111132516</v>
      </c>
      <c r="H577" s="4">
        <f t="shared" si="615"/>
        <v>0.85445501111132516</v>
      </c>
      <c r="I577" s="4">
        <f t="shared" si="615"/>
        <v>0.85445501111132516</v>
      </c>
      <c r="J577" s="4">
        <f t="shared" si="615"/>
        <v>0.85445501111132449</v>
      </c>
      <c r="K577" s="4">
        <f t="shared" si="615"/>
        <v>0.85445501111132605</v>
      </c>
      <c r="L577" s="4">
        <f t="shared" ref="L577" si="616">IFERROR(L220/L450,"-")</f>
        <v>0.85445501111132582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17">IFERROR(G226/G456,"-")</f>
        <v>0.69999999999999973</v>
      </c>
      <c r="H578" s="4">
        <f t="shared" si="617"/>
        <v>0.69999999999999951</v>
      </c>
      <c r="I578" s="4">
        <f t="shared" si="617"/>
        <v>0.69999999999999973</v>
      </c>
      <c r="J578" s="4">
        <f t="shared" si="617"/>
        <v>0.69999999999999984</v>
      </c>
      <c r="K578" s="4">
        <f t="shared" si="617"/>
        <v>0.7</v>
      </c>
      <c r="L578" s="4">
        <f t="shared" ref="L578" si="618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9">IFERROR(G228/G458,"-")</f>
        <v>-</v>
      </c>
      <c r="H579" t="str">
        <f t="shared" si="619"/>
        <v>-</v>
      </c>
      <c r="I579" t="str">
        <f t="shared" si="619"/>
        <v>-</v>
      </c>
      <c r="J579" t="str">
        <f t="shared" si="619"/>
        <v>-</v>
      </c>
      <c r="K579" t="str">
        <f t="shared" si="619"/>
        <v>-</v>
      </c>
      <c r="L579" t="str">
        <f t="shared" ref="L579" si="620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1">IFERROR(G230/G460,"-")</f>
        <v>-</v>
      </c>
      <c r="H580" t="str">
        <f t="shared" si="621"/>
        <v>-</v>
      </c>
      <c r="I580" t="str">
        <f t="shared" si="621"/>
        <v>-</v>
      </c>
      <c r="J580" t="str">
        <f t="shared" si="621"/>
        <v>-</v>
      </c>
      <c r="K580" t="str">
        <f t="shared" si="621"/>
        <v>-</v>
      </c>
      <c r="L580" t="str">
        <f t="shared" ref="L580" si="622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3">IFERROR(G232/G462,"-")</f>
        <v>2.8999999999999986</v>
      </c>
      <c r="H581" s="4">
        <f t="shared" si="623"/>
        <v>2.8999999999999977</v>
      </c>
      <c r="I581" s="4">
        <f t="shared" si="623"/>
        <v>2.8999999999999959</v>
      </c>
      <c r="J581" s="4">
        <f t="shared" si="623"/>
        <v>2.9000000000000012</v>
      </c>
      <c r="K581" s="4">
        <f t="shared" si="623"/>
        <v>2.9000000000000004</v>
      </c>
      <c r="L581" s="4">
        <f t="shared" ref="L581" si="624">IFERROR(L232/L462,"-")</f>
        <v>2.8999999999999986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[1]Other_transformation!F$5</f>
        <v>0</v>
      </c>
      <c r="K582" s="3">
        <f>[1]Other_transformation!G$5</f>
        <v>0</v>
      </c>
      <c r="L582" s="3">
        <f>[1]Other_transformation!H$5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25">G582</f>
        <v>0.63725495042073454</v>
      </c>
      <c r="H583" s="1">
        <f t="shared" si="625"/>
        <v>1.2033404851988687</v>
      </c>
      <c r="I583" s="1">
        <f t="shared" si="625"/>
        <v>0</v>
      </c>
      <c r="J583" s="1">
        <f t="shared" si="625"/>
        <v>0</v>
      </c>
      <c r="K583" s="1">
        <f t="shared" si="625"/>
        <v>0</v>
      </c>
      <c r="L583" s="1">
        <f t="shared" ref="L583" si="626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0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0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27">G587</f>
        <v>0.24852943066408614</v>
      </c>
      <c r="H586" s="3">
        <f t="shared" si="627"/>
        <v>0.46930278922755841</v>
      </c>
      <c r="I586" s="3">
        <f t="shared" si="627"/>
        <v>0</v>
      </c>
      <c r="J586" s="3">
        <f t="shared" si="627"/>
        <v>0</v>
      </c>
      <c r="K586" s="3">
        <f t="shared" si="627"/>
        <v>0</v>
      </c>
      <c r="L586" s="3">
        <f t="shared" si="627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28">SUM(G588:G589)</f>
        <v>0.24852943066408614</v>
      </c>
      <c r="H587" s="1">
        <f t="shared" si="628"/>
        <v>0.46930278922755841</v>
      </c>
      <c r="I587" s="1">
        <f t="shared" si="628"/>
        <v>0</v>
      </c>
      <c r="J587" s="1">
        <f t="shared" si="628"/>
        <v>0</v>
      </c>
      <c r="K587" s="1">
        <f t="shared" si="628"/>
        <v>0</v>
      </c>
      <c r="L587" s="1">
        <f t="shared" ref="L587" si="629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0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0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30">G591+G594</f>
        <v>1.8601472002781225</v>
      </c>
      <c r="H590" s="3">
        <f t="shared" si="630"/>
        <v>3.5125508762954967</v>
      </c>
      <c r="I590" s="3">
        <f t="shared" si="630"/>
        <v>0</v>
      </c>
      <c r="J590" s="3">
        <f t="shared" si="630"/>
        <v>0</v>
      </c>
      <c r="K590" s="3">
        <f t="shared" si="630"/>
        <v>0</v>
      </c>
      <c r="L590" s="3">
        <f t="shared" ref="L590" si="631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32">SUM(G592:G593)</f>
        <v>1.8158579812238815</v>
      </c>
      <c r="H591" s="1">
        <f t="shared" si="632"/>
        <v>3.4289187125741751</v>
      </c>
      <c r="I591" s="1">
        <f t="shared" si="632"/>
        <v>0</v>
      </c>
      <c r="J591" s="1">
        <f t="shared" si="632"/>
        <v>0</v>
      </c>
      <c r="K591" s="1">
        <f t="shared" si="632"/>
        <v>0</v>
      </c>
      <c r="L591" s="1">
        <f t="shared" ref="L591" si="633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0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0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34">SUM(G595:G596)</f>
        <v>4.4289219054241005E-2</v>
      </c>
      <c r="H594" s="1">
        <f t="shared" si="634"/>
        <v>8.3632163721321387E-2</v>
      </c>
      <c r="I594" s="1">
        <f t="shared" si="634"/>
        <v>0</v>
      </c>
      <c r="J594" s="1">
        <f t="shared" si="634"/>
        <v>0</v>
      </c>
      <c r="K594" s="1">
        <f t="shared" si="634"/>
        <v>0</v>
      </c>
      <c r="L594" s="1">
        <f t="shared" ref="L594" si="635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0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0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36">IFERROR(SUM(G584,G588)/SUM(G592,G595),"-")</f>
        <v>0.47619047619047644</v>
      </c>
      <c r="H598" s="4">
        <f t="shared" si="636"/>
        <v>0.47619047619047628</v>
      </c>
      <c r="I598" s="4" t="str">
        <f t="shared" si="636"/>
        <v>-</v>
      </c>
      <c r="J598" s="4" t="str">
        <f t="shared" si="636"/>
        <v>-</v>
      </c>
      <c r="K598" s="4" t="str">
        <f t="shared" si="636"/>
        <v>-</v>
      </c>
      <c r="L598" s="4" t="str">
        <f t="shared" ref="L598" si="637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6"/>
        <v>-</v>
      </c>
      <c r="H599" s="4" t="str">
        <f t="shared" si="636"/>
        <v>-</v>
      </c>
      <c r="I599" s="4" t="str">
        <f t="shared" si="636"/>
        <v>-</v>
      </c>
      <c r="J599" s="4" t="str">
        <f t="shared" si="636"/>
        <v>-</v>
      </c>
      <c r="K599" s="4" t="str">
        <f t="shared" si="636"/>
        <v>-</v>
      </c>
      <c r="L599" s="4" t="str">
        <f t="shared" ref="L599" si="638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[1]Other_transformation!F$12</f>
        <v>0</v>
      </c>
      <c r="K600" s="1">
        <f>[1]Other_transformation!G$12</f>
        <v>0</v>
      </c>
      <c r="L600" s="1">
        <f>[1]Other_transformation!H$12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39">SUM(G602:G603)</f>
        <v>4.963892877973141E-2</v>
      </c>
      <c r="H601" s="1">
        <f t="shared" si="639"/>
        <v>3.3611554622146399E-2</v>
      </c>
      <c r="I601" s="1">
        <f t="shared" si="639"/>
        <v>2.4561503009816851E-2</v>
      </c>
      <c r="J601" s="1">
        <f t="shared" si="639"/>
        <v>0</v>
      </c>
      <c r="K601" s="1">
        <f t="shared" si="639"/>
        <v>0</v>
      </c>
      <c r="L601" s="1">
        <f t="shared" ref="L601" si="640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1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0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0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1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42">G605+G608</f>
        <v>0.18515320434839805</v>
      </c>
      <c r="H604" s="3">
        <f t="shared" si="642"/>
        <v>0.12537109874060606</v>
      </c>
      <c r="I604" s="3">
        <f t="shared" si="642"/>
        <v>9.1614406226616818E-2</v>
      </c>
      <c r="J604" s="3">
        <f t="shared" si="642"/>
        <v>0</v>
      </c>
      <c r="K604" s="3">
        <f t="shared" si="642"/>
        <v>0</v>
      </c>
      <c r="L604" s="3">
        <f t="shared" ref="L604" si="643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44">SUM(G606:G607)</f>
        <v>0.10374536114963859</v>
      </c>
      <c r="H605" s="1">
        <f t="shared" si="644"/>
        <v>7.0248149160285947E-2</v>
      </c>
      <c r="I605" s="1">
        <f t="shared" si="644"/>
        <v>5.1333541290517169E-2</v>
      </c>
      <c r="J605" s="1">
        <f t="shared" si="644"/>
        <v>0</v>
      </c>
      <c r="K605" s="1">
        <f t="shared" si="644"/>
        <v>0</v>
      </c>
      <c r="L605" s="1">
        <f t="shared" ref="L605" si="645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0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0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46">SUM(G609:G610)</f>
        <v>8.1407843198759475E-2</v>
      </c>
      <c r="H608" s="1">
        <f t="shared" si="646"/>
        <v>5.5122949580320109E-2</v>
      </c>
      <c r="I608" s="1">
        <f t="shared" si="646"/>
        <v>4.0280864936099642E-2</v>
      </c>
      <c r="J608" s="1">
        <f t="shared" si="646"/>
        <v>0</v>
      </c>
      <c r="K608" s="1">
        <f t="shared" si="646"/>
        <v>0</v>
      </c>
      <c r="L608" s="1">
        <f t="shared" ref="L608" si="647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0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0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48">IFERROR(G602/SUM(G606,G609),"-")</f>
        <v>0.26809651474530849</v>
      </c>
      <c r="H612">
        <f t="shared" si="648"/>
        <v>0.26809651474530832</v>
      </c>
      <c r="I612">
        <f t="shared" si="648"/>
        <v>0.26809651474530843</v>
      </c>
      <c r="J612" t="str">
        <f t="shared" si="648"/>
        <v>-</v>
      </c>
      <c r="K612" t="str">
        <f t="shared" si="648"/>
        <v>-</v>
      </c>
      <c r="L612" t="str">
        <f t="shared" ref="L612" si="649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8"/>
        <v>-</v>
      </c>
      <c r="H613" t="str">
        <f t="shared" si="648"/>
        <v>-</v>
      </c>
      <c r="I613" t="str">
        <f t="shared" si="648"/>
        <v>-</v>
      </c>
      <c r="J613" t="str">
        <f t="shared" si="648"/>
        <v>-</v>
      </c>
      <c r="K613" t="str">
        <f t="shared" si="648"/>
        <v>-</v>
      </c>
      <c r="L613" t="str">
        <f t="shared" ref="L613" si="650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51">G615+G616+G621</f>
        <v>10.623005809141791</v>
      </c>
      <c r="H614" s="3">
        <f t="shared" ref="H614" si="652">H615+H616+H621</f>
        <v>10.41385524357835</v>
      </c>
      <c r="I614" s="3">
        <f t="shared" ref="I614" si="653">I615+I616+I621</f>
        <v>11.131090173828579</v>
      </c>
      <c r="J614" s="3">
        <f t="shared" ref="J614" si="654">J615+J616+J621</f>
        <v>11.933722318095532</v>
      </c>
      <c r="K614" s="3">
        <f t="shared" ref="K614:L614" si="655">K615+K616+K621</f>
        <v>14.438968667393471</v>
      </c>
      <c r="L614" s="3">
        <f t="shared" si="655"/>
        <v>17.718682434632758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[1]Other_transformation!F$19</f>
        <v>4.3847690601567733</v>
      </c>
      <c r="K615" s="1">
        <f>[1]Other_transformation!G$19</f>
        <v>5.9310556527778155</v>
      </c>
      <c r="L615" s="1">
        <f>[1]Other_transformation!H$19</f>
        <v>7.7554595964000024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[1]Other_transformation!F$20</f>
        <v>7.5489532579387584</v>
      </c>
      <c r="K616" s="1">
        <f>[1]Other_transformation!G$20</f>
        <v>8.5079130146156547</v>
      </c>
      <c r="L616" s="1">
        <f>[1]Other_transformation!H$20</f>
        <v>9.9632228382327561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7.5489532579387584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8.4077922608648503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9.8445452288198041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0.10012075375080459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0.11867760941295262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[1]Other_transformation!F$21</f>
        <v>0</v>
      </c>
      <c r="K621" s="1">
        <f>[1]Other_transformation!G$21</f>
        <v>0</v>
      </c>
      <c r="L621" s="1">
        <f>[1]Other_transformation!H$21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0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0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56">G625+G626+G631</f>
        <v>0.12476475197978865</v>
      </c>
      <c r="H624" s="3">
        <f t="shared" ref="H624" si="657">H625+H626+H631</f>
        <v>0.12058173718996097</v>
      </c>
      <c r="I624" s="3">
        <f t="shared" ref="I624" si="658">I625+I626+I631</f>
        <v>0.13492647229875715</v>
      </c>
      <c r="J624" s="3">
        <f t="shared" ref="J624" si="659">J625+J626+J631</f>
        <v>0.15097906515877507</v>
      </c>
      <c r="K624" s="3">
        <f t="shared" ref="K624:L624" si="660">K625+K626+K631</f>
        <v>0.16815584521729707</v>
      </c>
      <c r="L624" s="3">
        <f t="shared" si="660"/>
        <v>0.1968909045763963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61">SUM(G627:G630)</f>
        <v>0.12476475197978865</v>
      </c>
      <c r="H626" s="1">
        <f t="shared" si="661"/>
        <v>0.12058173718996097</v>
      </c>
      <c r="I626" s="1">
        <f t="shared" si="661"/>
        <v>0.13492647229875715</v>
      </c>
      <c r="J626" s="1">
        <f t="shared" si="661"/>
        <v>0.15097906515877507</v>
      </c>
      <c r="K626" s="1">
        <f t="shared" si="661"/>
        <v>0.16815584521729707</v>
      </c>
      <c r="L626" s="1">
        <f t="shared" ref="L626" si="662">SUM(L627:L630)</f>
        <v>0.1968909045763963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0.15097906515877507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0.16815584521729707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0.1968909045763963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3">SUM(G632:G633)</f>
        <v>0</v>
      </c>
      <c r="H631" s="1">
        <f t="shared" si="663"/>
        <v>0</v>
      </c>
      <c r="I631" s="1">
        <f t="shared" si="663"/>
        <v>0</v>
      </c>
      <c r="J631" s="1">
        <f t="shared" si="663"/>
        <v>0</v>
      </c>
      <c r="K631" s="1">
        <f t="shared" si="663"/>
        <v>0</v>
      </c>
      <c r="L631" s="1">
        <f t="shared" ref="L631" si="664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0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0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5">G635+G636+G641</f>
        <v>0</v>
      </c>
      <c r="H634" s="3">
        <f t="shared" ref="H634" si="666">H635+H636+H641</f>
        <v>0</v>
      </c>
      <c r="I634" s="3">
        <f t="shared" ref="I634" si="667">I635+I636+I641</f>
        <v>0</v>
      </c>
      <c r="J634" s="3">
        <f t="shared" ref="J634" si="668">J635+J636+J641</f>
        <v>0</v>
      </c>
      <c r="K634" s="3">
        <f t="shared" ref="K634:L634" si="669">K635+K636+K641</f>
        <v>0</v>
      </c>
      <c r="L634" s="3">
        <f t="shared" si="669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70">SUM(G637:G640)</f>
        <v>0</v>
      </c>
      <c r="H636" s="1">
        <f t="shared" ref="H636" si="671">SUM(H637:H640)</f>
        <v>0</v>
      </c>
      <c r="I636" s="1">
        <f t="shared" ref="I636" si="672">SUM(I637:I640)</f>
        <v>0</v>
      </c>
      <c r="J636" s="1">
        <f t="shared" ref="J636" si="673">SUM(J637:J640)</f>
        <v>0</v>
      </c>
      <c r="K636" s="1">
        <f t="shared" ref="K636:L636" si="674">SUM(K637:K640)</f>
        <v>0</v>
      </c>
      <c r="L636" s="1">
        <f t="shared" si="674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5">SUM(G642:G643)</f>
        <v>0</v>
      </c>
      <c r="H641" s="1">
        <f t="shared" ref="H641" si="676">SUM(H642:H643)</f>
        <v>0</v>
      </c>
      <c r="I641" s="1">
        <f t="shared" ref="I641" si="677">SUM(I642:I643)</f>
        <v>0</v>
      </c>
      <c r="J641" s="1">
        <f t="shared" ref="J641" si="678">SUM(J642:J643)</f>
        <v>0</v>
      </c>
      <c r="K641" s="1">
        <f t="shared" ref="K641:L641" si="679">SUM(K642:K643)</f>
        <v>0</v>
      </c>
      <c r="L641" s="1">
        <f t="shared" si="679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0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0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80">G645+G646+G651</f>
        <v>23.266641044098147</v>
      </c>
      <c r="H644" s="3">
        <f t="shared" ref="H644" si="681">H645+H646+H651</f>
        <v>22.907021784315148</v>
      </c>
      <c r="I644" s="3">
        <f t="shared" ref="I644" si="682">I645+I646+I651</f>
        <v>24.140253934054879</v>
      </c>
      <c r="J644" s="3">
        <f t="shared" ref="J644" si="683">J645+J646+J651</f>
        <v>25.520325428127038</v>
      </c>
      <c r="K644" s="3">
        <f t="shared" ref="K644:L644" si="684">K645+K646+K651</f>
        <v>31.562447051127037</v>
      </c>
      <c r="L644" s="3">
        <f t="shared" si="684"/>
        <v>39.277146226876098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12.540439512048358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16.962819166944548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22.180614445703991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85">SUM(G647:G650)</f>
        <v>10.726203963062384</v>
      </c>
      <c r="H646" s="1">
        <f t="shared" ref="H646" si="686">SUM(H647:H650)</f>
        <v>10.366584205845502</v>
      </c>
      <c r="I646" s="1">
        <f t="shared" ref="I646" si="687">SUM(I647:I650)</f>
        <v>11.599821575627438</v>
      </c>
      <c r="J646" s="1">
        <f t="shared" ref="J646" si="688">SUM(J647:J650)</f>
        <v>12.979885916078681</v>
      </c>
      <c r="K646" s="1">
        <f t="shared" ref="K646:L646" si="689">SUM(K647:K650)</f>
        <v>14.599627884182489</v>
      </c>
      <c r="L646" s="1">
        <f t="shared" si="689"/>
        <v>17.096531781172111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12.979885916078681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14.456598235967054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16.926992339153607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0.14302964821543498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0.16953944201850374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90">SUM(G652:G653)</f>
        <v>0</v>
      </c>
      <c r="H651" s="1">
        <f t="shared" ref="H651" si="691">SUM(H652:H653)</f>
        <v>0</v>
      </c>
      <c r="I651" s="1">
        <f t="shared" ref="I651" si="692">SUM(I652:I653)</f>
        <v>0</v>
      </c>
      <c r="J651" s="1">
        <f t="shared" ref="J651" si="693">SUM(J652:J653)</f>
        <v>0</v>
      </c>
      <c r="K651" s="1">
        <f t="shared" ref="K651:L651" si="694">SUM(K652:K653)</f>
        <v>0</v>
      </c>
      <c r="L651" s="1">
        <f t="shared" si="694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0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0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5">IFERROR(SUM(F635,F625,F615)/F645,"-")</f>
        <v>0.34965034965034963</v>
      </c>
      <c r="G655" s="4">
        <f t="shared" si="695"/>
        <v>0.34965034965035008</v>
      </c>
      <c r="H655" s="4">
        <f t="shared" si="695"/>
        <v>0.34965034965034969</v>
      </c>
      <c r="I655" s="4">
        <f t="shared" si="695"/>
        <v>0.34965034965035019</v>
      </c>
      <c r="J655" s="4">
        <f t="shared" si="695"/>
        <v>0.34965034965035002</v>
      </c>
      <c r="K655" s="4">
        <f t="shared" si="695"/>
        <v>0.34965034965034975</v>
      </c>
      <c r="L655" s="4">
        <f t="shared" ref="L655" si="696">IFERROR(SUM(L635,L625,L615)/L645,"-")</f>
        <v>0.34965034965034991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7">IFERROR(SUM(F637,F627,F617)/F647,"-")</f>
        <v>0.59322033898305127</v>
      </c>
      <c r="G656" s="4">
        <f t="shared" si="697"/>
        <v>0.59322033898305071</v>
      </c>
      <c r="H656" s="4">
        <f t="shared" si="697"/>
        <v>0.59322033898305138</v>
      </c>
      <c r="I656" s="4">
        <f t="shared" si="697"/>
        <v>0.59322033898305082</v>
      </c>
      <c r="J656" s="4">
        <f t="shared" si="697"/>
        <v>0.59322033898305171</v>
      </c>
      <c r="K656" s="4">
        <f t="shared" si="697"/>
        <v>0.59322033898305071</v>
      </c>
      <c r="L656" s="4">
        <f t="shared" ref="L656" si="698">IFERROR(SUM(L637,L627,L617)/L647,"-")</f>
        <v>0.59322033898305038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7"/>
        <v>-</v>
      </c>
      <c r="G657" s="4" t="str">
        <f t="shared" si="697"/>
        <v>-</v>
      </c>
      <c r="H657" s="4" t="str">
        <f t="shared" si="697"/>
        <v>-</v>
      </c>
      <c r="I657" s="4" t="str">
        <f t="shared" si="697"/>
        <v>-</v>
      </c>
      <c r="J657" s="4" t="str">
        <f t="shared" si="697"/>
        <v>-</v>
      </c>
      <c r="K657" s="4" t="str">
        <f t="shared" si="697"/>
        <v>-</v>
      </c>
      <c r="L657" s="4" t="str">
        <f t="shared" ref="L657" si="699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7"/>
        <v>-</v>
      </c>
      <c r="G658" s="4" t="str">
        <f t="shared" si="697"/>
        <v>-</v>
      </c>
      <c r="H658" s="4" t="str">
        <f t="shared" si="697"/>
        <v>-</v>
      </c>
      <c r="I658" s="4" t="str">
        <f t="shared" si="697"/>
        <v>-</v>
      </c>
      <c r="J658" s="4" t="str">
        <f t="shared" si="697"/>
        <v>-</v>
      </c>
      <c r="K658" s="4">
        <f t="shared" si="697"/>
        <v>0.70000000000000073</v>
      </c>
      <c r="L658" s="4">
        <f t="shared" ref="L658" si="700">IFERROR(SUM(L639,L629,L619)/L649,"-")</f>
        <v>0.70000000000000007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7"/>
        <v>-</v>
      </c>
      <c r="G659" s="4" t="str">
        <f t="shared" si="697"/>
        <v>-</v>
      </c>
      <c r="H659" s="4" t="str">
        <f t="shared" si="697"/>
        <v>-</v>
      </c>
      <c r="I659" s="4" t="str">
        <f t="shared" si="697"/>
        <v>-</v>
      </c>
      <c r="J659" s="4" t="str">
        <f t="shared" si="697"/>
        <v>-</v>
      </c>
      <c r="K659" s="4" t="str">
        <f t="shared" si="697"/>
        <v>-</v>
      </c>
      <c r="L659" s="4" t="str">
        <f t="shared" ref="L659" si="701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2">IFERROR(SUM(F642,F632,F622)/F652,"-")</f>
        <v>-</v>
      </c>
      <c r="G660" s="4" t="str">
        <f t="shared" si="702"/>
        <v>-</v>
      </c>
      <c r="H660" s="4" t="str">
        <f t="shared" si="702"/>
        <v>-</v>
      </c>
      <c r="I660" s="4" t="str">
        <f t="shared" si="702"/>
        <v>-</v>
      </c>
      <c r="J660" s="4" t="str">
        <f t="shared" si="702"/>
        <v>-</v>
      </c>
      <c r="K660" s="4" t="str">
        <f t="shared" si="702"/>
        <v>-</v>
      </c>
      <c r="L660" s="4" t="str">
        <f t="shared" ref="L660" si="703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2"/>
        <v>-</v>
      </c>
      <c r="G661" s="4" t="str">
        <f t="shared" si="702"/>
        <v>-</v>
      </c>
      <c r="H661" s="4" t="str">
        <f t="shared" si="702"/>
        <v>-</v>
      </c>
      <c r="I661" s="4" t="str">
        <f t="shared" si="702"/>
        <v>-</v>
      </c>
      <c r="J661" s="4" t="str">
        <f t="shared" si="702"/>
        <v>-</v>
      </c>
      <c r="K661" s="4" t="str">
        <f t="shared" si="702"/>
        <v>-</v>
      </c>
      <c r="L661" s="4" t="str">
        <f t="shared" ref="L661" si="704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05">SUM(G663,G667,G676)</f>
        <v>5.2385901576496559E-3</v>
      </c>
      <c r="H662" s="3">
        <f t="shared" si="705"/>
        <v>5.2591998691254478E-3</v>
      </c>
      <c r="I662" s="3">
        <f t="shared" si="705"/>
        <v>7.4055708569680792E-3</v>
      </c>
      <c r="J662" s="3">
        <f t="shared" si="705"/>
        <v>5.5131804345032167</v>
      </c>
      <c r="K662" s="3">
        <f t="shared" si="705"/>
        <v>6.9300136939994559</v>
      </c>
      <c r="L662" s="3">
        <f t="shared" ref="L662" si="706">SUM(L663,L667,L676)</f>
        <v>7.5453277926652245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[1]Other_transformation!F$28</f>
        <v>5.5131804345032167</v>
      </c>
      <c r="K663" s="1">
        <f>[1]Other_transformation!G$28</f>
        <v>6.9300136939994559</v>
      </c>
      <c r="L663" s="1">
        <f>[1]Other_transformation!H$28</f>
        <v>7.5453277926652245</v>
      </c>
      <c r="N663" s="1"/>
    </row>
    <row r="664" spans="2:14" x14ac:dyDescent="0.35">
      <c r="B664" t="str">
        <f t="shared" ref="B664:B675" si="707">B663</f>
        <v>SPS1</v>
      </c>
      <c r="C664" t="str">
        <f t="shared" ref="C664:C675" si="708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5.5131804345032167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6.9300136939994559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7.5453277926652245</v>
      </c>
      <c r="N664" s="1"/>
    </row>
    <row r="665" spans="2:14" x14ac:dyDescent="0.35">
      <c r="B665" t="str">
        <f t="shared" ref="B665" si="709">B664</f>
        <v>SPS1</v>
      </c>
      <c r="C665" t="str">
        <f t="shared" ref="C665" si="710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0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0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0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0</v>
      </c>
      <c r="N666" s="1"/>
    </row>
    <row r="667" spans="2:14" x14ac:dyDescent="0.35">
      <c r="B667" t="str">
        <f t="shared" si="707"/>
        <v>SPS1</v>
      </c>
      <c r="C667" t="str">
        <f t="shared" si="708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N667" s="1"/>
    </row>
    <row r="668" spans="2:14" x14ac:dyDescent="0.35">
      <c r="B668" t="str">
        <f t="shared" si="707"/>
        <v>SPS1</v>
      </c>
      <c r="C668" t="str">
        <f t="shared" si="708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N668" s="1"/>
    </row>
    <row r="669" spans="2:14" x14ac:dyDescent="0.35">
      <c r="B669" t="str">
        <f t="shared" si="707"/>
        <v>SPS1</v>
      </c>
      <c r="C669" t="str">
        <f t="shared" si="708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N669" s="1"/>
    </row>
    <row r="670" spans="2:14" x14ac:dyDescent="0.35">
      <c r="B670" t="str">
        <f t="shared" si="707"/>
        <v>SPS1</v>
      </c>
      <c r="C670" t="str">
        <f t="shared" si="708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1">G667-G673</f>
        <v>0</v>
      </c>
      <c r="H670" s="1">
        <f t="shared" si="711"/>
        <v>0</v>
      </c>
      <c r="I670" s="1">
        <f t="shared" si="711"/>
        <v>0</v>
      </c>
      <c r="J670" s="1">
        <f t="shared" si="711"/>
        <v>0</v>
      </c>
      <c r="K670" s="1">
        <f t="shared" si="711"/>
        <v>0</v>
      </c>
      <c r="L670" s="1">
        <f t="shared" ref="L670" si="712">L667-L673</f>
        <v>0</v>
      </c>
      <c r="N670" s="1"/>
    </row>
    <row r="671" spans="2:14" x14ac:dyDescent="0.35">
      <c r="B671" t="str">
        <f t="shared" si="707"/>
        <v>SPS1</v>
      </c>
      <c r="C671" t="str">
        <f t="shared" si="708"/>
        <v>CH</v>
      </c>
      <c r="D671" t="s">
        <v>607</v>
      </c>
      <c r="E671" s="5" t="s">
        <v>8</v>
      </c>
      <c r="F671" s="1">
        <f t="shared" ref="F671:K671" si="713">F668-F674</f>
        <v>0</v>
      </c>
      <c r="G671" s="1">
        <f t="shared" si="713"/>
        <v>0</v>
      </c>
      <c r="H671" s="1">
        <f t="shared" si="713"/>
        <v>0</v>
      </c>
      <c r="I671" s="1">
        <f t="shared" si="713"/>
        <v>0</v>
      </c>
      <c r="J671" s="1">
        <f t="shared" si="713"/>
        <v>0</v>
      </c>
      <c r="K671" s="1">
        <f t="shared" si="713"/>
        <v>0</v>
      </c>
      <c r="L671" s="1">
        <f t="shared" ref="L671" si="714">L668-L674</f>
        <v>0</v>
      </c>
      <c r="N671" s="1"/>
    </row>
    <row r="672" spans="2:14" x14ac:dyDescent="0.35">
      <c r="B672" t="str">
        <f t="shared" si="707"/>
        <v>SPS1</v>
      </c>
      <c r="C672" t="str">
        <f t="shared" si="708"/>
        <v>CH</v>
      </c>
      <c r="D672" t="s">
        <v>608</v>
      </c>
      <c r="E672" s="5" t="s">
        <v>8</v>
      </c>
      <c r="F672" s="1">
        <f t="shared" ref="F672:K672" si="715">F669-F675</f>
        <v>0</v>
      </c>
      <c r="G672" s="1">
        <f t="shared" si="715"/>
        <v>0</v>
      </c>
      <c r="H672" s="1">
        <f t="shared" si="715"/>
        <v>0</v>
      </c>
      <c r="I672" s="1">
        <f t="shared" si="715"/>
        <v>0</v>
      </c>
      <c r="J672" s="1">
        <f t="shared" si="715"/>
        <v>0</v>
      </c>
      <c r="K672" s="1">
        <f t="shared" si="715"/>
        <v>0</v>
      </c>
      <c r="L672" s="1">
        <f t="shared" ref="L672" si="716">L669-L675</f>
        <v>0</v>
      </c>
      <c r="N672" s="1"/>
    </row>
    <row r="673" spans="2:14" x14ac:dyDescent="0.35">
      <c r="B673" t="str">
        <f t="shared" si="707"/>
        <v>SPS1</v>
      </c>
      <c r="C673" t="str">
        <f t="shared" si="708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7">SUM(G674:G675)</f>
        <v>0</v>
      </c>
      <c r="H673" s="1">
        <f t="shared" si="717"/>
        <v>0</v>
      </c>
      <c r="I673" s="1">
        <f t="shared" si="717"/>
        <v>0</v>
      </c>
      <c r="J673" s="1">
        <f t="shared" si="717"/>
        <v>0</v>
      </c>
      <c r="K673" s="1">
        <f t="shared" si="717"/>
        <v>0</v>
      </c>
      <c r="L673" s="1">
        <f t="shared" ref="L673" si="718">SUM(L674:L675)</f>
        <v>0</v>
      </c>
      <c r="N673" s="1"/>
    </row>
    <row r="674" spans="2:14" x14ac:dyDescent="0.35">
      <c r="B674" t="str">
        <f t="shared" si="707"/>
        <v>SPS1</v>
      </c>
      <c r="C674" t="str">
        <f t="shared" si="708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N674" s="1"/>
    </row>
    <row r="675" spans="2:14" x14ac:dyDescent="0.35">
      <c r="B675" t="str">
        <f t="shared" si="707"/>
        <v>SPS1</v>
      </c>
      <c r="C675" t="str">
        <f t="shared" si="708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N675" s="1"/>
    </row>
    <row r="676" spans="2:14" x14ac:dyDescent="0.35">
      <c r="B676" t="str">
        <f t="shared" ref="B676:B678" si="719">B675</f>
        <v>SPS1</v>
      </c>
      <c r="C676" t="str">
        <f t="shared" ref="C676:C678" si="720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1">SUM(G677:G678)</f>
        <v>0</v>
      </c>
      <c r="H676" s="1">
        <f t="shared" si="721"/>
        <v>0</v>
      </c>
      <c r="I676" s="1">
        <f t="shared" si="721"/>
        <v>0</v>
      </c>
      <c r="J676" s="1">
        <f t="shared" si="721"/>
        <v>0</v>
      </c>
      <c r="K676" s="1">
        <f t="shared" si="721"/>
        <v>0</v>
      </c>
      <c r="L676" s="1">
        <f t="shared" ref="L676" si="722">SUM(L677:L678)</f>
        <v>0</v>
      </c>
      <c r="N676" s="1"/>
    </row>
    <row r="677" spans="2:14" x14ac:dyDescent="0.35">
      <c r="B677" t="str">
        <f t="shared" si="719"/>
        <v>SPS1</v>
      </c>
      <c r="C677" t="str">
        <f t="shared" si="720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N677" s="1"/>
    </row>
    <row r="678" spans="2:14" x14ac:dyDescent="0.35">
      <c r="B678" t="str">
        <f t="shared" si="719"/>
        <v>SPS1</v>
      </c>
      <c r="C678" t="str">
        <f t="shared" si="720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23">SUM(G680,G684,G686,G695)</f>
        <v>9.3546252815172488E-3</v>
      </c>
      <c r="H679" s="3">
        <f t="shared" si="723"/>
        <v>9.3914283377240088E-3</v>
      </c>
      <c r="I679" s="3">
        <f t="shared" si="723"/>
        <v>1.3224233673157285E-2</v>
      </c>
      <c r="J679" s="3">
        <f t="shared" si="723"/>
        <v>9.8449650616128892</v>
      </c>
      <c r="K679" s="3">
        <f t="shared" si="723"/>
        <v>12.375024453570473</v>
      </c>
      <c r="L679" s="3">
        <f t="shared" ref="L679" si="724">SUM(L680,L684,L686,L695)</f>
        <v>13.473799629759322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25">SUM(G681:G683)</f>
        <v>9.3546252815172488E-3</v>
      </c>
      <c r="H680" s="1">
        <f t="shared" si="725"/>
        <v>9.3914283377240088E-3</v>
      </c>
      <c r="I680" s="1">
        <f t="shared" si="725"/>
        <v>1.3224233673157285E-2</v>
      </c>
      <c r="J680" s="1">
        <f t="shared" si="725"/>
        <v>9.8449650616128892</v>
      </c>
      <c r="K680" s="1">
        <f t="shared" si="725"/>
        <v>12.375024453570473</v>
      </c>
      <c r="L680" s="1">
        <f t="shared" ref="L680" si="726">SUM(L681:L683)</f>
        <v>13.473799629759322</v>
      </c>
      <c r="N680" s="1"/>
    </row>
    <row r="681" spans="2:14" x14ac:dyDescent="0.35">
      <c r="B681" t="str">
        <f t="shared" ref="B681:B697" si="727">B680</f>
        <v>SPS1</v>
      </c>
      <c r="C681" t="str">
        <f t="shared" ref="C681:C697" si="728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9.8449650616128892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12.375024453570473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13.473799629759322</v>
      </c>
      <c r="N681" s="1"/>
    </row>
    <row r="682" spans="2:14" x14ac:dyDescent="0.35">
      <c r="B682" t="str">
        <f t="shared" ref="B682" si="729">B681</f>
        <v>SPS1</v>
      </c>
      <c r="C682" t="str">
        <f t="shared" ref="C682" si="730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0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0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0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0</v>
      </c>
      <c r="N683" s="1"/>
    </row>
    <row r="684" spans="2:14" x14ac:dyDescent="0.35">
      <c r="B684" t="str">
        <f t="shared" ref="B684:B685" si="731">B683</f>
        <v>SPS1</v>
      </c>
      <c r="C684" t="str">
        <f t="shared" ref="C684:C685" si="732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3">G685</f>
        <v>0</v>
      </c>
      <c r="H684" s="1">
        <f t="shared" si="733"/>
        <v>0</v>
      </c>
      <c r="I684" s="1">
        <f t="shared" si="733"/>
        <v>0</v>
      </c>
      <c r="J684" s="1">
        <f t="shared" si="733"/>
        <v>0</v>
      </c>
      <c r="K684" s="1">
        <f t="shared" si="733"/>
        <v>0</v>
      </c>
      <c r="L684" s="1">
        <f t="shared" si="733"/>
        <v>0</v>
      </c>
      <c r="N684" s="1"/>
    </row>
    <row r="685" spans="2:14" x14ac:dyDescent="0.35">
      <c r="B685" t="str">
        <f t="shared" si="731"/>
        <v>SPS1</v>
      </c>
      <c r="C685" t="str">
        <f t="shared" si="732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0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4">SUM(G687:G688)</f>
        <v>0</v>
      </c>
      <c r="H686" s="1">
        <f t="shared" si="734"/>
        <v>0</v>
      </c>
      <c r="I686" s="1">
        <f t="shared" si="734"/>
        <v>0</v>
      </c>
      <c r="J686" s="1">
        <f t="shared" si="734"/>
        <v>0</v>
      </c>
      <c r="K686" s="1">
        <f t="shared" si="734"/>
        <v>0</v>
      </c>
      <c r="L686" s="1">
        <f t="shared" ref="L686" si="735">SUM(L687:L688)</f>
        <v>0</v>
      </c>
      <c r="N686" s="1"/>
    </row>
    <row r="687" spans="2:14" x14ac:dyDescent="0.35">
      <c r="B687" t="str">
        <f t="shared" si="727"/>
        <v>SPS1</v>
      </c>
      <c r="C687" t="str">
        <f t="shared" si="728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N687" s="1"/>
    </row>
    <row r="688" spans="2:14" x14ac:dyDescent="0.35">
      <c r="B688" t="str">
        <f t="shared" si="727"/>
        <v>SPS1</v>
      </c>
      <c r="C688" t="str">
        <f t="shared" si="728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N688" s="1"/>
    </row>
    <row r="689" spans="2:14" x14ac:dyDescent="0.35">
      <c r="B689" t="str">
        <f t="shared" si="727"/>
        <v>SPS1</v>
      </c>
      <c r="C689" t="str">
        <f t="shared" si="728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6">G686-G692</f>
        <v>0</v>
      </c>
      <c r="H689" s="1">
        <f t="shared" si="736"/>
        <v>0</v>
      </c>
      <c r="I689" s="1">
        <f t="shared" si="736"/>
        <v>0</v>
      </c>
      <c r="J689" s="1">
        <f t="shared" si="736"/>
        <v>0</v>
      </c>
      <c r="K689" s="1">
        <f t="shared" si="736"/>
        <v>0</v>
      </c>
      <c r="L689" s="1">
        <f t="shared" ref="L689" si="737">L686-L692</f>
        <v>0</v>
      </c>
      <c r="N689" s="1"/>
    </row>
    <row r="690" spans="2:14" x14ac:dyDescent="0.35">
      <c r="B690" t="str">
        <f t="shared" si="727"/>
        <v>SPS1</v>
      </c>
      <c r="C690" t="str">
        <f t="shared" si="728"/>
        <v>CH</v>
      </c>
      <c r="D690" t="s">
        <v>609</v>
      </c>
      <c r="E690" s="5" t="s">
        <v>8</v>
      </c>
      <c r="F690" s="1">
        <f t="shared" ref="F690:K690" si="738">F687-F693</f>
        <v>0</v>
      </c>
      <c r="G690" s="1">
        <f t="shared" si="738"/>
        <v>0</v>
      </c>
      <c r="H690" s="1">
        <f t="shared" si="738"/>
        <v>0</v>
      </c>
      <c r="I690" s="1">
        <f t="shared" si="738"/>
        <v>0</v>
      </c>
      <c r="J690" s="1">
        <f t="shared" si="738"/>
        <v>0</v>
      </c>
      <c r="K690" s="1">
        <f t="shared" si="738"/>
        <v>0</v>
      </c>
      <c r="L690" s="1">
        <f t="shared" ref="L690" si="739">L687-L693</f>
        <v>0</v>
      </c>
      <c r="N690" s="1"/>
    </row>
    <row r="691" spans="2:14" x14ac:dyDescent="0.35">
      <c r="B691" t="str">
        <f t="shared" si="727"/>
        <v>SPS1</v>
      </c>
      <c r="C691" t="str">
        <f t="shared" si="728"/>
        <v>CH</v>
      </c>
      <c r="D691" t="s">
        <v>610</v>
      </c>
      <c r="E691" s="5" t="s">
        <v>8</v>
      </c>
      <c r="F691" s="1">
        <f t="shared" ref="F691:K691" si="740">F688-F694</f>
        <v>0</v>
      </c>
      <c r="G691" s="1">
        <f t="shared" si="740"/>
        <v>0</v>
      </c>
      <c r="H691" s="1">
        <f t="shared" si="740"/>
        <v>0</v>
      </c>
      <c r="I691" s="1">
        <f t="shared" si="740"/>
        <v>0</v>
      </c>
      <c r="J691" s="1">
        <f t="shared" si="740"/>
        <v>0</v>
      </c>
      <c r="K691" s="1">
        <f t="shared" si="740"/>
        <v>0</v>
      </c>
      <c r="L691" s="1">
        <f t="shared" ref="L691" si="741">L688-L694</f>
        <v>0</v>
      </c>
      <c r="N691" s="1"/>
    </row>
    <row r="692" spans="2:14" x14ac:dyDescent="0.35">
      <c r="B692" t="str">
        <f t="shared" si="727"/>
        <v>SPS1</v>
      </c>
      <c r="C692" t="str">
        <f t="shared" si="728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2">SUM(G693:G694)</f>
        <v>0</v>
      </c>
      <c r="H692" s="1">
        <f t="shared" si="742"/>
        <v>0</v>
      </c>
      <c r="I692" s="1">
        <f t="shared" si="742"/>
        <v>0</v>
      </c>
      <c r="J692" s="1">
        <f t="shared" si="742"/>
        <v>0</v>
      </c>
      <c r="K692" s="1">
        <f t="shared" si="742"/>
        <v>0</v>
      </c>
      <c r="L692" s="1">
        <f t="shared" ref="L692" si="743">SUM(L693:L694)</f>
        <v>0</v>
      </c>
      <c r="N692" s="1"/>
    </row>
    <row r="693" spans="2:14" x14ac:dyDescent="0.35">
      <c r="B693" t="str">
        <f t="shared" si="727"/>
        <v>SPS1</v>
      </c>
      <c r="C693" t="str">
        <f t="shared" si="728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4">IFERROR(G674/G668,0)*G687</f>
        <v>0</v>
      </c>
      <c r="H693" s="1">
        <f t="shared" si="744"/>
        <v>0</v>
      </c>
      <c r="I693" s="1">
        <f t="shared" si="744"/>
        <v>0</v>
      </c>
      <c r="J693" s="1">
        <f t="shared" si="744"/>
        <v>0</v>
      </c>
      <c r="K693" s="1">
        <f t="shared" si="744"/>
        <v>0</v>
      </c>
      <c r="L693" s="1">
        <f t="shared" ref="L693" si="745">IFERROR(L674/L668,0)*L687</f>
        <v>0</v>
      </c>
      <c r="N693" s="1"/>
    </row>
    <row r="694" spans="2:14" x14ac:dyDescent="0.35">
      <c r="B694" t="str">
        <f t="shared" si="727"/>
        <v>SPS1</v>
      </c>
      <c r="C694" t="str">
        <f t="shared" si="728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4"/>
        <v>0</v>
      </c>
      <c r="H694" s="1">
        <f t="shared" si="744"/>
        <v>0</v>
      </c>
      <c r="I694" s="1">
        <f t="shared" si="744"/>
        <v>0</v>
      </c>
      <c r="J694" s="1">
        <f t="shared" si="744"/>
        <v>0</v>
      </c>
      <c r="K694" s="1">
        <f t="shared" si="744"/>
        <v>0</v>
      </c>
      <c r="L694" s="1">
        <f t="shared" ref="L694" si="746">IFERROR(L675/L669,0)*L688</f>
        <v>0</v>
      </c>
      <c r="N694" s="1"/>
    </row>
    <row r="695" spans="2:14" x14ac:dyDescent="0.35">
      <c r="B695" t="str">
        <f t="shared" si="727"/>
        <v>SPS1</v>
      </c>
      <c r="C695" t="str">
        <f t="shared" si="728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7">SUM(G696:G697)</f>
        <v>0</v>
      </c>
      <c r="H695" s="1">
        <f t="shared" si="747"/>
        <v>0</v>
      </c>
      <c r="I695" s="1">
        <f t="shared" si="747"/>
        <v>0</v>
      </c>
      <c r="J695" s="1">
        <f t="shared" si="747"/>
        <v>0</v>
      </c>
      <c r="K695" s="1">
        <f t="shared" si="747"/>
        <v>0</v>
      </c>
      <c r="L695" s="1">
        <f t="shared" ref="L695" si="748">SUM(L696:L697)</f>
        <v>0</v>
      </c>
      <c r="N695" s="1"/>
    </row>
    <row r="696" spans="2:14" x14ac:dyDescent="0.35">
      <c r="B696" t="str">
        <f t="shared" si="727"/>
        <v>SPS1</v>
      </c>
      <c r="C696" t="str">
        <f t="shared" si="728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N696" s="1"/>
    </row>
    <row r="697" spans="2:14" x14ac:dyDescent="0.35">
      <c r="B697" t="str">
        <f t="shared" si="727"/>
        <v>SPS1</v>
      </c>
      <c r="C697" t="str">
        <f t="shared" si="728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9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50">IFERROR(G664/G681,"-")</f>
        <v>0.55999999999999961</v>
      </c>
      <c r="H699" s="4">
        <f t="shared" si="750"/>
        <v>0.56000000000000028</v>
      </c>
      <c r="I699" s="4">
        <f t="shared" si="750"/>
        <v>0.55999999999999994</v>
      </c>
      <c r="J699" s="4">
        <f t="shared" si="750"/>
        <v>0.55999999999999983</v>
      </c>
      <c r="K699" s="4">
        <f t="shared" si="750"/>
        <v>0.55999999999999928</v>
      </c>
      <c r="L699" s="4">
        <f t="shared" ref="L699" si="751">IFERROR(L664/L681,"-")</f>
        <v>0.56000000000000028</v>
      </c>
      <c r="N699" s="1"/>
    </row>
    <row r="700" spans="2:14" x14ac:dyDescent="0.35">
      <c r="B700" t="str">
        <f t="shared" ref="B700:B705" si="752">B699</f>
        <v>SPS1</v>
      </c>
      <c r="C700" t="str">
        <f t="shared" si="749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3">IFERROR(G665/G682,"-")</f>
        <v>-</v>
      </c>
      <c r="H700" s="4" t="str">
        <f t="shared" si="753"/>
        <v>-</v>
      </c>
      <c r="I700" s="4" t="str">
        <f t="shared" si="753"/>
        <v>-</v>
      </c>
      <c r="J700" s="4" t="str">
        <f t="shared" si="753"/>
        <v>-</v>
      </c>
      <c r="K700" s="4" t="str">
        <f t="shared" si="753"/>
        <v>-</v>
      </c>
      <c r="L700" s="4" t="str">
        <f t="shared" ref="L700" si="754">IFERROR(L665/L682,"-")</f>
        <v>-</v>
      </c>
      <c r="N700" s="1"/>
    </row>
    <row r="701" spans="2:14" x14ac:dyDescent="0.35">
      <c r="B701" t="str">
        <f t="shared" si="752"/>
        <v>SPS1</v>
      </c>
      <c r="C701" t="str">
        <f t="shared" si="749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5">IFERROR(G666/SUM(G683,G685),"-")</f>
        <v>-</v>
      </c>
      <c r="H701" s="4" t="str">
        <f t="shared" si="755"/>
        <v>-</v>
      </c>
      <c r="I701" s="4" t="str">
        <f t="shared" si="755"/>
        <v>-</v>
      </c>
      <c r="J701" s="4" t="str">
        <f t="shared" si="755"/>
        <v>-</v>
      </c>
      <c r="K701" s="4" t="str">
        <f t="shared" si="755"/>
        <v>-</v>
      </c>
      <c r="L701" s="4" t="str">
        <f t="shared" ref="L701" si="756">IFERROR(L666/SUM(L683,L685),"-")</f>
        <v>-</v>
      </c>
      <c r="N701" s="1"/>
    </row>
    <row r="702" spans="2:14" x14ac:dyDescent="0.35">
      <c r="B702" t="str">
        <f t="shared" si="752"/>
        <v>SPS1</v>
      </c>
      <c r="C702" t="str">
        <f t="shared" si="749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7">IFERROR(G668/G687,"-")</f>
        <v>-</v>
      </c>
      <c r="H702" s="4" t="str">
        <f t="shared" si="757"/>
        <v>-</v>
      </c>
      <c r="I702" s="4" t="str">
        <f t="shared" si="757"/>
        <v>-</v>
      </c>
      <c r="J702" s="4" t="str">
        <f t="shared" si="757"/>
        <v>-</v>
      </c>
      <c r="K702" s="4" t="str">
        <f t="shared" si="757"/>
        <v>-</v>
      </c>
      <c r="L702" s="4" t="str">
        <f t="shared" ref="L702" si="758">IFERROR(L668/L687,"-")</f>
        <v>-</v>
      </c>
      <c r="N702" s="1"/>
    </row>
    <row r="703" spans="2:14" x14ac:dyDescent="0.35">
      <c r="B703" t="str">
        <f t="shared" si="752"/>
        <v>SPS1</v>
      </c>
      <c r="C703" t="str">
        <f t="shared" si="749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7"/>
        <v>-</v>
      </c>
      <c r="H703" s="4" t="str">
        <f t="shared" si="757"/>
        <v>-</v>
      </c>
      <c r="I703" s="4" t="str">
        <f t="shared" si="757"/>
        <v>-</v>
      </c>
      <c r="J703" s="4" t="str">
        <f t="shared" si="757"/>
        <v>-</v>
      </c>
      <c r="K703" s="4" t="str">
        <f t="shared" si="757"/>
        <v>-</v>
      </c>
      <c r="L703" s="4" t="str">
        <f t="shared" ref="L703" si="759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60">IFERROR(G677/G696,"-")</f>
        <v>-</v>
      </c>
      <c r="H704" s="4" t="str">
        <f t="shared" si="760"/>
        <v>-</v>
      </c>
      <c r="I704" s="4" t="str">
        <f t="shared" si="760"/>
        <v>-</v>
      </c>
      <c r="J704" s="4" t="str">
        <f t="shared" si="760"/>
        <v>-</v>
      </c>
      <c r="K704" s="4" t="str">
        <f t="shared" si="760"/>
        <v>-</v>
      </c>
      <c r="L704" s="4" t="str">
        <f t="shared" ref="L704" si="761">IFERROR(L677/L696,"-")</f>
        <v>-</v>
      </c>
      <c r="N704" s="1"/>
    </row>
    <row r="705" spans="2:14" x14ac:dyDescent="0.35">
      <c r="B705" t="str">
        <f t="shared" si="752"/>
        <v>SPS1</v>
      </c>
      <c r="C705" t="str">
        <f t="shared" si="749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60"/>
        <v>-</v>
      </c>
      <c r="H705" s="4" t="str">
        <f t="shared" si="760"/>
        <v>-</v>
      </c>
      <c r="I705" s="4" t="str">
        <f t="shared" si="760"/>
        <v>-</v>
      </c>
      <c r="J705" s="4" t="str">
        <f t="shared" si="760"/>
        <v>-</v>
      </c>
      <c r="K705" s="4" t="str">
        <f t="shared" si="760"/>
        <v>-</v>
      </c>
      <c r="L705" s="4" t="str">
        <f t="shared" ref="L705" si="762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[1]Other_transformation!F$39</f>
        <v>4.3991616381045366</v>
      </c>
      <c r="K706" s="1">
        <f>[1]Other_transformation!G$39</f>
        <v>3.0926952527875322</v>
      </c>
      <c r="L706" s="1">
        <f>[1]Other_transformation!H$39</f>
        <v>6.1570467372985558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[1]Other_transformation!F$38</f>
        <v>4.8202037946265071</v>
      </c>
      <c r="K707" s="1">
        <f>[1]Other_transformation!G$38</f>
        <v>3.3886959878866847</v>
      </c>
      <c r="L707" s="1">
        <f>[1]Other_transformation!H$38</f>
        <v>6.746335435768783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3">F706/F707</f>
        <v>0.91265054871925855</v>
      </c>
      <c r="G708" s="14">
        <f t="shared" si="763"/>
        <v>0.91265054871925899</v>
      </c>
      <c r="H708" s="14">
        <f t="shared" si="763"/>
        <v>0.91265054871925888</v>
      </c>
      <c r="I708" s="14">
        <f t="shared" si="763"/>
        <v>0.91265054871925921</v>
      </c>
      <c r="J708" s="14">
        <f t="shared" si="763"/>
        <v>0.9126505487192591</v>
      </c>
      <c r="K708" s="14">
        <f t="shared" si="763"/>
        <v>0.91265054871925844</v>
      </c>
      <c r="L708" s="14">
        <f t="shared" ref="L708" si="764">L706/L707</f>
        <v>0.91265054871925821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SUMPRODUCT(("CT_CWODPLT"=[1]OUT_SyntheticFuels!$C$4:$C$1000)*1,("Var_Fout"=[1]OUT_SyntheticFuels!$B$4:$B$1000)*1,[1]OUT_SyntheticFuels!I$4:I$1000)</f>
        <v>1.1461213500967076</v>
      </c>
      <c r="K709" s="17" cm="1">
        <f t="array" ref="K709">SUMPRODUCT(("CT_CWODPLT"=[1]OUT_SyntheticFuels!$C$4:$C$1000)*1,("Var_Fout"=[1]OUT_SyntheticFuels!$B$4:$B$1000)*1,[1]OUT_SyntheticFuels!J$4:J$1000)</f>
        <v>1.0150802297501851</v>
      </c>
      <c r="L709" s="17" cm="1">
        <f t="array" ref="L709">SUMPRODUCT(("CT_CWODPLT"=[1]OUT_SyntheticFuels!$C$4:$C$1000)*1,("Var_Fout"=[1]OUT_SyntheticFuels!$B$4:$B$1000)*1,[1]OUT_SyntheticFuels!K$4:K$1000)</f>
        <v>0.82067776298277406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65">G709</f>
        <v>6.9696677073538176</v>
      </c>
      <c r="H710" s="18">
        <f t="shared" si="765"/>
        <v>1.3268616798595534</v>
      </c>
      <c r="I710" s="18">
        <f t="shared" si="765"/>
        <v>1.2503214656912223</v>
      </c>
      <c r="J710" s="18">
        <f t="shared" si="765"/>
        <v>1.1461213500967076</v>
      </c>
      <c r="K710" s="18">
        <f t="shared" si="765"/>
        <v>1.0150802297501851</v>
      </c>
      <c r="L710" s="18">
        <f t="shared" ref="L710" si="766">L709</f>
        <v>0.82067776298277406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SUMPRODUCT(("CT_CWODPLT"=[1]OUT_SyntheticFuels!$C$4:$C$1000)*1,("Var_Fin"=[1]OUT_SyntheticFuels!$B$4:$B$1000)*1,[1]OUT_SyntheticFuels!I$4:I$1000)</f>
        <v>1.3644301786865551</v>
      </c>
      <c r="K711" s="17" cm="1">
        <f t="array" ref="K711">SUMPRODUCT(("CT_CWODPLT"=[1]OUT_SyntheticFuels!$C$4:$C$1000)*1,("Var_Fin"=[1]OUT_SyntheticFuels!$B$4:$B$1000)*1,[1]OUT_SyntheticFuels!J$4:J$1000)</f>
        <v>1.2084288449406961</v>
      </c>
      <c r="L711" s="17" cm="1">
        <f t="array" ref="L711">SUMPRODUCT(("CT_CWODPLT"=[1]OUT_SyntheticFuels!$C$4:$C$1000)*1,("Var_Fin"=[1]OUT_SyntheticFuels!$B$4:$B$1000)*1,[1]OUT_SyntheticFuels!K$4:K$1000)</f>
        <v>0.97699733688425561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7">F711</f>
        <v>7.1186580585854742</v>
      </c>
      <c r="G712" s="18">
        <f t="shared" si="767"/>
        <v>8.2972234611354967</v>
      </c>
      <c r="H712" s="18">
        <f t="shared" si="767"/>
        <v>1.5795972379280396</v>
      </c>
      <c r="I712" s="18">
        <f t="shared" si="767"/>
        <v>1.4884779353466917</v>
      </c>
      <c r="J712" s="18">
        <f t="shared" si="767"/>
        <v>1.3644301786865551</v>
      </c>
      <c r="K712" s="18">
        <f t="shared" si="767"/>
        <v>1.2084288449406961</v>
      </c>
      <c r="L712" s="18">
        <f t="shared" ref="L712" si="768">L711</f>
        <v>0.97699733688425561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9">IFERROR(F709/F711,"-")</f>
        <v>0.83999999999999986</v>
      </c>
      <c r="G713" s="14">
        <f t="shared" si="769"/>
        <v>0.84000000000000008</v>
      </c>
      <c r="H713" s="14">
        <f t="shared" si="769"/>
        <v>0.84000000000000008</v>
      </c>
      <c r="I713" s="14">
        <f t="shared" si="769"/>
        <v>0.84000000000000086</v>
      </c>
      <c r="J713" s="14">
        <f t="shared" si="769"/>
        <v>0.84000000000000097</v>
      </c>
      <c r="K713" s="14">
        <f t="shared" si="769"/>
        <v>0.8400000000000003</v>
      </c>
      <c r="L713" s="14">
        <f t="shared" ref="L713" si="770">IFERROR(L709/L711,"-")</f>
        <v>0.8399999999999993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1">G715+G717</f>
        <v>0</v>
      </c>
      <c r="H714" s="17">
        <f t="shared" si="771"/>
        <v>0</v>
      </c>
      <c r="I714" s="17">
        <f t="shared" si="771"/>
        <v>0</v>
      </c>
      <c r="J714" s="17">
        <f t="shared" si="771"/>
        <v>0</v>
      </c>
      <c r="K714" s="17">
        <f t="shared" si="771"/>
        <v>0</v>
      </c>
      <c r="L714" s="17">
        <f t="shared" ref="L714" si="772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3">G716</f>
        <v>0</v>
      </c>
      <c r="H715" s="18">
        <f t="shared" si="773"/>
        <v>0</v>
      </c>
      <c r="I715" s="18">
        <f t="shared" si="773"/>
        <v>0</v>
      </c>
      <c r="J715" s="18">
        <f t="shared" si="773"/>
        <v>0</v>
      </c>
      <c r="K715" s="18">
        <f t="shared" si="773"/>
        <v>0</v>
      </c>
      <c r="L715" s="18">
        <f t="shared" si="773"/>
        <v>0</v>
      </c>
      <c r="N715" s="1"/>
    </row>
    <row r="716" spans="2:14" x14ac:dyDescent="0.35">
      <c r="B716" s="5" t="str">
        <f t="shared" ref="B716:C718" si="774">B714</f>
        <v>SPS1</v>
      </c>
      <c r="C716" s="5" t="str">
        <f t="shared" si="774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N716" s="1"/>
    </row>
    <row r="717" spans="2:14" x14ac:dyDescent="0.35">
      <c r="B717" s="5" t="str">
        <f t="shared" si="774"/>
        <v>SPS1</v>
      </c>
      <c r="C717" s="5" t="str">
        <f t="shared" si="774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5">SUM(G718:G720)</f>
        <v>0</v>
      </c>
      <c r="H717" s="18">
        <f t="shared" si="775"/>
        <v>0</v>
      </c>
      <c r="I717" s="18">
        <f t="shared" si="775"/>
        <v>0</v>
      </c>
      <c r="J717" s="18">
        <f t="shared" si="775"/>
        <v>0</v>
      </c>
      <c r="K717" s="18">
        <f t="shared" si="775"/>
        <v>0</v>
      </c>
      <c r="L717" s="18">
        <f t="shared" ref="L717" si="776">SUM(L718:L720)</f>
        <v>0</v>
      </c>
      <c r="N717" s="1"/>
    </row>
    <row r="718" spans="2:14" x14ac:dyDescent="0.35">
      <c r="B718" s="5" t="str">
        <f t="shared" si="774"/>
        <v>SPS1</v>
      </c>
      <c r="C718" s="5" t="str">
        <f t="shared" si="774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N718" s="1"/>
    </row>
    <row r="719" spans="2:14" x14ac:dyDescent="0.35">
      <c r="B719" s="5" t="str">
        <f t="shared" ref="B719:C721" si="777">B718</f>
        <v>SPS1</v>
      </c>
      <c r="C719" s="5" t="str">
        <f t="shared" si="777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N719" s="1"/>
    </row>
    <row r="720" spans="2:14" x14ac:dyDescent="0.35">
      <c r="B720" s="5" t="str">
        <f t="shared" si="777"/>
        <v>SPS1</v>
      </c>
      <c r="C720" s="5" t="str">
        <f t="shared" si="777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N720" s="1"/>
    </row>
    <row r="721" spans="2:14" x14ac:dyDescent="0.35">
      <c r="B721" s="9" t="str">
        <f t="shared" si="777"/>
        <v>SPS1</v>
      </c>
      <c r="C721" s="9" t="str">
        <f t="shared" si="777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8">G722</f>
        <v>0</v>
      </c>
      <c r="H721" s="17">
        <f t="shared" si="778"/>
        <v>0</v>
      </c>
      <c r="I721" s="17">
        <f t="shared" si="778"/>
        <v>0</v>
      </c>
      <c r="J721" s="17">
        <f t="shared" si="778"/>
        <v>0</v>
      </c>
      <c r="K721" s="17">
        <f t="shared" si="778"/>
        <v>0</v>
      </c>
      <c r="L721" s="17">
        <f t="shared" si="778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79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80">SUM(G723,G725)</f>
        <v>0</v>
      </c>
      <c r="H722" s="18">
        <f t="shared" si="780"/>
        <v>0</v>
      </c>
      <c r="I722" s="18">
        <f t="shared" si="780"/>
        <v>0</v>
      </c>
      <c r="J722" s="18">
        <f t="shared" si="780"/>
        <v>0</v>
      </c>
      <c r="K722" s="18">
        <f t="shared" si="780"/>
        <v>0</v>
      </c>
      <c r="L722" s="18">
        <f t="shared" ref="L722" si="781">SUM(L723,L725)</f>
        <v>0</v>
      </c>
      <c r="N722" s="1"/>
    </row>
    <row r="723" spans="2:14" x14ac:dyDescent="0.35">
      <c r="B723" s="5" t="str">
        <f t="shared" ref="B723:B728" si="782">B722</f>
        <v>SPS1</v>
      </c>
      <c r="C723" s="5" t="str">
        <f t="shared" si="779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3">G724</f>
        <v>0</v>
      </c>
      <c r="H723" s="18">
        <f t="shared" si="783"/>
        <v>0</v>
      </c>
      <c r="I723" s="18">
        <f t="shared" si="783"/>
        <v>0</v>
      </c>
      <c r="J723" s="18">
        <f t="shared" si="783"/>
        <v>0</v>
      </c>
      <c r="K723" s="18">
        <f t="shared" si="783"/>
        <v>0</v>
      </c>
      <c r="L723" s="18">
        <f t="shared" si="783"/>
        <v>0</v>
      </c>
      <c r="N723" s="1"/>
    </row>
    <row r="724" spans="2:14" x14ac:dyDescent="0.35">
      <c r="B724" s="5" t="str">
        <f t="shared" si="782"/>
        <v>SPS1</v>
      </c>
      <c r="C724" s="5" t="str">
        <f t="shared" si="779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N724" s="1"/>
    </row>
    <row r="725" spans="2:14" x14ac:dyDescent="0.35">
      <c r="B725" s="5" t="str">
        <f t="shared" si="782"/>
        <v>SPS1</v>
      </c>
      <c r="C725" s="5" t="str">
        <f t="shared" si="779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4">SUM(G726:G728)</f>
        <v>0</v>
      </c>
      <c r="H725" s="18">
        <f t="shared" si="784"/>
        <v>0</v>
      </c>
      <c r="I725" s="18">
        <f t="shared" si="784"/>
        <v>0</v>
      </c>
      <c r="J725" s="18">
        <f t="shared" si="784"/>
        <v>0</v>
      </c>
      <c r="K725" s="18">
        <f t="shared" si="784"/>
        <v>0</v>
      </c>
      <c r="L725" s="18">
        <f t="shared" ref="L725" si="785">SUM(L726:L728)</f>
        <v>0</v>
      </c>
      <c r="N725" s="1"/>
    </row>
    <row r="726" spans="2:14" x14ac:dyDescent="0.35">
      <c r="B726" s="5" t="str">
        <f t="shared" si="782"/>
        <v>SPS1</v>
      </c>
      <c r="C726" s="5" t="str">
        <f t="shared" si="779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N726" s="1"/>
    </row>
    <row r="727" spans="2:14" x14ac:dyDescent="0.35">
      <c r="B727" s="5" t="str">
        <f t="shared" si="782"/>
        <v>SPS1</v>
      </c>
      <c r="C727" s="5" t="str">
        <f t="shared" si="779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N727" s="1"/>
    </row>
    <row r="728" spans="2:14" x14ac:dyDescent="0.35">
      <c r="B728" s="5" t="str">
        <f t="shared" si="782"/>
        <v>SPS1</v>
      </c>
      <c r="C728" s="5" t="str">
        <f t="shared" si="779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6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7">IFERROR(G716/G724,"-")</f>
        <v>-</v>
      </c>
      <c r="H730" s="14" t="str">
        <f t="shared" si="787"/>
        <v>-</v>
      </c>
      <c r="I730" s="14" t="str">
        <f t="shared" si="787"/>
        <v>-</v>
      </c>
      <c r="J730" s="14" t="str">
        <f t="shared" si="787"/>
        <v>-</v>
      </c>
      <c r="K730" s="14" t="str">
        <f t="shared" si="787"/>
        <v>-</v>
      </c>
      <c r="L730" s="14" t="str">
        <f t="shared" ref="L730" si="788">IFERROR(L716/L724,"-")</f>
        <v>-</v>
      </c>
      <c r="N730" s="1"/>
    </row>
    <row r="731" spans="2:14" x14ac:dyDescent="0.35">
      <c r="B731" s="5" t="str">
        <f t="shared" ref="B731:B735" si="789">B730</f>
        <v>SPS1</v>
      </c>
      <c r="C731" s="5" t="str">
        <f t="shared" si="786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90">IFERROR(G718/G726,"-")</f>
        <v>-</v>
      </c>
      <c r="H731" s="16" t="str">
        <f t="shared" si="790"/>
        <v>-</v>
      </c>
      <c r="I731" s="16" t="str">
        <f t="shared" si="790"/>
        <v>-</v>
      </c>
      <c r="J731" s="16" t="str">
        <f t="shared" si="790"/>
        <v>-</v>
      </c>
      <c r="K731" s="16" t="str">
        <f t="shared" si="790"/>
        <v>-</v>
      </c>
      <c r="L731" s="16" t="str">
        <f t="shared" ref="L731" si="791">IFERROR(L718/L726,"-")</f>
        <v>-</v>
      </c>
      <c r="M731" s="9"/>
      <c r="N731" s="1"/>
    </row>
    <row r="732" spans="2:14" x14ac:dyDescent="0.35">
      <c r="B732" s="5" t="str">
        <f t="shared" si="789"/>
        <v>SPS1</v>
      </c>
      <c r="C732" s="5" t="str">
        <f t="shared" si="786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2">IFERROR(G719/G727,"-")</f>
        <v>-</v>
      </c>
      <c r="H732" s="16" t="str">
        <f t="shared" si="792"/>
        <v>-</v>
      </c>
      <c r="I732" s="16" t="str">
        <f t="shared" si="792"/>
        <v>-</v>
      </c>
      <c r="J732" s="16" t="str">
        <f t="shared" si="792"/>
        <v>-</v>
      </c>
      <c r="K732" s="16" t="str">
        <f t="shared" si="792"/>
        <v>-</v>
      </c>
      <c r="L732" s="16" t="str">
        <f t="shared" ref="L732" si="793">IFERROR(L719/L727,"-")</f>
        <v>-</v>
      </c>
      <c r="M732" s="9"/>
      <c r="N732" s="1"/>
    </row>
    <row r="733" spans="2:14" x14ac:dyDescent="0.35">
      <c r="B733" s="5" t="str">
        <f t="shared" si="789"/>
        <v>SPS1</v>
      </c>
      <c r="C733" s="5" t="str">
        <f t="shared" si="786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4">IFERROR(G720/G728,"-")</f>
        <v>-</v>
      </c>
      <c r="H733" s="16" t="str">
        <f t="shared" si="794"/>
        <v>-</v>
      </c>
      <c r="I733" s="16" t="str">
        <f t="shared" si="794"/>
        <v>-</v>
      </c>
      <c r="J733" s="16" t="str">
        <f t="shared" si="794"/>
        <v>-</v>
      </c>
      <c r="K733" s="16" t="str">
        <f t="shared" si="794"/>
        <v>-</v>
      </c>
      <c r="L733" s="16" t="str">
        <f t="shared" ref="L733" si="795">IFERROR(L720/L728,"-")</f>
        <v>-</v>
      </c>
      <c r="M733" s="9"/>
      <c r="N733" s="1"/>
    </row>
    <row r="734" spans="2:14" x14ac:dyDescent="0.35">
      <c r="B734" s="5" t="str">
        <f t="shared" si="789"/>
        <v>SPS1</v>
      </c>
      <c r="C734" s="5" t="str">
        <f t="shared" si="786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6">G735</f>
        <v>0</v>
      </c>
      <c r="H734" s="17">
        <f t="shared" ref="H734" si="797">H735</f>
        <v>0</v>
      </c>
      <c r="I734" s="17">
        <f t="shared" ref="I734" si="798">I735</f>
        <v>0</v>
      </c>
      <c r="J734" s="17">
        <f t="shared" ref="J734" si="799">J735</f>
        <v>0</v>
      </c>
      <c r="K734" s="17">
        <f t="shared" ref="K734:L734" si="800">K735</f>
        <v>0</v>
      </c>
      <c r="L734" s="17">
        <f t="shared" si="800"/>
        <v>0</v>
      </c>
      <c r="M734" s="9"/>
      <c r="N734" s="1"/>
    </row>
    <row r="735" spans="2:14" x14ac:dyDescent="0.35">
      <c r="B735" s="5" t="str">
        <f t="shared" si="789"/>
        <v>SPS1</v>
      </c>
      <c r="C735" s="5" t="str">
        <f t="shared" si="786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1">SUM(G739,G741)</f>
        <v>0</v>
      </c>
      <c r="H735" s="18">
        <f t="shared" ref="H735" si="802">SUM(H739,H741)</f>
        <v>0</v>
      </c>
      <c r="I735" s="18">
        <f t="shared" ref="I735" si="803">SUM(I739,I741)</f>
        <v>0</v>
      </c>
      <c r="J735" s="18">
        <f t="shared" ref="J735" si="804">SUM(J739,J741)</f>
        <v>0</v>
      </c>
      <c r="K735" s="18">
        <f t="shared" ref="K735:L735" si="805">SUM(K739,K741)</f>
        <v>0</v>
      </c>
      <c r="L735" s="18">
        <f t="shared" si="805"/>
        <v>0</v>
      </c>
      <c r="M735" s="9"/>
      <c r="N735" s="1"/>
    </row>
    <row r="736" spans="2:14" x14ac:dyDescent="0.35">
      <c r="B736" s="5" t="str">
        <f t="shared" ref="B736:C738" si="806">B735</f>
        <v>SPS1</v>
      </c>
      <c r="C736" s="5" t="str">
        <f t="shared" si="806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735</f>
        <v>0</v>
      </c>
      <c r="K736" s="18">
        <f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>
        <f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9"/>
      <c r="N736" s="1"/>
    </row>
    <row r="737" spans="2:14" x14ac:dyDescent="0.35">
      <c r="B737" s="5" t="str">
        <f t="shared" si="806"/>
        <v>SPS1</v>
      </c>
      <c r="C737" s="5" t="str">
        <f t="shared" si="806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06"/>
        <v>SPS1</v>
      </c>
      <c r="C738" s="5" t="str">
        <f t="shared" si="806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</f>
        <v>0</v>
      </c>
      <c r="K738" s="18">
        <f>IFERROR(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8" s="18">
        <f>IFERROR(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7">G740</f>
        <v>0</v>
      </c>
      <c r="H739" s="18">
        <f t="shared" ref="H739" si="808">H740</f>
        <v>0</v>
      </c>
      <c r="I739" s="18">
        <f t="shared" ref="I739" si="809">I740</f>
        <v>0</v>
      </c>
      <c r="J739" s="18">
        <f t="shared" ref="J739" si="810">J740</f>
        <v>0</v>
      </c>
      <c r="K739" s="18">
        <f t="shared" ref="K739:L739" si="811">K740</f>
        <v>0</v>
      </c>
      <c r="L739" s="18">
        <f t="shared" si="811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N740" s="1"/>
    </row>
    <row r="741" spans="2:14" x14ac:dyDescent="0.35">
      <c r="B741" s="5" t="str">
        <f t="shared" ref="B741:B744" si="812">B740</f>
        <v>SPS1</v>
      </c>
      <c r="C741" s="5" t="str">
        <f t="shared" ref="C741:C744" si="81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4">SUM(G742:G744)</f>
        <v>0</v>
      </c>
      <c r="H741" s="18">
        <f t="shared" ref="H741" si="815">SUM(H742:H744)</f>
        <v>0</v>
      </c>
      <c r="I741" s="18">
        <f t="shared" ref="I741" si="816">SUM(I742:I744)</f>
        <v>0</v>
      </c>
      <c r="J741" s="18">
        <f t="shared" ref="J741" si="817">SUM(J742:J744)</f>
        <v>0</v>
      </c>
      <c r="K741" s="18">
        <f t="shared" ref="K741:L741" si="818">SUM(K742:K744)</f>
        <v>0</v>
      </c>
      <c r="L741" s="18">
        <f t="shared" si="818"/>
        <v>0</v>
      </c>
      <c r="N741" s="1"/>
    </row>
    <row r="742" spans="2:14" x14ac:dyDescent="0.35">
      <c r="B742" s="5" t="str">
        <f t="shared" si="812"/>
        <v>SPS1</v>
      </c>
      <c r="C742" s="5" t="str">
        <f t="shared" si="81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N742" s="1"/>
    </row>
    <row r="743" spans="2:14" x14ac:dyDescent="0.35">
      <c r="B743" s="5" t="str">
        <f t="shared" si="812"/>
        <v>SPS1</v>
      </c>
      <c r="C743" s="5" t="str">
        <f t="shared" si="81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9"/>
      <c r="N743" s="1"/>
    </row>
    <row r="744" spans="2:14" x14ac:dyDescent="0.35">
      <c r="B744" s="5" t="str">
        <f t="shared" si="812"/>
        <v>SPS1</v>
      </c>
      <c r="C744" s="5" t="str">
        <f t="shared" si="81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9">IFERROR(G$736/G$735,0)*G739</f>
        <v>0</v>
      </c>
      <c r="H745" s="18">
        <f t="shared" si="819"/>
        <v>0</v>
      </c>
      <c r="I745" s="18">
        <f t="shared" si="819"/>
        <v>0</v>
      </c>
      <c r="J745" s="18">
        <f t="shared" si="819"/>
        <v>0</v>
      </c>
      <c r="K745" s="18">
        <f t="shared" si="819"/>
        <v>0</v>
      </c>
      <c r="L745" s="18">
        <f t="shared" ref="L745" si="820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1">IFERROR(F$736/F$735,0)*F740</f>
        <v>0</v>
      </c>
      <c r="G746" s="18">
        <f t="shared" si="821"/>
        <v>0</v>
      </c>
      <c r="H746" s="18">
        <f t="shared" si="821"/>
        <v>0</v>
      </c>
      <c r="I746" s="18">
        <f t="shared" si="821"/>
        <v>0</v>
      </c>
      <c r="J746" s="18">
        <f t="shared" si="821"/>
        <v>0</v>
      </c>
      <c r="K746" s="18">
        <f t="shared" si="821"/>
        <v>0</v>
      </c>
      <c r="L746" s="18">
        <f t="shared" ref="L746" si="822">IFERROR(L$736/L$735,0)*L740</f>
        <v>0</v>
      </c>
      <c r="N746" s="1"/>
    </row>
    <row r="747" spans="2:14" x14ac:dyDescent="0.35">
      <c r="B747" s="5" t="str">
        <f t="shared" ref="B747:B750" si="823">B746</f>
        <v>SPS1</v>
      </c>
      <c r="C747" s="5" t="str">
        <f t="shared" ref="C747:C750" si="824">C746</f>
        <v>CH</v>
      </c>
      <c r="D747" t="s">
        <v>934</v>
      </c>
      <c r="E747" s="5" t="s">
        <v>442</v>
      </c>
      <c r="F747" s="18">
        <f t="shared" ref="F747:K747" si="825">IFERROR(F$736/F$735,0)*F741</f>
        <v>0</v>
      </c>
      <c r="G747" s="18">
        <f t="shared" si="825"/>
        <v>0</v>
      </c>
      <c r="H747" s="18">
        <f t="shared" si="825"/>
        <v>0</v>
      </c>
      <c r="I747" s="18">
        <f t="shared" si="825"/>
        <v>0</v>
      </c>
      <c r="J747" s="18">
        <f t="shared" si="825"/>
        <v>0</v>
      </c>
      <c r="K747" s="18">
        <f t="shared" si="825"/>
        <v>0</v>
      </c>
      <c r="L747" s="18">
        <f t="shared" ref="L747" si="826">IFERROR(L$736/L$735,0)*L741</f>
        <v>0</v>
      </c>
      <c r="N747" s="1"/>
    </row>
    <row r="748" spans="2:14" x14ac:dyDescent="0.35">
      <c r="B748" s="5" t="str">
        <f t="shared" si="823"/>
        <v>SPS1</v>
      </c>
      <c r="C748" s="5" t="str">
        <f t="shared" si="824"/>
        <v>CH</v>
      </c>
      <c r="D748" t="s">
        <v>457</v>
      </c>
      <c r="E748" s="5" t="s">
        <v>442</v>
      </c>
      <c r="F748" s="18">
        <f t="shared" ref="F748:K748" si="827">IFERROR(F$736/F$735,0)*F742</f>
        <v>0</v>
      </c>
      <c r="G748" s="18">
        <f t="shared" si="827"/>
        <v>0</v>
      </c>
      <c r="H748" s="18">
        <f t="shared" si="827"/>
        <v>0</v>
      </c>
      <c r="I748" s="18">
        <f t="shared" si="827"/>
        <v>0</v>
      </c>
      <c r="J748" s="18">
        <f t="shared" si="827"/>
        <v>0</v>
      </c>
      <c r="K748" s="18">
        <f t="shared" si="827"/>
        <v>0</v>
      </c>
      <c r="L748" s="18">
        <f t="shared" ref="L748" si="828">IFERROR(L$736/L$735,0)*L742</f>
        <v>0</v>
      </c>
      <c r="N748" s="1"/>
    </row>
    <row r="749" spans="2:14" x14ac:dyDescent="0.35">
      <c r="B749" s="5" t="str">
        <f t="shared" si="823"/>
        <v>SPS1</v>
      </c>
      <c r="C749" s="5" t="str">
        <f t="shared" si="824"/>
        <v>CH</v>
      </c>
      <c r="D749" t="s">
        <v>458</v>
      </c>
      <c r="E749" s="5" t="s">
        <v>442</v>
      </c>
      <c r="F749" s="18">
        <f t="shared" ref="F749:K749" si="829">IFERROR(F$736/F$735,0)*F743</f>
        <v>0</v>
      </c>
      <c r="G749" s="18">
        <f t="shared" si="829"/>
        <v>0</v>
      </c>
      <c r="H749" s="18">
        <f t="shared" si="829"/>
        <v>0</v>
      </c>
      <c r="I749" s="18">
        <f t="shared" si="829"/>
        <v>0</v>
      </c>
      <c r="J749" s="18">
        <f t="shared" si="829"/>
        <v>0</v>
      </c>
      <c r="K749" s="18">
        <f t="shared" si="829"/>
        <v>0</v>
      </c>
      <c r="L749" s="18">
        <f t="shared" ref="L749" si="830">IFERROR(L$736/L$735,0)*L743</f>
        <v>0</v>
      </c>
      <c r="N749" s="1"/>
    </row>
    <row r="750" spans="2:14" x14ac:dyDescent="0.35">
      <c r="B750" s="5" t="str">
        <f t="shared" si="823"/>
        <v>SPS1</v>
      </c>
      <c r="C750" s="5" t="str">
        <f t="shared" si="824"/>
        <v>CH</v>
      </c>
      <c r="D750" t="s">
        <v>459</v>
      </c>
      <c r="E750" s="5" t="s">
        <v>442</v>
      </c>
      <c r="F750" s="18">
        <f t="shared" ref="F750:K750" si="831">IFERROR(F$736/F$735,0)*F744</f>
        <v>0</v>
      </c>
      <c r="G750" s="18">
        <f t="shared" si="831"/>
        <v>0</v>
      </c>
      <c r="H750" s="18">
        <f t="shared" si="831"/>
        <v>0</v>
      </c>
      <c r="I750" s="18">
        <f t="shared" si="831"/>
        <v>0</v>
      </c>
      <c r="J750" s="18">
        <f t="shared" si="831"/>
        <v>0</v>
      </c>
      <c r="K750" s="18">
        <f t="shared" si="831"/>
        <v>0</v>
      </c>
      <c r="L750" s="18">
        <f t="shared" ref="L750" si="832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3">IFERROR(G$737/G$735,0)*G739</f>
        <v>0</v>
      </c>
      <c r="H751" s="18">
        <f t="shared" si="833"/>
        <v>0</v>
      </c>
      <c r="I751" s="18">
        <f t="shared" si="833"/>
        <v>0</v>
      </c>
      <c r="J751" s="18">
        <f t="shared" si="833"/>
        <v>0</v>
      </c>
      <c r="K751" s="18">
        <f t="shared" si="833"/>
        <v>0</v>
      </c>
      <c r="L751" s="18">
        <f t="shared" ref="L751" si="834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5">IFERROR(F$737/F$735,0)*F740</f>
        <v>0</v>
      </c>
      <c r="G752" s="18">
        <f t="shared" si="835"/>
        <v>0</v>
      </c>
      <c r="H752" s="18">
        <f t="shared" si="835"/>
        <v>0</v>
      </c>
      <c r="I752" s="18">
        <f t="shared" si="835"/>
        <v>0</v>
      </c>
      <c r="J752" s="18">
        <f t="shared" si="835"/>
        <v>0</v>
      </c>
      <c r="K752" s="18">
        <f t="shared" si="835"/>
        <v>0</v>
      </c>
      <c r="L752" s="18">
        <f t="shared" ref="L752" si="836">IFERROR(L$737/L$735,0)*L740</f>
        <v>0</v>
      </c>
      <c r="N752" s="1"/>
    </row>
    <row r="753" spans="2:14" x14ac:dyDescent="0.35">
      <c r="B753" s="5" t="str">
        <f t="shared" ref="B753:B756" si="837">B752</f>
        <v>SPS1</v>
      </c>
      <c r="C753" s="5" t="str">
        <f t="shared" ref="C753:C756" si="838">C752</f>
        <v>CH</v>
      </c>
      <c r="D753" t="s">
        <v>936</v>
      </c>
      <c r="E753" s="5" t="s">
        <v>442</v>
      </c>
      <c r="F753" s="18">
        <f t="shared" ref="F753:K753" si="839">IFERROR(F$737/F$735,0)*F741</f>
        <v>0</v>
      </c>
      <c r="G753" s="18">
        <f t="shared" si="839"/>
        <v>0</v>
      </c>
      <c r="H753" s="18">
        <f t="shared" si="839"/>
        <v>0</v>
      </c>
      <c r="I753" s="18">
        <f t="shared" si="839"/>
        <v>0</v>
      </c>
      <c r="J753" s="18">
        <f t="shared" si="839"/>
        <v>0</v>
      </c>
      <c r="K753" s="18">
        <f t="shared" si="839"/>
        <v>0</v>
      </c>
      <c r="L753" s="18">
        <f t="shared" ref="L753" si="840">IFERROR(L$737/L$735,0)*L741</f>
        <v>0</v>
      </c>
      <c r="N753" s="1"/>
    </row>
    <row r="754" spans="2:14" x14ac:dyDescent="0.35">
      <c r="B754" s="5" t="str">
        <f t="shared" si="837"/>
        <v>SPS1</v>
      </c>
      <c r="C754" s="5" t="str">
        <f t="shared" si="838"/>
        <v>CH</v>
      </c>
      <c r="D754" t="s">
        <v>461</v>
      </c>
      <c r="E754" s="5" t="s">
        <v>442</v>
      </c>
      <c r="F754" s="18">
        <f t="shared" ref="F754:K754" si="841">IFERROR(F$737/F$735,0)*F742</f>
        <v>0</v>
      </c>
      <c r="G754" s="18">
        <f t="shared" si="841"/>
        <v>0</v>
      </c>
      <c r="H754" s="18">
        <f t="shared" si="841"/>
        <v>0</v>
      </c>
      <c r="I754" s="18">
        <f t="shared" si="841"/>
        <v>0</v>
      </c>
      <c r="J754" s="18">
        <f t="shared" si="841"/>
        <v>0</v>
      </c>
      <c r="K754" s="18">
        <f t="shared" si="841"/>
        <v>0</v>
      </c>
      <c r="L754" s="18">
        <f t="shared" ref="L754" si="842">IFERROR(L$737/L$735,0)*L742</f>
        <v>0</v>
      </c>
      <c r="N754" s="1"/>
    </row>
    <row r="755" spans="2:14" x14ac:dyDescent="0.35">
      <c r="B755" s="5" t="str">
        <f t="shared" si="837"/>
        <v>SPS1</v>
      </c>
      <c r="C755" s="5" t="str">
        <f t="shared" si="838"/>
        <v>CH</v>
      </c>
      <c r="D755" t="s">
        <v>462</v>
      </c>
      <c r="E755" s="5" t="s">
        <v>442</v>
      </c>
      <c r="F755" s="18">
        <f t="shared" ref="F755:K755" si="843">IFERROR(F$737/F$735,0)*F743</f>
        <v>0</v>
      </c>
      <c r="G755" s="18">
        <f t="shared" si="843"/>
        <v>0</v>
      </c>
      <c r="H755" s="18">
        <f t="shared" si="843"/>
        <v>0</v>
      </c>
      <c r="I755" s="18">
        <f t="shared" si="843"/>
        <v>0</v>
      </c>
      <c r="J755" s="18">
        <f t="shared" si="843"/>
        <v>0</v>
      </c>
      <c r="K755" s="18">
        <f t="shared" si="843"/>
        <v>0</v>
      </c>
      <c r="L755" s="18">
        <f t="shared" ref="L755" si="844">IFERROR(L$737/L$735,0)*L743</f>
        <v>0</v>
      </c>
      <c r="N755" s="1"/>
    </row>
    <row r="756" spans="2:14" x14ac:dyDescent="0.35">
      <c r="B756" s="5" t="str">
        <f t="shared" si="837"/>
        <v>SPS1</v>
      </c>
      <c r="C756" s="5" t="str">
        <f t="shared" si="838"/>
        <v>CH</v>
      </c>
      <c r="D756" t="s">
        <v>463</v>
      </c>
      <c r="E756" s="5" t="s">
        <v>442</v>
      </c>
      <c r="F756" s="18">
        <f t="shared" ref="F756:K756" si="845">IFERROR(F$737/F$735,0)*F744</f>
        <v>0</v>
      </c>
      <c r="G756" s="18">
        <f t="shared" si="845"/>
        <v>0</v>
      </c>
      <c r="H756" s="18">
        <f t="shared" si="845"/>
        <v>0</v>
      </c>
      <c r="I756" s="18">
        <f t="shared" si="845"/>
        <v>0</v>
      </c>
      <c r="J756" s="18">
        <f t="shared" si="845"/>
        <v>0</v>
      </c>
      <c r="K756" s="18">
        <f t="shared" si="845"/>
        <v>0</v>
      </c>
      <c r="L756" s="18">
        <f t="shared" ref="L756" si="846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7">IFERROR(G$738/G$735,0)*G739</f>
        <v>0</v>
      </c>
      <c r="H757" s="18">
        <f t="shared" si="847"/>
        <v>0</v>
      </c>
      <c r="I757" s="18">
        <f t="shared" si="847"/>
        <v>0</v>
      </c>
      <c r="J757" s="18">
        <f t="shared" si="847"/>
        <v>0</v>
      </c>
      <c r="K757" s="18">
        <f t="shared" si="847"/>
        <v>0</v>
      </c>
      <c r="L757" s="18">
        <f t="shared" ref="L757" si="848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9">IFERROR(F$738/F$735,0)*F740</f>
        <v>0</v>
      </c>
      <c r="G758" s="18">
        <f t="shared" si="849"/>
        <v>0</v>
      </c>
      <c r="H758" s="18">
        <f t="shared" si="849"/>
        <v>0</v>
      </c>
      <c r="I758" s="18">
        <f t="shared" si="849"/>
        <v>0</v>
      </c>
      <c r="J758" s="18">
        <f t="shared" si="849"/>
        <v>0</v>
      </c>
      <c r="K758" s="18">
        <f t="shared" si="849"/>
        <v>0</v>
      </c>
      <c r="L758" s="18">
        <f t="shared" ref="L758" si="850">IFERROR(L$738/L$735,0)*L740</f>
        <v>0</v>
      </c>
      <c r="N758" s="1"/>
    </row>
    <row r="759" spans="2:14" x14ac:dyDescent="0.35">
      <c r="B759" s="5" t="str">
        <f t="shared" ref="B759:B762" si="851">B758</f>
        <v>SPS1</v>
      </c>
      <c r="C759" s="5" t="str">
        <f t="shared" ref="C759:C762" si="852">C758</f>
        <v>CH</v>
      </c>
      <c r="D759" t="s">
        <v>938</v>
      </c>
      <c r="E759" s="5" t="s">
        <v>442</v>
      </c>
      <c r="F759" s="18">
        <f t="shared" ref="F759:K759" si="853">IFERROR(F$738/F$735,0)*F741</f>
        <v>0</v>
      </c>
      <c r="G759" s="18">
        <f t="shared" si="853"/>
        <v>0</v>
      </c>
      <c r="H759" s="18">
        <f t="shared" si="853"/>
        <v>0</v>
      </c>
      <c r="I759" s="18">
        <f t="shared" si="853"/>
        <v>0</v>
      </c>
      <c r="J759" s="18">
        <f t="shared" si="853"/>
        <v>0</v>
      </c>
      <c r="K759" s="18">
        <f t="shared" si="853"/>
        <v>0</v>
      </c>
      <c r="L759" s="18">
        <f t="shared" ref="L759" si="854">IFERROR(L$738/L$735,0)*L741</f>
        <v>0</v>
      </c>
      <c r="N759" s="1"/>
    </row>
    <row r="760" spans="2:14" x14ac:dyDescent="0.35">
      <c r="B760" s="5" t="str">
        <f t="shared" si="851"/>
        <v>SPS1</v>
      </c>
      <c r="C760" s="5" t="str">
        <f t="shared" si="852"/>
        <v>CH</v>
      </c>
      <c r="D760" t="s">
        <v>465</v>
      </c>
      <c r="E760" s="5" t="s">
        <v>442</v>
      </c>
      <c r="F760" s="18">
        <f t="shared" ref="F760:K760" si="855">IFERROR(F$738/F$735,0)*F742</f>
        <v>0</v>
      </c>
      <c r="G760" s="18">
        <f t="shared" si="855"/>
        <v>0</v>
      </c>
      <c r="H760" s="18">
        <f t="shared" si="855"/>
        <v>0</v>
      </c>
      <c r="I760" s="18">
        <f t="shared" si="855"/>
        <v>0</v>
      </c>
      <c r="J760" s="18">
        <f t="shared" si="855"/>
        <v>0</v>
      </c>
      <c r="K760" s="18">
        <f t="shared" si="855"/>
        <v>0</v>
      </c>
      <c r="L760" s="18">
        <f t="shared" ref="L760" si="856">IFERROR(L$738/L$735,0)*L742</f>
        <v>0</v>
      </c>
      <c r="N760" s="1"/>
    </row>
    <row r="761" spans="2:14" x14ac:dyDescent="0.35">
      <c r="B761" s="5" t="str">
        <f t="shared" si="851"/>
        <v>SPS1</v>
      </c>
      <c r="C761" s="5" t="str">
        <f t="shared" si="852"/>
        <v>CH</v>
      </c>
      <c r="D761" t="s">
        <v>466</v>
      </c>
      <c r="E761" s="5" t="s">
        <v>442</v>
      </c>
      <c r="F761" s="18">
        <f t="shared" ref="F761:K761" si="857">IFERROR(F$738/F$735,0)*F743</f>
        <v>0</v>
      </c>
      <c r="G761" s="18">
        <f t="shared" si="857"/>
        <v>0</v>
      </c>
      <c r="H761" s="18">
        <f t="shared" si="857"/>
        <v>0</v>
      </c>
      <c r="I761" s="18">
        <f t="shared" si="857"/>
        <v>0</v>
      </c>
      <c r="J761" s="18">
        <f t="shared" si="857"/>
        <v>0</v>
      </c>
      <c r="K761" s="18">
        <f t="shared" si="857"/>
        <v>0</v>
      </c>
      <c r="L761" s="18">
        <f t="shared" ref="L761" si="858">IFERROR(L$738/L$735,0)*L743</f>
        <v>0</v>
      </c>
      <c r="N761" s="1"/>
    </row>
    <row r="762" spans="2:14" x14ac:dyDescent="0.35">
      <c r="B762" s="5" t="str">
        <f t="shared" si="851"/>
        <v>SPS1</v>
      </c>
      <c r="C762" s="5" t="str">
        <f t="shared" si="852"/>
        <v>CH</v>
      </c>
      <c r="D762" t="s">
        <v>467</v>
      </c>
      <c r="E762" s="5" t="s">
        <v>442</v>
      </c>
      <c r="F762" s="18">
        <f t="shared" ref="F762:K762" si="859">IFERROR(F$738/F$735,0)*F744</f>
        <v>0</v>
      </c>
      <c r="G762" s="18">
        <f t="shared" si="859"/>
        <v>0</v>
      </c>
      <c r="H762" s="18">
        <f t="shared" si="859"/>
        <v>0</v>
      </c>
      <c r="I762" s="18">
        <f t="shared" si="859"/>
        <v>0</v>
      </c>
      <c r="J762" s="18">
        <f t="shared" si="859"/>
        <v>0</v>
      </c>
      <c r="K762" s="18">
        <f t="shared" si="859"/>
        <v>0</v>
      </c>
      <c r="L762" s="18">
        <f t="shared" ref="L762" si="860">IFERROR(L$738/L$735,0)*L744</f>
        <v>0</v>
      </c>
      <c r="N762" s="1"/>
    </row>
    <row r="763" spans="2:14" x14ac:dyDescent="0.35">
      <c r="B763" s="9" t="str">
        <f t="shared" ref="B763" si="861">B762</f>
        <v>SPS1</v>
      </c>
      <c r="C763" s="9" t="str">
        <f t="shared" ref="C763:C777" si="862">C762</f>
        <v>CH</v>
      </c>
      <c r="D763" s="2" t="s">
        <v>496</v>
      </c>
      <c r="E763" s="9" t="s">
        <v>8</v>
      </c>
      <c r="F763" s="17">
        <f t="shared" ref="F763:K763" si="863">F764+F768+F778+F789+F791+F803+F805+F807+F811+F813+F815</f>
        <v>142.21760158700843</v>
      </c>
      <c r="G763" s="17">
        <f t="shared" si="863"/>
        <v>139.06071934956051</v>
      </c>
      <c r="H763" s="17">
        <f t="shared" si="863"/>
        <v>144.60837035759988</v>
      </c>
      <c r="I763" s="17">
        <f t="shared" si="863"/>
        <v>134.30391156555439</v>
      </c>
      <c r="J763" s="17">
        <f t="shared" si="863"/>
        <v>130.41454385786119</v>
      </c>
      <c r="K763" s="17">
        <f t="shared" si="863"/>
        <v>120.68177424360753</v>
      </c>
      <c r="L763" s="17">
        <f t="shared" ref="L763" si="864">L764+L768+L778+L789+L791+L803+L805+L807+L811+L813+L815</f>
        <v>115.70301981196427</v>
      </c>
      <c r="N763" s="1"/>
    </row>
    <row r="764" spans="2:14" x14ac:dyDescent="0.35">
      <c r="B764" s="5" t="str">
        <f>B763</f>
        <v>SPS1</v>
      </c>
      <c r="C764" s="5" t="str">
        <f t="shared" si="862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[1]Industry!F$11</f>
        <v>64.427774642331528</v>
      </c>
      <c r="K764" s="18">
        <f>[1]Industry!G$11</f>
        <v>64.073424096038153</v>
      </c>
      <c r="L764" s="18">
        <f>[1]Industry!H$11</f>
        <v>64.716290171037912</v>
      </c>
      <c r="N764" s="1"/>
    </row>
    <row r="765" spans="2:14" x14ac:dyDescent="0.35">
      <c r="B765" s="5" t="str">
        <f t="shared" ref="B765:B777" si="865">B764</f>
        <v>SPS1</v>
      </c>
      <c r="C765" s="5" t="str">
        <f t="shared" si="862"/>
        <v>CH</v>
      </c>
      <c r="D765" t="s">
        <v>758</v>
      </c>
      <c r="E765" t="s">
        <v>8</v>
      </c>
      <c r="F765" s="1">
        <f t="shared" ref="F765:J765" si="866">F764-F766-F767</f>
        <v>11.646961614783351</v>
      </c>
      <c r="G765" s="1">
        <f t="shared" si="866"/>
        <v>12.258980410056758</v>
      </c>
      <c r="H765" s="1">
        <f t="shared" si="866"/>
        <v>12.249254253975181</v>
      </c>
      <c r="I765" s="1">
        <f t="shared" si="866"/>
        <v>12.233067224138878</v>
      </c>
      <c r="J765" s="1">
        <f t="shared" si="866"/>
        <v>12.216909996248916</v>
      </c>
      <c r="K765" s="1">
        <f>K764-K766-K767</f>
        <v>12.20079511141752</v>
      </c>
      <c r="L765" s="1">
        <f>L764-L766-L767</f>
        <v>12.16869132776953</v>
      </c>
      <c r="M765" s="1"/>
      <c r="N765" s="1"/>
    </row>
    <row r="766" spans="2:14" x14ac:dyDescent="0.35">
      <c r="B766" s="5" t="str">
        <f t="shared" si="865"/>
        <v>SPS1</v>
      </c>
      <c r="C766" s="5" t="str">
        <f t="shared" si="862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2.1155237873216066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2.0781948863168527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2.0042220172942238</v>
      </c>
      <c r="N766" s="1"/>
    </row>
    <row r="767" spans="2:14" x14ac:dyDescent="0.35">
      <c r="B767" s="5" t="str">
        <f t="shared" si="865"/>
        <v>SPS1</v>
      </c>
      <c r="C767" s="5" t="str">
        <f t="shared" si="862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[1]Industry!F$11-[1]Industry!F$33</f>
        <v>50.095340858761006</v>
      </c>
      <c r="K767" s="1">
        <f>[1]Industry!G$11-[1]Industry!G$33</f>
        <v>49.794434098303782</v>
      </c>
      <c r="L767" s="1">
        <f>[1]Industry!H$11-[1]Industry!H$33</f>
        <v>50.543376825974157</v>
      </c>
      <c r="N767" s="1"/>
    </row>
    <row r="768" spans="2:14" x14ac:dyDescent="0.35">
      <c r="B768" s="5" t="str">
        <f t="shared" si="865"/>
        <v>SPS1</v>
      </c>
      <c r="C768" s="5" t="str">
        <f t="shared" si="862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67">SUM(G771,G776)</f>
        <v>10.823579353129968</v>
      </c>
      <c r="H768" s="1">
        <f t="shared" si="867"/>
        <v>8.0048369321220125</v>
      </c>
      <c r="I768" s="1">
        <f t="shared" si="867"/>
        <v>5.9157978726601703</v>
      </c>
      <c r="J768" s="1">
        <f t="shared" si="867"/>
        <v>4.2709063010747341</v>
      </c>
      <c r="K768" s="1">
        <f t="shared" si="867"/>
        <v>2.5690182930729266</v>
      </c>
      <c r="L768" s="1">
        <f t="shared" ref="L768" si="868">SUM(L771,L776)</f>
        <v>0.37713444015560221</v>
      </c>
      <c r="N768" s="1"/>
    </row>
    <row r="769" spans="2:14" x14ac:dyDescent="0.35">
      <c r="B769" s="5" t="str">
        <f t="shared" si="865"/>
        <v>SPS1</v>
      </c>
      <c r="C769" s="5" t="str">
        <f t="shared" si="862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69">SUM(G773,G777)</f>
        <v>8.1053341898350748</v>
      </c>
      <c r="H769" s="1">
        <f t="shared" si="869"/>
        <v>7.998834874364257</v>
      </c>
      <c r="I769" s="1">
        <f t="shared" si="869"/>
        <v>5.9152352732278013</v>
      </c>
      <c r="J769" s="1">
        <f t="shared" si="869"/>
        <v>4.2694468424017167</v>
      </c>
      <c r="K769" s="1">
        <f t="shared" si="869"/>
        <v>2.5689809148690275</v>
      </c>
      <c r="L769" s="1">
        <f t="shared" ref="L769" si="870">SUM(L773,L777)</f>
        <v>0.37713444015560221</v>
      </c>
      <c r="N769" s="1"/>
    </row>
    <row r="770" spans="2:14" x14ac:dyDescent="0.35">
      <c r="B770" s="5" t="str">
        <f t="shared" si="865"/>
        <v>SPS1</v>
      </c>
      <c r="C770" s="5" t="str">
        <f t="shared" si="862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71">G775</f>
        <v>2.7182451632948927</v>
      </c>
      <c r="H770" s="1">
        <f t="shared" si="871"/>
        <v>6.0020577577564859E-3</v>
      </c>
      <c r="I770" s="1">
        <f t="shared" si="871"/>
        <v>5.6259943236925249E-4</v>
      </c>
      <c r="J770" s="1">
        <f t="shared" si="871"/>
        <v>1.459458673017327E-3</v>
      </c>
      <c r="K770" s="1">
        <f t="shared" si="871"/>
        <v>3.7378203899344037E-5</v>
      </c>
      <c r="L770" s="1">
        <f t="shared" ref="L770" si="872">L775</f>
        <v>0</v>
      </c>
      <c r="N770" s="1"/>
    </row>
    <row r="771" spans="2:14" x14ac:dyDescent="0.35">
      <c r="B771" s="5" t="str">
        <f t="shared" si="865"/>
        <v>SPS1</v>
      </c>
      <c r="C771" s="5" t="str">
        <f t="shared" si="862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73">SUM(G772,G774)</f>
        <v>10.823579353129968</v>
      </c>
      <c r="H771" s="1">
        <f t="shared" si="873"/>
        <v>8.0044344735431618</v>
      </c>
      <c r="I771" s="1">
        <f t="shared" si="873"/>
        <v>5.0104639597199387</v>
      </c>
      <c r="J771" s="1">
        <f t="shared" si="873"/>
        <v>3.37729743285231</v>
      </c>
      <c r="K771" s="1">
        <f t="shared" si="873"/>
        <v>1.5414497379870078</v>
      </c>
      <c r="L771" s="1">
        <f t="shared" ref="L771" si="874">SUM(L772,L774)</f>
        <v>5.6762242743685454E-6</v>
      </c>
      <c r="N771" s="1"/>
    </row>
    <row r="772" spans="2:14" x14ac:dyDescent="0.35">
      <c r="B772" s="5" t="str">
        <f t="shared" si="865"/>
        <v>SPS1</v>
      </c>
      <c r="C772" s="5" t="str">
        <f t="shared" si="862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[1]Industry!F$34</f>
        <v>3.3758379741792925</v>
      </c>
      <c r="K772" s="1">
        <f>[1]Industry!G$34</f>
        <v>1.5414123597831084</v>
      </c>
      <c r="L772" s="1">
        <f>[1]Industry!H$34</f>
        <v>5.6762242743685454E-6</v>
      </c>
      <c r="N772" s="1"/>
    </row>
    <row r="773" spans="2:14" x14ac:dyDescent="0.35">
      <c r="B773" s="5" t="str">
        <f t="shared" si="865"/>
        <v>SPS1</v>
      </c>
      <c r="C773" s="5" t="str">
        <f t="shared" si="862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75">G772</f>
        <v>8.1053341898350748</v>
      </c>
      <c r="H773" s="1">
        <f t="shared" si="875"/>
        <v>7.9984324157854054</v>
      </c>
      <c r="I773" s="1">
        <f t="shared" si="875"/>
        <v>5.0099013602875697</v>
      </c>
      <c r="J773" s="1">
        <f t="shared" si="875"/>
        <v>3.3758379741792925</v>
      </c>
      <c r="K773" s="1">
        <f t="shared" si="875"/>
        <v>1.5414123597831084</v>
      </c>
      <c r="L773" s="1">
        <f t="shared" ref="L773" si="876">L772</f>
        <v>5.6762242743685454E-6</v>
      </c>
      <c r="N773" s="1"/>
    </row>
    <row r="774" spans="2:14" x14ac:dyDescent="0.35">
      <c r="B774" s="5" t="str">
        <f t="shared" si="865"/>
        <v>SPS1</v>
      </c>
      <c r="C774" s="5" t="str">
        <f t="shared" si="862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[1]Industry!F$35</f>
        <v>1.459458673017327E-3</v>
      </c>
      <c r="K774" s="1">
        <f>[1]Industry!G$35</f>
        <v>3.7378203899344037E-5</v>
      </c>
      <c r="L774" s="1">
        <f>[1]Industry!H$35</f>
        <v>0</v>
      </c>
      <c r="N774" s="1"/>
    </row>
    <row r="775" spans="2:14" x14ac:dyDescent="0.35">
      <c r="B775" s="5" t="str">
        <f t="shared" si="865"/>
        <v>SPS1</v>
      </c>
      <c r="C775" s="5" t="str">
        <f t="shared" si="862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77">G774</f>
        <v>2.7182451632948927</v>
      </c>
      <c r="H775" s="1">
        <f t="shared" si="877"/>
        <v>6.0020577577564859E-3</v>
      </c>
      <c r="I775" s="1">
        <f t="shared" si="877"/>
        <v>5.6259943236925249E-4</v>
      </c>
      <c r="J775" s="1">
        <f t="shared" si="877"/>
        <v>1.459458673017327E-3</v>
      </c>
      <c r="K775" s="1">
        <f t="shared" si="877"/>
        <v>3.7378203899344037E-5</v>
      </c>
      <c r="L775" s="1">
        <f t="shared" ref="L775" si="878">L774</f>
        <v>0</v>
      </c>
      <c r="N775" s="1"/>
    </row>
    <row r="776" spans="2:14" x14ac:dyDescent="0.35">
      <c r="B776" s="5" t="str">
        <f t="shared" si="865"/>
        <v>SPS1</v>
      </c>
      <c r="C776" s="5" t="str">
        <f t="shared" si="862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[1]Industry!F$36</f>
        <v>0.89360886822242402</v>
      </c>
      <c r="K776" s="1">
        <f>[1]Industry!G$36</f>
        <v>1.027568555085919</v>
      </c>
      <c r="L776" s="1">
        <f>[1]Industry!H$36</f>
        <v>0.37712876393132783</v>
      </c>
      <c r="N776" s="1"/>
    </row>
    <row r="777" spans="2:14" x14ac:dyDescent="0.35">
      <c r="B777" s="5" t="str">
        <f t="shared" si="865"/>
        <v>SPS1</v>
      </c>
      <c r="C777" s="5" t="str">
        <f t="shared" si="862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9">G776</f>
        <v>0</v>
      </c>
      <c r="H777" s="1">
        <f t="shared" si="879"/>
        <v>4.0245857885122478E-4</v>
      </c>
      <c r="I777" s="1">
        <f t="shared" si="879"/>
        <v>0.90533391294023191</v>
      </c>
      <c r="J777" s="1">
        <f t="shared" si="879"/>
        <v>0.89360886822242402</v>
      </c>
      <c r="K777" s="1">
        <f t="shared" si="879"/>
        <v>1.027568555085919</v>
      </c>
      <c r="L777" s="1">
        <f t="shared" ref="L777" si="880">L776</f>
        <v>0.37712876393132783</v>
      </c>
      <c r="N777" s="1"/>
    </row>
    <row r="778" spans="2:14" x14ac:dyDescent="0.35">
      <c r="B778" s="5" t="str">
        <f t="shared" ref="B778:B779" si="881">B777</f>
        <v>SPS1</v>
      </c>
      <c r="C778" s="5" t="str">
        <f t="shared" ref="C778:C779" si="882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SUM([1]Industry!F$37:F$39)</f>
        <v>12.947961683374501</v>
      </c>
      <c r="K778" s="1">
        <f>SUM([1]Industry!G$37:G$39)</f>
        <v>5.3165826829905765</v>
      </c>
      <c r="L778" s="1">
        <f>SUM([1]Industry!H$37:H$39)</f>
        <v>3.4136560609036408</v>
      </c>
      <c r="N778" s="1"/>
    </row>
    <row r="779" spans="2:14" x14ac:dyDescent="0.35">
      <c r="B779" s="5" t="str">
        <f t="shared" si="881"/>
        <v>SPS1</v>
      </c>
      <c r="C779" s="5" t="str">
        <f t="shared" si="882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SUM([1]Industry!F$37:F$38)-J780</f>
        <v>11.48236955305414</v>
      </c>
      <c r="K779" s="1">
        <f>SUM([1]Industry!G$37:G$38)-K780</f>
        <v>3.8509922870459032</v>
      </c>
      <c r="L779" s="1">
        <f>SUM([1]Industry!H$37:H$38)-L780</f>
        <v>1.9480666488222602</v>
      </c>
      <c r="N779" s="1"/>
    </row>
    <row r="780" spans="2:14" x14ac:dyDescent="0.35">
      <c r="B780" s="5" t="str">
        <f t="shared" ref="B780" si="883">B779</f>
        <v>SPS1</v>
      </c>
      <c r="C780" s="5" t="str">
        <f t="shared" ref="C780" si="884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0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5">F778-F779</f>
        <v>0.4398321736571873</v>
      </c>
      <c r="G781" s="1">
        <f t="shared" si="885"/>
        <v>0.55280572415387397</v>
      </c>
      <c r="H781" s="1">
        <f t="shared" si="885"/>
        <v>1.7134273803798692</v>
      </c>
      <c r="I781" s="1">
        <f t="shared" si="885"/>
        <v>1.4655904116700711</v>
      </c>
      <c r="J781" s="1">
        <f t="shared" si="885"/>
        <v>1.4655921303203616</v>
      </c>
      <c r="K781" s="1">
        <f t="shared" si="885"/>
        <v>1.4655903959446732</v>
      </c>
      <c r="L781" s="1">
        <f t="shared" ref="L781" si="886">L778-L779</f>
        <v>1.4655894120813806</v>
      </c>
      <c r="N781" s="1"/>
    </row>
    <row r="782" spans="2:14" x14ac:dyDescent="0.35">
      <c r="B782" s="5" t="str">
        <f t="shared" ref="B782:B790" si="887">B781</f>
        <v>SPS1</v>
      </c>
      <c r="C782" s="5" t="str">
        <f t="shared" ref="C782:C790" si="888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[1]Industry!F$37</f>
        <v>9.8875655752255547</v>
      </c>
      <c r="K782" s="1">
        <f>[1]Industry!G$37</f>
        <v>2.2628233282108781</v>
      </c>
      <c r="L782" s="1">
        <f>[1]Industry!H$37</f>
        <v>1.4247852078063035</v>
      </c>
      <c r="N782" s="1"/>
    </row>
    <row r="783" spans="2:14" x14ac:dyDescent="0.35">
      <c r="B783" s="5" t="str">
        <f t="shared" si="887"/>
        <v>SPS1</v>
      </c>
      <c r="C783" s="5" t="str">
        <f t="shared" si="888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[1]Industry!F$37*J779/SUM(J779:J780)</f>
        <v>9.8875655752255547</v>
      </c>
      <c r="K783" s="1">
        <f>[1]Industry!G$37*K779/SUM(K779:K780)</f>
        <v>2.2628233282108781</v>
      </c>
      <c r="L783" s="1">
        <f>[1]Industry!H$37*L779/SUM(L779:L780)</f>
        <v>1.4247852078063035</v>
      </c>
      <c r="N783" s="1"/>
    </row>
    <row r="784" spans="2:14" x14ac:dyDescent="0.35">
      <c r="B784" s="5" t="str">
        <f t="shared" ref="B784" si="889">B783</f>
        <v>SPS1</v>
      </c>
      <c r="C784" s="5" t="str">
        <f t="shared" ref="C784" si="890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891">G782-G783</f>
        <v>7.3506487392549502E-4</v>
      </c>
      <c r="H784" s="1">
        <f t="shared" si="891"/>
        <v>0.23629715199643186</v>
      </c>
      <c r="I784" s="1">
        <f t="shared" si="891"/>
        <v>0</v>
      </c>
      <c r="J784" s="1">
        <f t="shared" si="891"/>
        <v>0</v>
      </c>
      <c r="K784" s="1">
        <f t="shared" si="891"/>
        <v>0</v>
      </c>
      <c r="L784" s="1">
        <f t="shared" ref="L784" si="892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893">SUM(G786:G788)</f>
        <v>0.55210068334238915</v>
      </c>
      <c r="H785" s="1">
        <f t="shared" si="893"/>
        <v>3.0591465246494858</v>
      </c>
      <c r="I785" s="1">
        <f t="shared" si="893"/>
        <v>3.1055973851077985</v>
      </c>
      <c r="J785" s="1">
        <f t="shared" si="893"/>
        <v>3.0603961081489466</v>
      </c>
      <c r="K785" s="1">
        <f t="shared" si="893"/>
        <v>3.0537593547796984</v>
      </c>
      <c r="L785" s="1">
        <f t="shared" ref="L785" si="894">SUM(L786:L788)</f>
        <v>1.9888708530973371</v>
      </c>
      <c r="N785" s="1"/>
    </row>
    <row r="786" spans="2:14" x14ac:dyDescent="0.35">
      <c r="B786" s="5" t="str">
        <f t="shared" si="887"/>
        <v>SPS1</v>
      </c>
      <c r="C786" s="5" t="str">
        <f t="shared" si="888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[1]Industry!F$38*J779/SUM(J779:J780)</f>
        <v>1.5948039778285843</v>
      </c>
      <c r="K786" s="1">
        <f>[1]Industry!G$38*K779/SUM(K779:K780)</f>
        <v>1.5881689588350254</v>
      </c>
      <c r="L786" s="1">
        <f>[1]Industry!H$38*L779/SUM(L779:L780)</f>
        <v>0.52328144101595675</v>
      </c>
      <c r="N786" s="1"/>
    </row>
    <row r="787" spans="2:14" x14ac:dyDescent="0.35">
      <c r="B787" s="5" t="str">
        <f t="shared" ref="B787" si="895">B786</f>
        <v>SPS1</v>
      </c>
      <c r="C787" s="5" t="str">
        <f t="shared" ref="C787" si="896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[1]Industry!F$38-J786</f>
        <v>0</v>
      </c>
      <c r="K787" s="1">
        <f>[1]Industry!G$38-K786</f>
        <v>0</v>
      </c>
      <c r="L787" s="1">
        <f>[1]Industry!H$38-L786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[1]Industry!F$39</f>
        <v>1.4655921303203623</v>
      </c>
      <c r="K788" s="1">
        <f>[1]Industry!G$39</f>
        <v>1.4655903959446728</v>
      </c>
      <c r="L788" s="1">
        <f>[1]Industry!H$39</f>
        <v>1.4655894120813804</v>
      </c>
      <c r="N788" s="1"/>
    </row>
    <row r="789" spans="2:14" x14ac:dyDescent="0.35">
      <c r="B789" s="5" t="str">
        <f t="shared" si="887"/>
        <v>SPS1</v>
      </c>
      <c r="C789" s="5" t="str">
        <f t="shared" si="888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[1]Industry!F$18</f>
        <v>1.1535659190434952E-3</v>
      </c>
      <c r="K789" s="1">
        <f>[1]Industry!G$18</f>
        <v>3.3862827112816783E-5</v>
      </c>
      <c r="L789" s="1">
        <f>[1]Industry!H$18</f>
        <v>4.4640298456509399E-4</v>
      </c>
      <c r="N789" s="1"/>
    </row>
    <row r="790" spans="2:14" x14ac:dyDescent="0.35">
      <c r="B790" s="5" t="str">
        <f t="shared" si="887"/>
        <v>SPS1</v>
      </c>
      <c r="C790" s="5" t="str">
        <f t="shared" si="888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897">G789</f>
        <v>3.4647226795167949</v>
      </c>
      <c r="H790" s="1">
        <f t="shared" si="897"/>
        <v>0.98900736887270957</v>
      </c>
      <c r="I790" s="1">
        <f t="shared" si="897"/>
        <v>4.4505442796075246E-4</v>
      </c>
      <c r="J790" s="1">
        <f t="shared" si="897"/>
        <v>1.1535659190434952E-3</v>
      </c>
      <c r="K790" s="1">
        <f t="shared" si="897"/>
        <v>3.3862827112816783E-5</v>
      </c>
      <c r="L790" s="1">
        <f t="shared" ref="L790" si="898">L789</f>
        <v>4.4640298456509399E-4</v>
      </c>
      <c r="N790" s="1"/>
    </row>
    <row r="791" spans="2:14" x14ac:dyDescent="0.35">
      <c r="B791" s="5" t="str">
        <f t="shared" ref="B791:B792" si="899">B790</f>
        <v>SPS1</v>
      </c>
      <c r="C791" s="5" t="str">
        <f t="shared" ref="C791:C792" si="900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[1]Industry!F$19</f>
        <v>15.494871119594109</v>
      </c>
      <c r="K791" s="1">
        <f>[1]Industry!G$19</f>
        <v>15.436573905953356</v>
      </c>
      <c r="L791" s="1">
        <f>[1]Industry!H$19</f>
        <v>18.027516400166011</v>
      </c>
      <c r="N791" s="1"/>
    </row>
    <row r="792" spans="2:14" x14ac:dyDescent="0.35">
      <c r="B792" s="5" t="str">
        <f t="shared" si="899"/>
        <v>SPS1</v>
      </c>
      <c r="C792" s="5" t="str">
        <f t="shared" si="900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01">SUM(G793:G801)</f>
        <v>5.0829417870219249</v>
      </c>
      <c r="H792" s="1">
        <f t="shared" si="901"/>
        <v>5.5399062928124874</v>
      </c>
      <c r="I792" s="1">
        <f t="shared" si="901"/>
        <v>7.9981846502731404</v>
      </c>
      <c r="J792" s="1">
        <f t="shared" si="901"/>
        <v>9.0401444352684912</v>
      </c>
      <c r="K792" s="1">
        <f t="shared" si="901"/>
        <v>9.001976561173727</v>
      </c>
      <c r="L792" s="1">
        <f t="shared" ref="L792" si="902">SUM(L793:L801)</f>
        <v>11.354382135681472</v>
      </c>
      <c r="M792" s="1"/>
      <c r="N792" s="1"/>
    </row>
    <row r="793" spans="2:14" x14ac:dyDescent="0.35">
      <c r="B793" s="5" t="str">
        <f t="shared" ref="B793:B802" si="903">B792</f>
        <v>SPS1</v>
      </c>
      <c r="C793" s="5" t="str">
        <f t="shared" ref="C793:C810" si="904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05">G235</f>
        <v>2.0703834895038904</v>
      </c>
      <c r="H793" s="1">
        <f t="shared" si="905"/>
        <v>0.82595651843136164</v>
      </c>
      <c r="I793" s="1">
        <f t="shared" si="905"/>
        <v>1.3159799433697916</v>
      </c>
      <c r="J793" s="1">
        <f t="shared" si="905"/>
        <v>0.83942020909226223</v>
      </c>
      <c r="K793" s="1">
        <f t="shared" si="905"/>
        <v>1.1437153230838054E-3</v>
      </c>
      <c r="L793" s="1">
        <f t="shared" ref="L793" si="906">L235</f>
        <v>0.38004669862074203</v>
      </c>
      <c r="N793" s="1"/>
    </row>
    <row r="794" spans="2:14" x14ac:dyDescent="0.35">
      <c r="B794" s="5" t="str">
        <f t="shared" si="903"/>
        <v>SPS1</v>
      </c>
      <c r="C794" s="5" t="str">
        <f t="shared" si="904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07">G241</f>
        <v>0.58792414981164998</v>
      </c>
      <c r="H794" s="1">
        <f t="shared" si="907"/>
        <v>0.44229531125113303</v>
      </c>
      <c r="I794" s="1">
        <f t="shared" si="907"/>
        <v>3.5057400812382497E-2</v>
      </c>
      <c r="J794" s="1">
        <f t="shared" si="907"/>
        <v>2.6098777028343408E-2</v>
      </c>
      <c r="K794" s="1">
        <f t="shared" si="907"/>
        <v>7.5431175662982247E-3</v>
      </c>
      <c r="L794" s="1">
        <f t="shared" ref="L794" si="908">L241</f>
        <v>5.4930458123255657E-2</v>
      </c>
      <c r="N794" s="1"/>
    </row>
    <row r="795" spans="2:14" x14ac:dyDescent="0.35">
      <c r="B795" s="5" t="str">
        <f t="shared" si="903"/>
        <v>SPS1</v>
      </c>
      <c r="C795" s="5" t="str">
        <f t="shared" si="904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9">G242</f>
        <v>0</v>
      </c>
      <c r="H795" s="1">
        <f t="shared" si="909"/>
        <v>0</v>
      </c>
      <c r="I795" s="1">
        <f t="shared" si="909"/>
        <v>0</v>
      </c>
      <c r="J795" s="1">
        <f t="shared" si="909"/>
        <v>0</v>
      </c>
      <c r="K795" s="1">
        <f t="shared" si="909"/>
        <v>0</v>
      </c>
      <c r="L795" s="1">
        <f t="shared" ref="L795" si="910">L242</f>
        <v>3.1823736870883038E-2</v>
      </c>
      <c r="N795" s="1"/>
    </row>
    <row r="796" spans="2:14" x14ac:dyDescent="0.35">
      <c r="B796" s="5" t="str">
        <f t="shared" si="903"/>
        <v>SPS1</v>
      </c>
      <c r="C796" s="5" t="str">
        <f t="shared" si="904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1">G243</f>
        <v>0</v>
      </c>
      <c r="H796" s="1">
        <f t="shared" si="911"/>
        <v>0</v>
      </c>
      <c r="I796" s="1">
        <f t="shared" si="911"/>
        <v>0</v>
      </c>
      <c r="J796" s="1">
        <f t="shared" si="911"/>
        <v>6.5105244452722173E-4</v>
      </c>
      <c r="K796" s="1">
        <f t="shared" si="911"/>
        <v>3.4313277839102547E-4</v>
      </c>
      <c r="L796" s="1">
        <f t="shared" ref="L796" si="912">L243</f>
        <v>0.89640831450095926</v>
      </c>
      <c r="N796" s="1"/>
    </row>
    <row r="797" spans="2:14" x14ac:dyDescent="0.35">
      <c r="B797" s="5" t="str">
        <f t="shared" si="903"/>
        <v>SPS1</v>
      </c>
      <c r="C797" s="5" t="str">
        <f t="shared" si="904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13">G274</f>
        <v>1.858781292415014</v>
      </c>
      <c r="H797" s="1">
        <f t="shared" si="913"/>
        <v>1.5300069227797846E-2</v>
      </c>
      <c r="I797" s="1">
        <f t="shared" si="913"/>
        <v>5.6622719877645472E-3</v>
      </c>
      <c r="J797" s="1">
        <f t="shared" si="913"/>
        <v>9.3012267583731517E-3</v>
      </c>
      <c r="K797" s="1">
        <f t="shared" si="913"/>
        <v>1.4286862162927379E-2</v>
      </c>
      <c r="L797" s="1">
        <f t="shared" ref="L797" si="914">L274</f>
        <v>6.0206186481548407E-4</v>
      </c>
      <c r="N797" s="1"/>
    </row>
    <row r="798" spans="2:14" x14ac:dyDescent="0.35">
      <c r="B798" s="5" t="str">
        <f t="shared" si="903"/>
        <v>SPS1</v>
      </c>
      <c r="C798" s="5" t="str">
        <f t="shared" si="904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5">G275</f>
        <v>0</v>
      </c>
      <c r="H798" s="1">
        <f t="shared" si="915"/>
        <v>0</v>
      </c>
      <c r="I798" s="1">
        <f t="shared" si="915"/>
        <v>0</v>
      </c>
      <c r="J798" s="1">
        <f t="shared" si="915"/>
        <v>0</v>
      </c>
      <c r="K798" s="1">
        <f t="shared" si="915"/>
        <v>0</v>
      </c>
      <c r="L798" s="1">
        <f t="shared" ref="L798" si="916">L275</f>
        <v>0.98928906614670487</v>
      </c>
      <c r="N798" s="1"/>
    </row>
    <row r="799" spans="2:14" x14ac:dyDescent="0.35">
      <c r="B799" s="5" t="str">
        <f t="shared" si="903"/>
        <v>SPS1</v>
      </c>
      <c r="C799" s="5" t="str">
        <f t="shared" si="904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17">G283</f>
        <v>0.56585285529137075</v>
      </c>
      <c r="H799" s="1">
        <f t="shared" si="917"/>
        <v>4.2563543939021944</v>
      </c>
      <c r="I799" s="1">
        <f t="shared" si="917"/>
        <v>6.6414850341032015</v>
      </c>
      <c r="J799" s="1">
        <f t="shared" si="917"/>
        <v>8.1595875018178941</v>
      </c>
      <c r="K799" s="1">
        <f t="shared" si="917"/>
        <v>8.9771629227474659</v>
      </c>
      <c r="L799" s="1">
        <f t="shared" ref="L799" si="918">L283</f>
        <v>5.9722759623025503</v>
      </c>
      <c r="N799" s="1"/>
    </row>
    <row r="800" spans="2:14" x14ac:dyDescent="0.35">
      <c r="B800" s="5" t="str">
        <f t="shared" si="903"/>
        <v>SPS1</v>
      </c>
      <c r="C800" s="5" t="str">
        <f t="shared" si="904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9">G284</f>
        <v>0</v>
      </c>
      <c r="H800" s="1">
        <f t="shared" si="919"/>
        <v>0</v>
      </c>
      <c r="I800" s="1">
        <f t="shared" si="919"/>
        <v>0</v>
      </c>
      <c r="J800" s="1">
        <f t="shared" si="919"/>
        <v>0</v>
      </c>
      <c r="K800" s="1">
        <f t="shared" si="919"/>
        <v>0</v>
      </c>
      <c r="L800" s="1">
        <f t="shared" ref="L800" si="920">L284</f>
        <v>2.8442041690919653</v>
      </c>
      <c r="N800" s="1"/>
    </row>
    <row r="801" spans="2:14" x14ac:dyDescent="0.35">
      <c r="B801" s="5" t="str">
        <f t="shared" si="903"/>
        <v>SPS1</v>
      </c>
      <c r="C801" s="5" t="str">
        <f t="shared" si="904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1">G289</f>
        <v>0</v>
      </c>
      <c r="H801" s="1">
        <f t="shared" si="921"/>
        <v>0</v>
      </c>
      <c r="I801" s="1">
        <f t="shared" si="921"/>
        <v>0</v>
      </c>
      <c r="J801" s="1">
        <f t="shared" si="921"/>
        <v>5.0856681270902383E-3</v>
      </c>
      <c r="K801" s="1">
        <f t="shared" si="921"/>
        <v>1.4968105955605036E-3</v>
      </c>
      <c r="L801" s="1">
        <f t="shared" ref="L801" si="922">L289</f>
        <v>0.18480166815959781</v>
      </c>
      <c r="M801" s="1"/>
      <c r="N801" s="1"/>
    </row>
    <row r="802" spans="2:14" x14ac:dyDescent="0.35">
      <c r="B802" s="5" t="str">
        <f t="shared" si="903"/>
        <v>SPS1</v>
      </c>
      <c r="C802" s="5" t="str">
        <f t="shared" si="904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6.4767573807530781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6.4767565350642791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6.4377494810995239</v>
      </c>
      <c r="N802" s="1"/>
    </row>
    <row r="803" spans="2:14" x14ac:dyDescent="0.35">
      <c r="B803" s="5" t="str">
        <f>B802</f>
        <v>SPS1</v>
      </c>
      <c r="C803" s="5" t="str">
        <f t="shared" si="904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23">G804</f>
        <v>10.609956594267411</v>
      </c>
      <c r="H803" s="1">
        <f t="shared" si="923"/>
        <v>9.8532855747135706</v>
      </c>
      <c r="I803" s="1">
        <f t="shared" si="923"/>
        <v>9.9385384104263128</v>
      </c>
      <c r="J803" s="1">
        <f t="shared" si="923"/>
        <v>10.721884242458112</v>
      </c>
      <c r="K803" s="1">
        <f t="shared" si="923"/>
        <v>10.08609815636178</v>
      </c>
      <c r="L803" s="1">
        <f t="shared" si="923"/>
        <v>10.897764759271086</v>
      </c>
      <c r="N803" s="1"/>
    </row>
    <row r="804" spans="2:14" x14ac:dyDescent="0.35">
      <c r="B804" s="5" t="str">
        <f t="shared" ref="B804:B806" si="924">B803</f>
        <v>SPS1</v>
      </c>
      <c r="C804" s="5" t="str">
        <f t="shared" si="904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10.721884242458112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10.08609815636178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10.897764759271086</v>
      </c>
      <c r="N804" s="1"/>
    </row>
    <row r="805" spans="2:14" x14ac:dyDescent="0.35">
      <c r="B805" s="5" t="str">
        <f t="shared" si="924"/>
        <v>SPS1</v>
      </c>
      <c r="C805" s="5" t="str">
        <f t="shared" si="904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25">G806</f>
        <v>0.73757751851636921</v>
      </c>
      <c r="H805" s="1">
        <f t="shared" si="925"/>
        <v>0.73634039967949361</v>
      </c>
      <c r="I805" s="1">
        <f t="shared" si="925"/>
        <v>0.73430551199156069</v>
      </c>
      <c r="J805" s="1">
        <f t="shared" si="925"/>
        <v>0.73277565445579596</v>
      </c>
      <c r="K805" s="1">
        <f t="shared" si="925"/>
        <v>0.73073471971034043</v>
      </c>
      <c r="L805" s="1">
        <f t="shared" si="925"/>
        <v>0.72669130442176155</v>
      </c>
      <c r="N805" s="1"/>
    </row>
    <row r="806" spans="2:14" x14ac:dyDescent="0.35">
      <c r="B806" s="5" t="str">
        <f t="shared" si="924"/>
        <v>SPS1</v>
      </c>
      <c r="C806" s="5" t="str">
        <f t="shared" si="904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0.73277565445579596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0.73073471971034043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0.72669130442176155</v>
      </c>
      <c r="N806" s="1"/>
    </row>
    <row r="807" spans="2:14" x14ac:dyDescent="0.35">
      <c r="B807" s="5" t="str">
        <f>B806</f>
        <v>SPS1</v>
      </c>
      <c r="C807" s="5" t="str">
        <f t="shared" si="904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[1]Industry!F$21</f>
        <v>10.769405444337723</v>
      </c>
      <c r="K807" s="1">
        <f>[1]Industry!G$21</f>
        <v>10.694841143978199</v>
      </c>
      <c r="L807" s="1">
        <f>[1]Industry!H$21</f>
        <v>5.3999477460187313</v>
      </c>
      <c r="N807" s="1"/>
    </row>
    <row r="808" spans="2:14" x14ac:dyDescent="0.35">
      <c r="B808" s="5" t="str">
        <f t="shared" ref="B808:B810" si="926">B807</f>
        <v>SPS1</v>
      </c>
      <c r="C808" s="5" t="str">
        <f t="shared" si="904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27">G807</f>
        <v>8.0801715131694731</v>
      </c>
      <c r="H808" s="1">
        <f t="shared" si="927"/>
        <v>11.008862407597146</v>
      </c>
      <c r="I808" s="1">
        <f t="shared" si="927"/>
        <v>10.904585351801449</v>
      </c>
      <c r="J808" s="1">
        <f t="shared" si="927"/>
        <v>10.769405444337723</v>
      </c>
      <c r="K808" s="1">
        <f t="shared" si="927"/>
        <v>10.694841143978199</v>
      </c>
      <c r="L808" s="1">
        <f t="shared" ref="L808" si="928">L807</f>
        <v>5.3999477460187313</v>
      </c>
      <c r="N808" s="1"/>
    </row>
    <row r="809" spans="2:14" x14ac:dyDescent="0.35">
      <c r="B809" s="5" t="str">
        <f t="shared" si="926"/>
        <v>SPS1</v>
      </c>
      <c r="C809" s="5" t="str">
        <f t="shared" si="904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6"/>
        <v>SPS1</v>
      </c>
      <c r="C810" s="5" t="str">
        <f t="shared" si="904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29">G808</f>
        <v>8.0801715131694731</v>
      </c>
      <c r="H810" s="1">
        <f t="shared" si="929"/>
        <v>11.008862407597146</v>
      </c>
      <c r="I810" s="1">
        <f t="shared" si="929"/>
        <v>10.904585351801449</v>
      </c>
      <c r="J810" s="1">
        <f t="shared" si="929"/>
        <v>10.769405444337723</v>
      </c>
      <c r="K810" s="1">
        <f t="shared" si="929"/>
        <v>10.694841143978199</v>
      </c>
      <c r="L810" s="1">
        <f t="shared" ref="L810" si="930">L808</f>
        <v>5.3999477460187313</v>
      </c>
      <c r="N810" s="1"/>
    </row>
    <row r="811" spans="2:14" x14ac:dyDescent="0.35">
      <c r="B811" s="5" t="str">
        <f>B810</f>
        <v>SPS1</v>
      </c>
      <c r="C811" s="5" t="str">
        <f t="shared" ref="C811:C812" si="931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[1]Industry!F$22</f>
        <v>0.45063826472506829</v>
      </c>
      <c r="K811" s="1">
        <f>[1]Industry!G$22</f>
        <v>0.31342830358985824</v>
      </c>
      <c r="L811" s="1">
        <f>[1]Industry!H$22</f>
        <v>0.43869807366384322</v>
      </c>
      <c r="N811" s="1"/>
    </row>
    <row r="812" spans="2:14" x14ac:dyDescent="0.35">
      <c r="B812" s="5" t="str">
        <f t="shared" ref="B812" si="932">B811</f>
        <v>SPS1</v>
      </c>
      <c r="C812" s="5" t="str">
        <f t="shared" si="931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33">G811</f>
        <v>8.5497042382649491E-2</v>
      </c>
      <c r="H812" s="1">
        <f t="shared" si="933"/>
        <v>8.6271676196359545E-2</v>
      </c>
      <c r="I812" s="1">
        <f t="shared" si="933"/>
        <v>0.45157611361254418</v>
      </c>
      <c r="J812" s="1">
        <f t="shared" si="933"/>
        <v>0.45063826472506829</v>
      </c>
      <c r="K812" s="1">
        <f t="shared" si="933"/>
        <v>0.31342830358985824</v>
      </c>
      <c r="L812" s="1">
        <f t="shared" ref="L812" si="934">L811</f>
        <v>0.43869807366384322</v>
      </c>
      <c r="N812" s="1"/>
    </row>
    <row r="813" spans="2:14" x14ac:dyDescent="0.35">
      <c r="B813" s="5" t="str">
        <f>B812</f>
        <v>SPS1</v>
      </c>
      <c r="C813" s="5" t="str">
        <f t="shared" ref="C813:C814" si="935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5.8022148520167454</v>
      </c>
      <c r="K813" s="1">
        <f>[1]Industry!G$23</f>
        <v>6.6252761783644365</v>
      </c>
      <c r="L813" s="1">
        <f>[1]Industry!H$23</f>
        <v>6.5307441060635805</v>
      </c>
      <c r="N813" s="1"/>
    </row>
    <row r="814" spans="2:14" x14ac:dyDescent="0.35">
      <c r="B814" s="5" t="str">
        <f t="shared" ref="B814" si="936">B813</f>
        <v>SPS1</v>
      </c>
      <c r="C814" s="5" t="str">
        <f t="shared" si="935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7">G813</f>
        <v>0</v>
      </c>
      <c r="H814" s="1">
        <f t="shared" si="937"/>
        <v>0</v>
      </c>
      <c r="I814" s="1">
        <f t="shared" si="937"/>
        <v>0</v>
      </c>
      <c r="J814" s="1">
        <f t="shared" si="937"/>
        <v>5.8022148520167454</v>
      </c>
      <c r="K814" s="1">
        <f t="shared" si="937"/>
        <v>6.6252761783644365</v>
      </c>
      <c r="L814" s="1">
        <f t="shared" ref="L814" si="938">L813</f>
        <v>6.5307441060635805</v>
      </c>
      <c r="N814" s="1"/>
    </row>
    <row r="815" spans="2:14" x14ac:dyDescent="0.35">
      <c r="B815" s="5" t="str">
        <f>B814</f>
        <v>SPS1</v>
      </c>
      <c r="C815" s="5" t="str">
        <f t="shared" ref="C815:C816" si="939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[1]Industry!F$24</f>
        <v>4.7949580875738436</v>
      </c>
      <c r="K815" s="1">
        <f>[1]Industry!G$24</f>
        <v>4.8357629007208027</v>
      </c>
      <c r="L815" s="1">
        <f>[1]Industry!H$24</f>
        <v>5.1741303472775551</v>
      </c>
      <c r="N815" s="1"/>
    </row>
    <row r="816" spans="2:14" x14ac:dyDescent="0.35">
      <c r="B816" s="5" t="str">
        <f t="shared" ref="B816" si="940">B815</f>
        <v>SPS1</v>
      </c>
      <c r="C816" s="5" t="str">
        <f t="shared" si="939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4.7919996419019064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4.8350308254225087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4.9090203733612761</v>
      </c>
      <c r="N816" s="1"/>
    </row>
    <row r="817" spans="2:14" x14ac:dyDescent="0.35">
      <c r="B817" s="5" t="str">
        <f t="shared" ref="B817:B818" si="941">B816</f>
        <v>SPS1</v>
      </c>
      <c r="C817" s="5" t="str">
        <f t="shared" ref="C817:C825" si="942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3">G815-G816</f>
        <v>0</v>
      </c>
      <c r="H817" s="1">
        <f t="shared" si="943"/>
        <v>0</v>
      </c>
      <c r="I817" s="1">
        <f t="shared" si="943"/>
        <v>0</v>
      </c>
      <c r="J817" s="1">
        <f t="shared" si="943"/>
        <v>2.9584456719371488E-3</v>
      </c>
      <c r="K817" s="1">
        <f t="shared" si="943"/>
        <v>7.3207529829399931E-4</v>
      </c>
      <c r="L817" s="1">
        <f t="shared" ref="L817" si="944">L815-L816</f>
        <v>0.265109973916279</v>
      </c>
      <c r="N817" s="1"/>
    </row>
    <row r="818" spans="2:14" x14ac:dyDescent="0.35">
      <c r="B818" s="9" t="str">
        <f t="shared" si="941"/>
        <v>SPS1</v>
      </c>
      <c r="C818" s="9" t="str">
        <f t="shared" si="942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[1]Industry!F$71</f>
        <v>76.896892800072038</v>
      </c>
      <c r="K818" s="17">
        <f>[1]Industry!G$71</f>
        <v>77.531807600791026</v>
      </c>
      <c r="L818" s="17">
        <f>[1]Industry!H$71</f>
        <v>78.463846190017492</v>
      </c>
      <c r="N818" s="1"/>
    </row>
    <row r="819" spans="2:14" x14ac:dyDescent="0.35">
      <c r="B819" s="5" t="str">
        <f>B818</f>
        <v>SPS1</v>
      </c>
      <c r="C819" s="5" t="str">
        <f t="shared" si="942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45">SUM(G820:G822)</f>
        <v>60.080749863452411</v>
      </c>
      <c r="H819" s="18">
        <f t="shared" si="945"/>
        <v>62.866319685205362</v>
      </c>
      <c r="I819" s="18">
        <f t="shared" si="945"/>
        <v>63.103946786439558</v>
      </c>
      <c r="J819" s="18">
        <f t="shared" si="945"/>
        <v>67.338077604298604</v>
      </c>
      <c r="K819" s="18">
        <f t="shared" si="945"/>
        <v>67.042985786698154</v>
      </c>
      <c r="L819" s="18">
        <f t="shared" ref="L819" si="946">SUM(L820:L822)</f>
        <v>67.092761858437996</v>
      </c>
      <c r="N819" s="1"/>
    </row>
    <row r="820" spans="2:14" x14ac:dyDescent="0.35">
      <c r="B820" s="5" t="str">
        <f t="shared" ref="B820:B825" si="947">B819</f>
        <v>SPS1</v>
      </c>
      <c r="C820" s="5" t="str">
        <f t="shared" si="942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[1]Industry!F$55</f>
        <v>10.335108164184762</v>
      </c>
      <c r="K820" s="1">
        <f>[1]Industry!G$55</f>
        <v>10.335107924269025</v>
      </c>
      <c r="L820" s="1">
        <f>[1]Industry!H$55</f>
        <v>10.335106412045851</v>
      </c>
      <c r="M820" s="1"/>
      <c r="N820" s="1"/>
    </row>
    <row r="821" spans="2:14" x14ac:dyDescent="0.35">
      <c r="B821" s="5" t="str">
        <f t="shared" si="947"/>
        <v>SPS1</v>
      </c>
      <c r="C821" s="5" t="str">
        <f t="shared" si="942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[1]Industry!F$56</f>
        <v>6.907523429223513</v>
      </c>
      <c r="K821" s="1">
        <f>[1]Industry!G$56</f>
        <v>6.9132257117393614</v>
      </c>
      <c r="L821" s="1">
        <f>[1]Industry!H$56</f>
        <v>6.9132423906555003</v>
      </c>
      <c r="N821" s="1"/>
    </row>
    <row r="822" spans="2:14" x14ac:dyDescent="0.35">
      <c r="B822" s="5" t="str">
        <f t="shared" si="947"/>
        <v>SPS1</v>
      </c>
      <c r="C822" s="5" t="str">
        <f t="shared" si="942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[1]Industry!F$3-([1]Industry!F$6-[1]Industry!F$70)</f>
        <v>50.095446010890335</v>
      </c>
      <c r="K822" s="1">
        <f>[1]Industry!G$3-([1]Industry!G$6-[1]Industry!G$70)</f>
        <v>49.794652150689771</v>
      </c>
      <c r="L822" s="1">
        <f>[1]Industry!H$3-([1]Industry!H$6-[1]Industry!H$70)</f>
        <v>49.844413055736638</v>
      </c>
      <c r="N822" s="1"/>
    </row>
    <row r="823" spans="2:14" x14ac:dyDescent="0.35">
      <c r="B823" s="5" t="str">
        <f t="shared" si="947"/>
        <v>SPS1</v>
      </c>
      <c r="C823" s="5" t="str">
        <f t="shared" si="942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48">SUM(G824:G825)</f>
        <v>8.1576092915933156</v>
      </c>
      <c r="H823" s="1">
        <f t="shared" si="948"/>
        <v>6.2480446527487228</v>
      </c>
      <c r="I823" s="1">
        <f t="shared" si="948"/>
        <v>4.6364595803561066</v>
      </c>
      <c r="J823" s="1">
        <f t="shared" si="948"/>
        <v>3.3606263737626967</v>
      </c>
      <c r="K823" s="1">
        <f t="shared" si="948"/>
        <v>2.0296231903661059</v>
      </c>
      <c r="L823" s="1">
        <f t="shared" ref="L823" si="949">SUM(L824:L825)</f>
        <v>0.30032287788350537</v>
      </c>
      <c r="N823" s="1"/>
    </row>
    <row r="824" spans="2:14" x14ac:dyDescent="0.35">
      <c r="B824" s="5" t="str">
        <f t="shared" si="947"/>
        <v>SPS1</v>
      </c>
      <c r="C824" s="5" t="str">
        <f t="shared" si="942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[1]Industry!F$57</f>
        <v>3.3596075803927636</v>
      </c>
      <c r="K824" s="1">
        <f>[1]Industry!G$57</f>
        <v>2.0295968247155303</v>
      </c>
      <c r="L824" s="1">
        <f>[1]Industry!H$57</f>
        <v>0.30032287788350537</v>
      </c>
      <c r="N824" s="1"/>
    </row>
    <row r="825" spans="2:14" x14ac:dyDescent="0.35">
      <c r="B825" s="5" t="str">
        <f t="shared" si="947"/>
        <v>SPS1</v>
      </c>
      <c r="C825" s="5" t="str">
        <f t="shared" si="942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[1]Industry!F$58</f>
        <v>1.0187933699331588E-3</v>
      </c>
      <c r="K825" s="1">
        <f>[1]Industry!G$58</f>
        <v>2.6365650575499813E-5</v>
      </c>
      <c r="L825" s="1">
        <f>[1]Industry!H$58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50">SUM(G827:G829)</f>
        <v>23.809671132584711</v>
      </c>
      <c r="H826" s="1">
        <f t="shared" si="950"/>
        <v>28.605193329327136</v>
      </c>
      <c r="I826" s="1">
        <f t="shared" si="950"/>
        <v>21.56628392222294</v>
      </c>
      <c r="J826" s="1">
        <f t="shared" si="950"/>
        <v>10.607329310531629</v>
      </c>
      <c r="K826" s="1">
        <f t="shared" si="950"/>
        <v>4.2668033713846203</v>
      </c>
      <c r="L826" s="1">
        <f t="shared" ref="L826" si="951">SUM(L827:L829)</f>
        <v>2.9979122225583339</v>
      </c>
      <c r="N826" s="1"/>
    </row>
    <row r="827" spans="2:14" x14ac:dyDescent="0.35">
      <c r="B827" s="5" t="str">
        <f t="shared" ref="B827:B856" si="952">B826</f>
        <v>SPS1</v>
      </c>
      <c r="C827" s="5" t="str">
        <f t="shared" ref="C827:C856" si="953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[1]Industry!F$59</f>
        <v>9.5592502410766436</v>
      </c>
      <c r="K827" s="1">
        <f>[1]Industry!G$59</f>
        <v>3.2233014589363749</v>
      </c>
      <c r="L827" s="1">
        <f>[1]Industry!H$59</f>
        <v>1.4297197562513158</v>
      </c>
      <c r="N827" s="1"/>
    </row>
    <row r="828" spans="2:14" x14ac:dyDescent="0.35">
      <c r="B828" s="5" t="str">
        <f t="shared" si="952"/>
        <v>SPS1</v>
      </c>
      <c r="C828" s="5" t="str">
        <f t="shared" si="953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[1]Industry!F$60</f>
        <v>6.0430647972070598E-3</v>
      </c>
      <c r="K828" s="1">
        <f>[1]Industry!G$60</f>
        <v>1.4671409315838921E-3</v>
      </c>
      <c r="L828" s="1">
        <f>[1]Industry!H$60</f>
        <v>0.51296808960842399</v>
      </c>
      <c r="N828" s="1"/>
    </row>
    <row r="829" spans="2:14" x14ac:dyDescent="0.35">
      <c r="B829" s="5" t="str">
        <f t="shared" si="952"/>
        <v>SPS1</v>
      </c>
      <c r="C829" s="5" t="str">
        <f t="shared" si="953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[1]Industry!F$68</f>
        <v>1.0420360046577777</v>
      </c>
      <c r="K829" s="1">
        <f>[1]Industry!G$68</f>
        <v>1.0420347715166616</v>
      </c>
      <c r="L829" s="1">
        <f>[1]Industry!H$68</f>
        <v>1.055224376698594</v>
      </c>
      <c r="N829" s="1"/>
    </row>
    <row r="830" spans="2:14" x14ac:dyDescent="0.35">
      <c r="B830" s="5" t="str">
        <f t="shared" si="952"/>
        <v>SPS1</v>
      </c>
      <c r="C830" s="5" t="str">
        <f t="shared" si="953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54">G831</f>
        <v>2.3075053045581861</v>
      </c>
      <c r="H830" s="1">
        <f t="shared" si="954"/>
        <v>0.66016241872253345</v>
      </c>
      <c r="I830" s="1">
        <f t="shared" si="954"/>
        <v>2.9818646673370375E-4</v>
      </c>
      <c r="J830" s="1">
        <f t="shared" si="954"/>
        <v>7.7577308055675072E-4</v>
      </c>
      <c r="K830" s="1">
        <f t="shared" si="954"/>
        <v>2.2857408301151303E-5</v>
      </c>
      <c r="L830" s="1">
        <f t="shared" si="954"/>
        <v>3.0355402950426404E-4</v>
      </c>
      <c r="N830" s="1"/>
    </row>
    <row r="831" spans="2:14" x14ac:dyDescent="0.35">
      <c r="B831" s="5" t="str">
        <f t="shared" si="952"/>
        <v>SPS1</v>
      </c>
      <c r="C831" s="5" t="str">
        <f t="shared" si="953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[1]Industry!F$61</f>
        <v>7.7577308055675072E-4</v>
      </c>
      <c r="K831" s="1">
        <f>[1]Industry!G$61</f>
        <v>2.2857408301151303E-5</v>
      </c>
      <c r="L831" s="1">
        <f>[1]Industry!H$61</f>
        <v>3.0355402950426404E-4</v>
      </c>
      <c r="N831" s="1"/>
    </row>
    <row r="832" spans="2:14" x14ac:dyDescent="0.35">
      <c r="B832" s="5" t="str">
        <f t="shared" si="952"/>
        <v>SPS1</v>
      </c>
      <c r="C832" s="5" t="str">
        <f t="shared" si="953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55">G833+G843</f>
        <v>12.635411163077247</v>
      </c>
      <c r="H832" s="1">
        <f t="shared" si="955"/>
        <v>12.564596052404045</v>
      </c>
      <c r="I832" s="1">
        <f t="shared" si="955"/>
        <v>13.554470991781198</v>
      </c>
      <c r="J832" s="1">
        <f t="shared" si="955"/>
        <v>14.554751200586004</v>
      </c>
      <c r="K832" s="1">
        <f t="shared" si="955"/>
        <v>14.576406020293154</v>
      </c>
      <c r="L832" s="1">
        <f t="shared" ref="L832" si="956">L833+L843</f>
        <v>16.867627503362336</v>
      </c>
      <c r="N832" s="1"/>
    </row>
    <row r="833" spans="2:14" x14ac:dyDescent="0.35">
      <c r="B833" s="5" t="str">
        <f t="shared" si="952"/>
        <v>SPS1</v>
      </c>
      <c r="C833" s="5" t="str">
        <f t="shared" si="953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[1]Industry!F$62</f>
        <v>8.4709579546897125</v>
      </c>
      <c r="K833" s="1">
        <f>[1]Industry!G$62</f>
        <v>8.4605519761989409</v>
      </c>
      <c r="L833" s="1">
        <f>[1]Industry!H$62</f>
        <v>10.751765496317784</v>
      </c>
      <c r="M833" s="1"/>
      <c r="N833" s="1"/>
    </row>
    <row r="834" spans="2:14" x14ac:dyDescent="0.35">
      <c r="B834" s="5" t="str">
        <f t="shared" si="952"/>
        <v>SPS1</v>
      </c>
      <c r="C834" s="5" t="str">
        <f t="shared" si="953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57">IFERROR(G793/G$792,0)*G$833</f>
        <v>2.2677785736483664</v>
      </c>
      <c r="H834" s="1">
        <f t="shared" si="957"/>
        <v>0.8491640432991614</v>
      </c>
      <c r="I834" s="1">
        <f t="shared" si="957"/>
        <v>1.2344617364909674</v>
      </c>
      <c r="J834" s="1">
        <f t="shared" si="957"/>
        <v>0.78656854970107715</v>
      </c>
      <c r="K834" s="1">
        <f t="shared" si="957"/>
        <v>1.0749264754433029E-3</v>
      </c>
      <c r="L834" s="1">
        <f t="shared" ref="L834" si="958">IFERROR(L793/L$792,0)*L$833</f>
        <v>0.35987629554751921</v>
      </c>
      <c r="N834" s="1"/>
    </row>
    <row r="835" spans="2:14" x14ac:dyDescent="0.35">
      <c r="B835" s="5" t="str">
        <f t="shared" si="952"/>
        <v>SPS1</v>
      </c>
      <c r="C835" s="5" t="str">
        <f t="shared" si="953"/>
        <v>CH</v>
      </c>
      <c r="D835" t="s">
        <v>2047</v>
      </c>
      <c r="E835" t="s">
        <v>8</v>
      </c>
      <c r="F835" s="1">
        <f t="shared" ref="F835:K842" si="959">IFERROR(F794/F$792,0)*F$833</f>
        <v>0.93875121017266661</v>
      </c>
      <c r="G835" s="1">
        <f t="shared" si="959"/>
        <v>0.64397817922745115</v>
      </c>
      <c r="H835" s="1">
        <f t="shared" si="959"/>
        <v>0.45472281706495749</v>
      </c>
      <c r="I835" s="1">
        <f t="shared" si="959"/>
        <v>3.2885774666820029E-2</v>
      </c>
      <c r="J835" s="1">
        <f t="shared" si="959"/>
        <v>2.4455543211611599E-2</v>
      </c>
      <c r="K835" s="1">
        <f t="shared" si="959"/>
        <v>7.0894361697742894E-3</v>
      </c>
      <c r="L835" s="1">
        <f t="shared" ref="L835" si="960">IFERROR(L794/L$792,0)*L$833</f>
        <v>5.2015107232525983E-2</v>
      </c>
      <c r="N835" s="1"/>
    </row>
    <row r="836" spans="2:14" x14ac:dyDescent="0.35">
      <c r="B836" s="5" t="str">
        <f t="shared" si="952"/>
        <v>SPS1</v>
      </c>
      <c r="C836" s="5" t="str">
        <f t="shared" si="953"/>
        <v>CH</v>
      </c>
      <c r="D836" t="s">
        <v>2048</v>
      </c>
      <c r="E836" t="s">
        <v>8</v>
      </c>
      <c r="F836" s="1">
        <f t="shared" si="959"/>
        <v>0</v>
      </c>
      <c r="G836" s="1">
        <f t="shared" si="959"/>
        <v>0</v>
      </c>
      <c r="H836" s="1">
        <f t="shared" si="959"/>
        <v>0</v>
      </c>
      <c r="I836" s="1">
        <f t="shared" si="959"/>
        <v>0</v>
      </c>
      <c r="J836" s="1">
        <f t="shared" si="959"/>
        <v>0</v>
      </c>
      <c r="K836" s="1">
        <f t="shared" si="959"/>
        <v>0</v>
      </c>
      <c r="L836" s="1">
        <f t="shared" ref="L836" si="961">IFERROR(L795/L$792,0)*L$833</f>
        <v>3.0134740223072502E-2</v>
      </c>
      <c r="N836" s="1"/>
    </row>
    <row r="837" spans="2:14" x14ac:dyDescent="0.35">
      <c r="B837" s="5" t="str">
        <f t="shared" si="952"/>
        <v>SPS1</v>
      </c>
      <c r="C837" s="5" t="str">
        <f t="shared" si="953"/>
        <v>CH</v>
      </c>
      <c r="D837" t="s">
        <v>2049</v>
      </c>
      <c r="E837" t="s">
        <v>8</v>
      </c>
      <c r="F837" s="1">
        <f t="shared" si="959"/>
        <v>0</v>
      </c>
      <c r="G837" s="1">
        <f t="shared" si="959"/>
        <v>0</v>
      </c>
      <c r="H837" s="1">
        <f t="shared" si="959"/>
        <v>0</v>
      </c>
      <c r="I837" s="1">
        <f t="shared" si="959"/>
        <v>0</v>
      </c>
      <c r="J837" s="1">
        <f t="shared" si="959"/>
        <v>6.1006081522017798E-4</v>
      </c>
      <c r="K837" s="1">
        <f t="shared" si="959"/>
        <v>3.2249503057318586E-4</v>
      </c>
      <c r="L837" s="1">
        <f t="shared" ref="L837" si="962">IFERROR(L796/L$792,0)*L$833</f>
        <v>0.84883280052519905</v>
      </c>
      <c r="N837" s="1"/>
    </row>
    <row r="838" spans="2:14" x14ac:dyDescent="0.35">
      <c r="B838" s="5" t="str">
        <f t="shared" si="952"/>
        <v>SPS1</v>
      </c>
      <c r="C838" s="5" t="str">
        <f t="shared" si="953"/>
        <v>CH</v>
      </c>
      <c r="D838" t="s">
        <v>2050</v>
      </c>
      <c r="E838" t="s">
        <v>8</v>
      </c>
      <c r="F838" s="1">
        <f t="shared" si="959"/>
        <v>2.3315217635524452</v>
      </c>
      <c r="G838" s="1">
        <f t="shared" si="959"/>
        <v>2.0360017404540196</v>
      </c>
      <c r="H838" s="1">
        <f t="shared" si="959"/>
        <v>1.5729966842453796E-2</v>
      </c>
      <c r="I838" s="1">
        <f t="shared" si="959"/>
        <v>5.3115232840108932E-3</v>
      </c>
      <c r="J838" s="1">
        <f t="shared" si="959"/>
        <v>8.7156019863828416E-3</v>
      </c>
      <c r="K838" s="1">
        <f t="shared" si="959"/>
        <v>1.3427577719717679E-2</v>
      </c>
      <c r="L838" s="1">
        <f t="shared" ref="L838" si="963">IFERROR(L797/L$792,0)*L$833</f>
        <v>5.7010834296562546E-4</v>
      </c>
      <c r="N838" s="1"/>
    </row>
    <row r="839" spans="2:14" x14ac:dyDescent="0.35">
      <c r="B839" s="5" t="str">
        <f t="shared" si="952"/>
        <v>SPS1</v>
      </c>
      <c r="C839" s="5" t="str">
        <f t="shared" si="953"/>
        <v>CH</v>
      </c>
      <c r="D839" t="s">
        <v>2051</v>
      </c>
      <c r="E839" t="s">
        <v>8</v>
      </c>
      <c r="F839" s="1">
        <f t="shared" si="959"/>
        <v>0</v>
      </c>
      <c r="G839" s="1">
        <f t="shared" si="959"/>
        <v>0</v>
      </c>
      <c r="H839" s="1">
        <f t="shared" si="959"/>
        <v>0</v>
      </c>
      <c r="I839" s="1">
        <f t="shared" si="959"/>
        <v>0</v>
      </c>
      <c r="J839" s="1">
        <f t="shared" si="959"/>
        <v>0</v>
      </c>
      <c r="K839" s="1">
        <f t="shared" si="959"/>
        <v>0</v>
      </c>
      <c r="L839" s="1">
        <f t="shared" ref="L839" si="964">IFERROR(L798/L$792,0)*L$833</f>
        <v>0.9367840469147809</v>
      </c>
      <c r="N839" s="1"/>
    </row>
    <row r="840" spans="2:14" x14ac:dyDescent="0.35">
      <c r="B840" s="5" t="str">
        <f t="shared" si="952"/>
        <v>SPS1</v>
      </c>
      <c r="C840" s="5" t="str">
        <f t="shared" si="953"/>
        <v>CH</v>
      </c>
      <c r="D840" t="s">
        <v>2052</v>
      </c>
      <c r="E840" t="s">
        <v>8</v>
      </c>
      <c r="F840" s="1">
        <f t="shared" si="959"/>
        <v>0.79482434526069123</v>
      </c>
      <c r="G840" s="1">
        <f t="shared" si="959"/>
        <v>0.61980255714607257</v>
      </c>
      <c r="H840" s="1">
        <f t="shared" si="959"/>
        <v>4.3759484018655357</v>
      </c>
      <c r="I840" s="1">
        <f t="shared" si="959"/>
        <v>6.2300791052208151</v>
      </c>
      <c r="J840" s="1">
        <f t="shared" si="959"/>
        <v>7.6458427351949947</v>
      </c>
      <c r="K840" s="1">
        <f t="shared" si="959"/>
        <v>8.437230755998316</v>
      </c>
      <c r="L840" s="1">
        <f t="shared" ref="L840" si="965">IFERROR(L799/L$792,0)*L$833</f>
        <v>5.6553064586564323</v>
      </c>
      <c r="N840" s="1"/>
    </row>
    <row r="841" spans="2:14" x14ac:dyDescent="0.35">
      <c r="B841" s="5" t="str">
        <f t="shared" si="952"/>
        <v>SPS1</v>
      </c>
      <c r="C841" s="5" t="str">
        <f t="shared" si="953"/>
        <v>CH</v>
      </c>
      <c r="D841" t="s">
        <v>2053</v>
      </c>
      <c r="E841" t="s">
        <v>8</v>
      </c>
      <c r="F841" s="1">
        <f t="shared" si="959"/>
        <v>0</v>
      </c>
      <c r="G841" s="1">
        <f t="shared" si="959"/>
        <v>0</v>
      </c>
      <c r="H841" s="1">
        <f t="shared" si="959"/>
        <v>0</v>
      </c>
      <c r="I841" s="1">
        <f t="shared" si="959"/>
        <v>0</v>
      </c>
      <c r="J841" s="1">
        <f t="shared" si="959"/>
        <v>0</v>
      </c>
      <c r="K841" s="1">
        <f t="shared" si="959"/>
        <v>0</v>
      </c>
      <c r="L841" s="1">
        <f t="shared" ref="L841" si="966">IFERROR(L800/L$792,0)*L$833</f>
        <v>2.6932523394317491</v>
      </c>
      <c r="N841" s="1"/>
    </row>
    <row r="842" spans="2:14" x14ac:dyDescent="0.35">
      <c r="B842" s="5" t="str">
        <f t="shared" si="952"/>
        <v>SPS1</v>
      </c>
      <c r="C842" s="5" t="str">
        <f t="shared" si="953"/>
        <v>CH</v>
      </c>
      <c r="D842" t="s">
        <v>2054</v>
      </c>
      <c r="E842" t="s">
        <v>8</v>
      </c>
      <c r="F842" s="1">
        <f t="shared" si="959"/>
        <v>0</v>
      </c>
      <c r="G842" s="1">
        <f t="shared" si="959"/>
        <v>0</v>
      </c>
      <c r="H842" s="1">
        <f t="shared" si="959"/>
        <v>0</v>
      </c>
      <c r="I842" s="1">
        <f t="shared" si="959"/>
        <v>0</v>
      </c>
      <c r="J842" s="1">
        <f t="shared" si="959"/>
        <v>4.765463780425484E-3</v>
      </c>
      <c r="K842" s="1">
        <f t="shared" si="959"/>
        <v>1.4067848051154835E-3</v>
      </c>
      <c r="L842" s="1">
        <f t="shared" ref="L842" si="967">IFERROR(L801/L$792,0)*L$833</f>
        <v>0.17499359944354026</v>
      </c>
      <c r="M842" s="1"/>
      <c r="N842" s="1"/>
    </row>
    <row r="843" spans="2:14" x14ac:dyDescent="0.35">
      <c r="B843" s="5" t="str">
        <f t="shared" si="952"/>
        <v>SPS1</v>
      </c>
      <c r="C843" s="5" t="str">
        <f t="shared" si="953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[1]Industry!F$63</f>
        <v>6.0837932458962927</v>
      </c>
      <c r="K843" s="1">
        <f>[1]Industry!G$63</f>
        <v>6.1158540440942133</v>
      </c>
      <c r="L843" s="1">
        <f>[1]Industry!H$63</f>
        <v>6.1158620070445515</v>
      </c>
      <c r="N843" s="1"/>
    </row>
    <row r="844" spans="2:14" x14ac:dyDescent="0.35">
      <c r="B844" s="5" t="str">
        <f t="shared" si="952"/>
        <v>SPS1</v>
      </c>
      <c r="C844" s="5" t="str">
        <f t="shared" si="953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68">G845</f>
        <v>6.2669476950139451</v>
      </c>
      <c r="H844" s="1">
        <f t="shared" si="968"/>
        <v>5.8298606317055262</v>
      </c>
      <c r="I844" s="1">
        <f t="shared" si="968"/>
        <v>5.8968661235196089</v>
      </c>
      <c r="J844" s="1">
        <f t="shared" si="968"/>
        <v>6.379521124262574</v>
      </c>
      <c r="K844" s="1">
        <f t="shared" si="968"/>
        <v>6.0180385666292002</v>
      </c>
      <c r="L844" s="1">
        <f t="shared" si="968"/>
        <v>6.5386588555626544</v>
      </c>
      <c r="N844" s="1"/>
    </row>
    <row r="845" spans="2:14" x14ac:dyDescent="0.35">
      <c r="B845" s="5" t="str">
        <f t="shared" si="952"/>
        <v>SPS1</v>
      </c>
      <c r="C845" s="5" t="str">
        <f t="shared" si="953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[1]Industry!F$64</f>
        <v>6.379521124262574</v>
      </c>
      <c r="K845" s="1">
        <f>[1]Industry!G$64</f>
        <v>6.0180385666292002</v>
      </c>
      <c r="L845" s="1">
        <f>[1]Industry!H$64</f>
        <v>6.5386588555626544</v>
      </c>
      <c r="N845" s="1"/>
    </row>
    <row r="846" spans="2:14" x14ac:dyDescent="0.35">
      <c r="B846" s="5" t="str">
        <f t="shared" si="952"/>
        <v>SPS1</v>
      </c>
      <c r="C846" s="5" t="str">
        <f t="shared" si="953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69">G847</f>
        <v>0.54457806783791973</v>
      </c>
      <c r="H846" s="1">
        <f t="shared" si="969"/>
        <v>0.54458508726295862</v>
      </c>
      <c r="I846" s="1">
        <f t="shared" si="969"/>
        <v>0.54460992139374098</v>
      </c>
      <c r="J846" s="1">
        <f t="shared" si="969"/>
        <v>0.54500189300149815</v>
      </c>
      <c r="K846" s="1">
        <f t="shared" si="969"/>
        <v>0.54500631178396242</v>
      </c>
      <c r="L846" s="1">
        <f t="shared" si="969"/>
        <v>0.54501847831632111</v>
      </c>
      <c r="N846" s="1"/>
    </row>
    <row r="847" spans="2:14" x14ac:dyDescent="0.35">
      <c r="B847" s="5" t="str">
        <f t="shared" si="952"/>
        <v>SPS1</v>
      </c>
      <c r="C847" s="5" t="str">
        <f t="shared" si="953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[1]Industry!F$65</f>
        <v>0.54500189300149815</v>
      </c>
      <c r="K847" s="1">
        <f>[1]Industry!G$65</f>
        <v>0.54500631178396242</v>
      </c>
      <c r="L847" s="1">
        <f>[1]Industry!H$65</f>
        <v>0.54501847831632111</v>
      </c>
      <c r="N847" s="1"/>
    </row>
    <row r="848" spans="2:14" x14ac:dyDescent="0.35">
      <c r="B848" s="5" t="str">
        <f t="shared" si="952"/>
        <v>SPS1</v>
      </c>
      <c r="C848" s="5" t="str">
        <f t="shared" si="953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70">G849</f>
        <v>4.2663305589534835</v>
      </c>
      <c r="H848" s="1">
        <f t="shared" si="970"/>
        <v>5.8126793512112895</v>
      </c>
      <c r="I848" s="1">
        <f t="shared" si="970"/>
        <v>5.7576210657511648</v>
      </c>
      <c r="J848" s="1">
        <f t="shared" si="970"/>
        <v>5.6862460746103185</v>
      </c>
      <c r="K848" s="1">
        <f t="shared" si="970"/>
        <v>5.6468761240204923</v>
      </c>
      <c r="L848" s="1">
        <f t="shared" si="970"/>
        <v>2.9375715738341892</v>
      </c>
      <c r="N848" s="1"/>
    </row>
    <row r="849" spans="2:14" x14ac:dyDescent="0.35">
      <c r="B849" s="5" t="str">
        <f t="shared" si="952"/>
        <v>SPS1</v>
      </c>
      <c r="C849" s="5" t="str">
        <f t="shared" si="953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[1]Industry!F$66</f>
        <v>5.6862460746103185</v>
      </c>
      <c r="K849" s="1">
        <f>[1]Industry!G$66</f>
        <v>5.6468761240204923</v>
      </c>
      <c r="L849" s="1">
        <f>[1]Industry!H$66</f>
        <v>2.9375715738341892</v>
      </c>
      <c r="N849" s="1"/>
    </row>
    <row r="850" spans="2:14" x14ac:dyDescent="0.35">
      <c r="B850" s="5" t="str">
        <f t="shared" si="952"/>
        <v>SPS1</v>
      </c>
      <c r="C850" s="5" t="str">
        <f t="shared" si="953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71">G851</f>
        <v>8.5497042382649491E-2</v>
      </c>
      <c r="H850" s="1">
        <f t="shared" si="971"/>
        <v>8.6271676196359545E-2</v>
      </c>
      <c r="I850" s="1">
        <f t="shared" si="971"/>
        <v>0.45157611361254418</v>
      </c>
      <c r="J850" s="1">
        <f t="shared" si="971"/>
        <v>0.45063826472506829</v>
      </c>
      <c r="K850" s="1">
        <f t="shared" si="971"/>
        <v>0.31342830358985824</v>
      </c>
      <c r="L850" s="1">
        <f t="shared" si="971"/>
        <v>0.43869807366384322</v>
      </c>
      <c r="N850" s="1"/>
    </row>
    <row r="851" spans="2:14" x14ac:dyDescent="0.35">
      <c r="B851" s="5" t="str">
        <f t="shared" si="952"/>
        <v>SPS1</v>
      </c>
      <c r="C851" s="5" t="str">
        <f t="shared" si="953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[1]Industry!F$67</f>
        <v>0.45063826472506829</v>
      </c>
      <c r="K851" s="1">
        <f>[1]Industry!G$67</f>
        <v>0.31342830358985824</v>
      </c>
      <c r="L851" s="1">
        <f>[1]Industry!H$67</f>
        <v>0.43869807366384322</v>
      </c>
      <c r="N851" s="1"/>
    </row>
    <row r="852" spans="2:14" x14ac:dyDescent="0.35">
      <c r="B852" s="5" t="str">
        <f t="shared" si="952"/>
        <v>SPS1</v>
      </c>
      <c r="C852" s="5" t="str">
        <f t="shared" si="953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2">G853</f>
        <v>0</v>
      </c>
      <c r="H852" s="1">
        <f t="shared" si="972"/>
        <v>0</v>
      </c>
      <c r="I852" s="1">
        <f t="shared" si="972"/>
        <v>0</v>
      </c>
      <c r="J852" s="1">
        <f t="shared" si="972"/>
        <v>4.4244205059563475</v>
      </c>
      <c r="K852" s="1">
        <f t="shared" si="972"/>
        <v>5.260428833055486</v>
      </c>
      <c r="L852" s="1">
        <f t="shared" si="972"/>
        <v>5.2603979046828808</v>
      </c>
      <c r="N852" s="1"/>
    </row>
    <row r="853" spans="2:14" x14ac:dyDescent="0.35">
      <c r="B853" s="5" t="str">
        <f t="shared" si="952"/>
        <v>SPS1</v>
      </c>
      <c r="C853" s="5" t="str">
        <f t="shared" si="953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4.4244205059563475</v>
      </c>
      <c r="K853" s="1">
        <f>[1]Industry!G$69</f>
        <v>5.260428833055486</v>
      </c>
      <c r="L853" s="1">
        <f>[1]Industry!H$69</f>
        <v>5.2603979046828808</v>
      </c>
      <c r="N853" s="1"/>
    </row>
    <row r="854" spans="2:14" x14ac:dyDescent="0.35">
      <c r="B854" s="5" t="str">
        <f t="shared" si="952"/>
        <v>SPS1</v>
      </c>
      <c r="C854" s="5" t="str">
        <f t="shared" si="953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3">SUM(G855:G856)</f>
        <v>4.8942321334634595</v>
      </c>
      <c r="H854" s="1">
        <f t="shared" si="973"/>
        <v>4.8942867807424388</v>
      </c>
      <c r="I854" s="1">
        <f t="shared" si="973"/>
        <v>14.466150191722601</v>
      </c>
      <c r="J854" s="1">
        <f t="shared" si="973"/>
        <v>18.086541775992476</v>
      </c>
      <c r="K854" s="1">
        <f t="shared" si="973"/>
        <v>26.853132425342121</v>
      </c>
      <c r="L854" s="1">
        <f t="shared" ref="L854" si="974">SUM(L855:L856)</f>
        <v>31.90022761040165</v>
      </c>
      <c r="N854" s="1"/>
    </row>
    <row r="855" spans="2:14" x14ac:dyDescent="0.35">
      <c r="B855" s="5" t="str">
        <f t="shared" si="952"/>
        <v>SPS1</v>
      </c>
      <c r="C855" s="5" t="str">
        <f t="shared" si="953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[1]Industry!F$6-J856</f>
        <v>4.4415910898454118</v>
      </c>
      <c r="K855" s="1">
        <f>[1]Industry!G$6-K856</f>
        <v>5.2262920390906693</v>
      </c>
      <c r="L855" s="1">
        <f>[1]Industry!H$6-L856</f>
        <v>6.5712412669790901</v>
      </c>
      <c r="N855" s="1"/>
    </row>
    <row r="856" spans="2:14" x14ac:dyDescent="0.35">
      <c r="B856" s="5" t="str">
        <f t="shared" si="952"/>
        <v>SPS1</v>
      </c>
      <c r="C856" s="5" t="str">
        <f t="shared" si="953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[1]Industry!F$70</f>
        <v>13.644950686147064</v>
      </c>
      <c r="K856" s="1">
        <f>[1]Industry!G$70</f>
        <v>21.626840386251452</v>
      </c>
      <c r="L856" s="1">
        <f>[1]Industry!H$70</f>
        <v>25.32898634342256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5">IFERROR(G820/G765,"-")</f>
        <v>0.84306236513985267</v>
      </c>
      <c r="H858" s="4">
        <f t="shared" si="975"/>
        <v>0.84373276872970704</v>
      </c>
      <c r="I858" s="4">
        <f t="shared" si="975"/>
        <v>0.84485010804612937</v>
      </c>
      <c r="J858" s="4">
        <f t="shared" si="975"/>
        <v>0.8459674473625538</v>
      </c>
      <c r="K858" s="4">
        <f t="shared" si="975"/>
        <v>0.8470847866789778</v>
      </c>
      <c r="L858" s="4">
        <f t="shared" ref="L858" si="976">IFERROR(L820/L765,"-")</f>
        <v>0.84931946531182434</v>
      </c>
      <c r="N858" s="1"/>
    </row>
    <row r="859" spans="2:14" x14ac:dyDescent="0.35">
      <c r="B859" s="5" t="str">
        <f t="shared" ref="B859:B881" si="977">B858</f>
        <v>SPS1</v>
      </c>
      <c r="C859" s="5" t="str">
        <f t="shared" ref="C859:C881" si="978">C858</f>
        <v>CH</v>
      </c>
      <c r="D859" t="s">
        <v>2070</v>
      </c>
      <c r="E859" t="s">
        <v>240</v>
      </c>
      <c r="F859" s="4">
        <f t="shared" ref="F859:K859" si="979">IFERROR(F821/F766,"-")</f>
        <v>3.0809801822513219</v>
      </c>
      <c r="G859" s="4">
        <f t="shared" si="979"/>
        <v>3.1055374774069167</v>
      </c>
      <c r="H859" s="4">
        <f t="shared" si="979"/>
        <v>3.142373420140288</v>
      </c>
      <c r="I859" s="4">
        <f t="shared" si="979"/>
        <v>3.2037666580292474</v>
      </c>
      <c r="J859" s="4">
        <f t="shared" si="979"/>
        <v>3.2651598959182091</v>
      </c>
      <c r="K859" s="4">
        <f t="shared" si="979"/>
        <v>3.3265531338071699</v>
      </c>
      <c r="L859" s="4">
        <f t="shared" ref="L859" si="980">IFERROR(L821/L766,"-")</f>
        <v>3.4493396095850906</v>
      </c>
      <c r="N859" s="1"/>
    </row>
    <row r="860" spans="2:14" x14ac:dyDescent="0.35">
      <c r="B860" s="5" t="str">
        <f t="shared" si="977"/>
        <v>SPS1</v>
      </c>
      <c r="C860" s="5" t="str">
        <f t="shared" si="978"/>
        <v>CH</v>
      </c>
      <c r="D860" t="s">
        <v>2071</v>
      </c>
      <c r="E860" t="s">
        <v>240</v>
      </c>
      <c r="F860" s="4">
        <f t="shared" ref="F860:K860" si="981">IFERROR(F822/F767,"-")</f>
        <v>1</v>
      </c>
      <c r="G860" s="4">
        <f t="shared" si="981"/>
        <v>0.99999995608545633</v>
      </c>
      <c r="H860" s="4">
        <f t="shared" si="981"/>
        <v>0.99999995947540243</v>
      </c>
      <c r="I860" s="4">
        <f t="shared" si="981"/>
        <v>1.00000044378925</v>
      </c>
      <c r="J860" s="4">
        <f t="shared" si="981"/>
        <v>1.0000020990401008</v>
      </c>
      <c r="K860" s="4">
        <f t="shared" si="981"/>
        <v>1.0000043790513928</v>
      </c>
      <c r="L860" s="4">
        <f t="shared" ref="L860" si="982">IFERROR(L822/L767,"-")</f>
        <v>0.98617101163137322</v>
      </c>
      <c r="N860" s="1"/>
    </row>
    <row r="861" spans="2:14" x14ac:dyDescent="0.35">
      <c r="B861" s="5" t="str">
        <f t="shared" si="977"/>
        <v>SPS1</v>
      </c>
      <c r="C861" s="5" t="str">
        <f t="shared" si="978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83">IFERROR(G824/G769,"-")</f>
        <v>0.77871988564932337</v>
      </c>
      <c r="H861" s="4">
        <f t="shared" si="983"/>
        <v>0.78060651575785545</v>
      </c>
      <c r="I861" s="4">
        <f t="shared" si="983"/>
        <v>0.78375089927207675</v>
      </c>
      <c r="J861" s="4">
        <f t="shared" si="983"/>
        <v>0.7868952827862975</v>
      </c>
      <c r="K861" s="4">
        <f t="shared" si="983"/>
        <v>0.79003966630051969</v>
      </c>
      <c r="L861" s="4">
        <f t="shared" ref="L861" si="984">IFERROR(L824/L769,"-")</f>
        <v>0.79632843332896064</v>
      </c>
      <c r="N861" s="1"/>
    </row>
    <row r="862" spans="2:14" x14ac:dyDescent="0.35">
      <c r="B862" s="5" t="str">
        <f t="shared" si="977"/>
        <v>SPS1</v>
      </c>
      <c r="C862" s="5" t="str">
        <f t="shared" si="978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83"/>
        <v>0.67904999999999949</v>
      </c>
      <c r="H862" s="4">
        <f t="shared" si="983"/>
        <v>0.68343750000000003</v>
      </c>
      <c r="I862" s="4">
        <f t="shared" si="983"/>
        <v>0.69074999999999964</v>
      </c>
      <c r="J862" s="4">
        <f t="shared" si="983"/>
        <v>0.6980625000000007</v>
      </c>
      <c r="K862" s="4">
        <f t="shared" si="983"/>
        <v>0.70537500000000031</v>
      </c>
      <c r="L862" s="4" t="str">
        <f t="shared" ref="L862" si="985">IFERROR(L825/L770,"-")</f>
        <v>-</v>
      </c>
      <c r="N862" s="1"/>
    </row>
    <row r="863" spans="2:14" x14ac:dyDescent="0.35">
      <c r="B863" s="5" t="str">
        <f t="shared" si="977"/>
        <v>SPS1</v>
      </c>
      <c r="C863" s="5" t="str">
        <f t="shared" si="978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86">IFERROR(G827/G779,"-")</f>
        <v>0.80572833273972966</v>
      </c>
      <c r="H863" s="4">
        <f t="shared" si="986"/>
        <v>0.81266051860326283</v>
      </c>
      <c r="I863" s="4">
        <f t="shared" si="986"/>
        <v>0.80852645006348145</v>
      </c>
      <c r="J863" s="4">
        <f t="shared" si="986"/>
        <v>0.832515466159511</v>
      </c>
      <c r="K863" s="4">
        <f t="shared" si="986"/>
        <v>0.83700543098437885</v>
      </c>
      <c r="L863" s="4">
        <f t="shared" ref="L863" si="987">IFERROR(L827/L779,"-")</f>
        <v>0.73391726977908034</v>
      </c>
      <c r="N863" s="1"/>
    </row>
    <row r="864" spans="2:14" x14ac:dyDescent="0.35">
      <c r="B864" s="5" t="str">
        <f t="shared" si="977"/>
        <v>SPS1</v>
      </c>
      <c r="C864" s="5" t="str">
        <f t="shared" si="978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6"/>
        <v>0</v>
      </c>
      <c r="H864" s="4">
        <f t="shared" si="986"/>
        <v>0</v>
      </c>
      <c r="I864" s="4" t="str">
        <f t="shared" si="986"/>
        <v>-</v>
      </c>
      <c r="J864" s="4" t="str">
        <f t="shared" si="986"/>
        <v>-</v>
      </c>
      <c r="K864" s="4" t="str">
        <f t="shared" si="986"/>
        <v>-</v>
      </c>
      <c r="L864" s="4" t="str">
        <f t="shared" ref="L864" si="988">IFERROR(L828/L780,"-")</f>
        <v>-</v>
      </c>
      <c r="N864" s="1"/>
    </row>
    <row r="865" spans="2:14" x14ac:dyDescent="0.35">
      <c r="B865" s="5" t="str">
        <f t="shared" si="977"/>
        <v>SPS1</v>
      </c>
      <c r="C865" s="5" t="str">
        <f t="shared" si="978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86"/>
        <v>0.71005458347763961</v>
      </c>
      <c r="H865" s="4">
        <f t="shared" si="986"/>
        <v>0.60814934973313683</v>
      </c>
      <c r="I865" s="4">
        <f t="shared" si="986"/>
        <v>0.71100000000000063</v>
      </c>
      <c r="J865" s="4">
        <f t="shared" si="986"/>
        <v>0.71100000000000041</v>
      </c>
      <c r="K865" s="4">
        <f t="shared" si="986"/>
        <v>0.7109999999999993</v>
      </c>
      <c r="L865" s="4">
        <f t="shared" ref="L865" si="989">IFERROR(L829/L781,"-")</f>
        <v>0.72</v>
      </c>
      <c r="N865" s="1"/>
    </row>
    <row r="866" spans="2:14" x14ac:dyDescent="0.35">
      <c r="B866" s="5" t="str">
        <f t="shared" si="977"/>
        <v>SPS1</v>
      </c>
      <c r="C866" s="5" t="str">
        <f t="shared" si="978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990">IFERROR(G831/G790,"-")</f>
        <v>0.66600000000000026</v>
      </c>
      <c r="H866" s="4">
        <f t="shared" si="990"/>
        <v>0.66749999999999976</v>
      </c>
      <c r="I866" s="4">
        <f t="shared" si="990"/>
        <v>0.66999999999999915</v>
      </c>
      <c r="J866" s="4">
        <f t="shared" si="990"/>
        <v>0.67250000000000021</v>
      </c>
      <c r="K866" s="4">
        <f t="shared" si="990"/>
        <v>0.67499999999999927</v>
      </c>
      <c r="L866" s="4">
        <f t="shared" ref="L866" si="991">IFERROR(L831/L790,"-")</f>
        <v>0.68000000000000027</v>
      </c>
      <c r="N866" s="1"/>
    </row>
    <row r="867" spans="2:14" x14ac:dyDescent="0.35">
      <c r="B867" s="5" t="str">
        <f t="shared" si="977"/>
        <v>SPS1</v>
      </c>
      <c r="C867" s="5" t="str">
        <f t="shared" si="978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992">IFERROR(G834/G793,"-")</f>
        <v>1.0953422808601396</v>
      </c>
      <c r="H867" s="4">
        <f t="shared" si="992"/>
        <v>1.0280977561771349</v>
      </c>
      <c r="I867" s="4">
        <f t="shared" si="992"/>
        <v>0.93805512972326688</v>
      </c>
      <c r="J867" s="4">
        <f t="shared" si="992"/>
        <v>0.93703789970896922</v>
      </c>
      <c r="K867" s="4">
        <f t="shared" si="992"/>
        <v>0.9398549217168598</v>
      </c>
      <c r="L867" s="4">
        <f t="shared" ref="L867" si="993">IFERROR(L834/L793,"-")</f>
        <v>0.94692651417200868</v>
      </c>
      <c r="N867" s="1"/>
    </row>
    <row r="868" spans="2:14" x14ac:dyDescent="0.35">
      <c r="B868" s="5" t="str">
        <f t="shared" si="977"/>
        <v>SPS1</v>
      </c>
      <c r="C868" s="5" t="str">
        <f t="shared" si="978"/>
        <v>CH</v>
      </c>
      <c r="D868" t="s">
        <v>2079</v>
      </c>
      <c r="E868" t="s">
        <v>240</v>
      </c>
      <c r="F868" s="4">
        <f t="shared" ref="F868:K876" si="994">IFERROR(F835/F794,"-")</f>
        <v>1.2050200190524045</v>
      </c>
      <c r="G868" s="4">
        <f t="shared" si="994"/>
        <v>1.0953422808601396</v>
      </c>
      <c r="H868" s="4">
        <f t="shared" si="994"/>
        <v>1.0280977561771352</v>
      </c>
      <c r="I868" s="4">
        <f t="shared" si="994"/>
        <v>0.93805512972326699</v>
      </c>
      <c r="J868" s="4">
        <f t="shared" si="994"/>
        <v>0.93703789970896922</v>
      </c>
      <c r="K868" s="4">
        <f t="shared" si="994"/>
        <v>0.93985492171686003</v>
      </c>
      <c r="L868" s="4">
        <f t="shared" ref="L868" si="995">IFERROR(L835/L794,"-")</f>
        <v>0.94692651417200879</v>
      </c>
      <c r="N868" s="1"/>
    </row>
    <row r="869" spans="2:14" x14ac:dyDescent="0.35">
      <c r="B869" s="5" t="str">
        <f t="shared" si="977"/>
        <v>SPS1</v>
      </c>
      <c r="C869" s="5" t="str">
        <f t="shared" si="978"/>
        <v>CH</v>
      </c>
      <c r="D869" t="s">
        <v>2080</v>
      </c>
      <c r="E869" t="s">
        <v>240</v>
      </c>
      <c r="F869" s="4" t="str">
        <f t="shared" si="994"/>
        <v>-</v>
      </c>
      <c r="G869" s="4" t="str">
        <f t="shared" si="994"/>
        <v>-</v>
      </c>
      <c r="H869" s="4" t="str">
        <f t="shared" si="994"/>
        <v>-</v>
      </c>
      <c r="I869" s="4" t="str">
        <f t="shared" si="994"/>
        <v>-</v>
      </c>
      <c r="J869" s="4" t="str">
        <f t="shared" si="994"/>
        <v>-</v>
      </c>
      <c r="K869" s="4" t="str">
        <f t="shared" si="994"/>
        <v>-</v>
      </c>
      <c r="L869" s="4">
        <f t="shared" ref="L869" si="996">IFERROR(L836/L795,"-")</f>
        <v>0.94692651417200868</v>
      </c>
      <c r="N869" s="1"/>
    </row>
    <row r="870" spans="2:14" x14ac:dyDescent="0.35">
      <c r="B870" s="5" t="str">
        <f t="shared" si="977"/>
        <v>SPS1</v>
      </c>
      <c r="C870" s="5" t="str">
        <f t="shared" si="978"/>
        <v>CH</v>
      </c>
      <c r="D870" t="s">
        <v>2081</v>
      </c>
      <c r="E870" t="s">
        <v>240</v>
      </c>
      <c r="F870" s="4" t="str">
        <f t="shared" si="994"/>
        <v>-</v>
      </c>
      <c r="G870" s="4" t="str">
        <f t="shared" si="994"/>
        <v>-</v>
      </c>
      <c r="H870" s="4" t="str">
        <f t="shared" si="994"/>
        <v>-</v>
      </c>
      <c r="I870" s="4" t="str">
        <f t="shared" si="994"/>
        <v>-</v>
      </c>
      <c r="J870" s="4">
        <f t="shared" si="994"/>
        <v>0.93703789970896911</v>
      </c>
      <c r="K870" s="4">
        <f t="shared" si="994"/>
        <v>0.9398549217168598</v>
      </c>
      <c r="L870" s="4">
        <f t="shared" ref="L870" si="997">IFERROR(L837/L796,"-")</f>
        <v>0.94692651417200868</v>
      </c>
      <c r="N870" s="1"/>
    </row>
    <row r="871" spans="2:14" x14ac:dyDescent="0.35">
      <c r="B871" s="5" t="str">
        <f t="shared" si="977"/>
        <v>SPS1</v>
      </c>
      <c r="C871" s="5" t="str">
        <f t="shared" si="978"/>
        <v>CH</v>
      </c>
      <c r="D871" t="s">
        <v>2082</v>
      </c>
      <c r="E871" t="s">
        <v>240</v>
      </c>
      <c r="F871" s="4">
        <f t="shared" si="994"/>
        <v>1.2050200190524045</v>
      </c>
      <c r="G871" s="4">
        <f t="shared" si="994"/>
        <v>1.0953422808601396</v>
      </c>
      <c r="H871" s="4">
        <f t="shared" si="994"/>
        <v>1.0280977561771349</v>
      </c>
      <c r="I871" s="4">
        <f t="shared" si="994"/>
        <v>0.93805512972326699</v>
      </c>
      <c r="J871" s="4">
        <f t="shared" si="994"/>
        <v>0.93703789970896911</v>
      </c>
      <c r="K871" s="4">
        <f t="shared" si="994"/>
        <v>0.93985492171685991</v>
      </c>
      <c r="L871" s="4">
        <f t="shared" ref="L871" si="998">IFERROR(L838/L797,"-")</f>
        <v>0.94692651417200868</v>
      </c>
      <c r="N871" s="1"/>
    </row>
    <row r="872" spans="2:14" x14ac:dyDescent="0.35">
      <c r="B872" s="5" t="str">
        <f t="shared" si="977"/>
        <v>SPS1</v>
      </c>
      <c r="C872" s="5" t="str">
        <f t="shared" si="978"/>
        <v>CH</v>
      </c>
      <c r="D872" t="s">
        <v>2083</v>
      </c>
      <c r="E872" t="s">
        <v>240</v>
      </c>
      <c r="F872" s="4" t="str">
        <f t="shared" si="994"/>
        <v>-</v>
      </c>
      <c r="G872" s="4" t="str">
        <f t="shared" si="994"/>
        <v>-</v>
      </c>
      <c r="H872" s="4" t="str">
        <f t="shared" si="994"/>
        <v>-</v>
      </c>
      <c r="I872" s="4" t="str">
        <f t="shared" si="994"/>
        <v>-</v>
      </c>
      <c r="J872" s="4" t="str">
        <f t="shared" si="994"/>
        <v>-</v>
      </c>
      <c r="K872" s="4" t="str">
        <f t="shared" si="994"/>
        <v>-</v>
      </c>
      <c r="L872" s="4">
        <f t="shared" ref="L872" si="999">IFERROR(L839/L798,"-")</f>
        <v>0.94692651417200857</v>
      </c>
      <c r="N872" s="1"/>
    </row>
    <row r="873" spans="2:14" x14ac:dyDescent="0.35">
      <c r="B873" s="5" t="str">
        <f t="shared" si="977"/>
        <v>SPS1</v>
      </c>
      <c r="C873" s="5" t="str">
        <f t="shared" si="978"/>
        <v>CH</v>
      </c>
      <c r="D873" t="s">
        <v>2084</v>
      </c>
      <c r="E873" t="s">
        <v>240</v>
      </c>
      <c r="F873" s="4">
        <f t="shared" si="994"/>
        <v>1.2050200190524045</v>
      </c>
      <c r="G873" s="4">
        <f t="shared" si="994"/>
        <v>1.0953422808601396</v>
      </c>
      <c r="H873" s="4">
        <f t="shared" si="994"/>
        <v>1.0280977561771349</v>
      </c>
      <c r="I873" s="4">
        <f t="shared" si="994"/>
        <v>0.93805512972326699</v>
      </c>
      <c r="J873" s="4">
        <f t="shared" si="994"/>
        <v>0.93703789970896922</v>
      </c>
      <c r="K873" s="4">
        <f t="shared" si="994"/>
        <v>0.9398549217168598</v>
      </c>
      <c r="L873" s="4">
        <f t="shared" ref="L873" si="1000">IFERROR(L840/L799,"-")</f>
        <v>0.94692651417200857</v>
      </c>
      <c r="N873" s="1"/>
    </row>
    <row r="874" spans="2:14" x14ac:dyDescent="0.35">
      <c r="B874" s="5" t="str">
        <f t="shared" si="977"/>
        <v>SPS1</v>
      </c>
      <c r="C874" s="5" t="str">
        <f t="shared" si="978"/>
        <v>CH</v>
      </c>
      <c r="D874" t="s">
        <v>2085</v>
      </c>
      <c r="E874" t="s">
        <v>240</v>
      </c>
      <c r="F874" s="4" t="str">
        <f t="shared" si="994"/>
        <v>-</v>
      </c>
      <c r="G874" s="4" t="str">
        <f t="shared" si="994"/>
        <v>-</v>
      </c>
      <c r="H874" s="4" t="str">
        <f t="shared" si="994"/>
        <v>-</v>
      </c>
      <c r="I874" s="4" t="str">
        <f t="shared" si="994"/>
        <v>-</v>
      </c>
      <c r="J874" s="4" t="str">
        <f t="shared" si="994"/>
        <v>-</v>
      </c>
      <c r="K874" s="4" t="str">
        <f t="shared" si="994"/>
        <v>-</v>
      </c>
      <c r="L874" s="4">
        <f t="shared" ref="L874" si="1001">IFERROR(L841/L800,"-")</f>
        <v>0.94692651417200868</v>
      </c>
      <c r="N874" s="1"/>
    </row>
    <row r="875" spans="2:14" x14ac:dyDescent="0.35">
      <c r="B875" s="5" t="str">
        <f t="shared" si="977"/>
        <v>SPS1</v>
      </c>
      <c r="C875" s="5" t="str">
        <f t="shared" si="978"/>
        <v>CH</v>
      </c>
      <c r="D875" t="s">
        <v>2086</v>
      </c>
      <c r="E875" t="s">
        <v>240</v>
      </c>
      <c r="F875" s="4" t="str">
        <f t="shared" si="994"/>
        <v>-</v>
      </c>
      <c r="G875" s="4" t="str">
        <f t="shared" si="994"/>
        <v>-</v>
      </c>
      <c r="H875" s="4" t="str">
        <f t="shared" si="994"/>
        <v>-</v>
      </c>
      <c r="I875" s="4" t="str">
        <f t="shared" si="994"/>
        <v>-</v>
      </c>
      <c r="J875" s="4">
        <f t="shared" si="994"/>
        <v>0.93703789970896922</v>
      </c>
      <c r="K875" s="4">
        <f t="shared" si="994"/>
        <v>0.93985492171685991</v>
      </c>
      <c r="L875" s="4">
        <f t="shared" ref="L875" si="1002">IFERROR(L842/L801,"-")</f>
        <v>0.94692651417200879</v>
      </c>
      <c r="N875" s="1"/>
    </row>
    <row r="876" spans="2:14" x14ac:dyDescent="0.35">
      <c r="B876" s="5" t="str">
        <f t="shared" si="977"/>
        <v>SPS1</v>
      </c>
      <c r="C876" s="5" t="str">
        <f t="shared" si="978"/>
        <v>CH</v>
      </c>
      <c r="D876" t="s">
        <v>2087</v>
      </c>
      <c r="E876" t="s">
        <v>240</v>
      </c>
      <c r="F876" s="4">
        <f t="shared" si="994"/>
        <v>0.92447626236575164</v>
      </c>
      <c r="G876" s="4">
        <f t="shared" si="994"/>
        <v>0.92645636412827326</v>
      </c>
      <c r="H876" s="4">
        <f t="shared" si="994"/>
        <v>0.92942651677205512</v>
      </c>
      <c r="I876" s="4">
        <f t="shared" si="994"/>
        <v>0.9343767711783566</v>
      </c>
      <c r="J876" s="4">
        <f t="shared" si="994"/>
        <v>0.93932702558466163</v>
      </c>
      <c r="K876" s="4">
        <f>IFERROR(K843/K802,"-")</f>
        <v>0.94427727999096633</v>
      </c>
      <c r="L876" s="4">
        <f>IFERROR(L843/L802,"-")</f>
        <v>0.95000000000000062</v>
      </c>
      <c r="N876" s="1"/>
    </row>
    <row r="877" spans="2:14" x14ac:dyDescent="0.35">
      <c r="B877" s="5" t="str">
        <f t="shared" si="977"/>
        <v>SPS1</v>
      </c>
      <c r="C877" s="5" t="str">
        <f t="shared" si="978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03">IFERROR(G845/G804,"-")</f>
        <v>0.59066666666666612</v>
      </c>
      <c r="H877" s="4">
        <f t="shared" si="1003"/>
        <v>0.59166666666666634</v>
      </c>
      <c r="I877" s="4">
        <f t="shared" si="1003"/>
        <v>0.59333333333333305</v>
      </c>
      <c r="J877" s="4">
        <f t="shared" si="1003"/>
        <v>0.59499999999999975</v>
      </c>
      <c r="K877" s="4">
        <f t="shared" si="1003"/>
        <v>0.59666666666666712</v>
      </c>
      <c r="L877" s="4">
        <f t="shared" ref="L877" si="1004">IFERROR(L845/L804,"-")</f>
        <v>0.60000000000000031</v>
      </c>
      <c r="N877" s="1"/>
    </row>
    <row r="878" spans="2:14" x14ac:dyDescent="0.35">
      <c r="B878" s="5" t="str">
        <f t="shared" si="977"/>
        <v>SPS1</v>
      </c>
      <c r="C878" s="5" t="str">
        <f t="shared" si="978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5">IFERROR(G847/G806,"-")</f>
        <v>0.73833333333333395</v>
      </c>
      <c r="H878" s="4">
        <f t="shared" si="1005"/>
        <v>0.73958333333333304</v>
      </c>
      <c r="I878" s="4">
        <f t="shared" si="1005"/>
        <v>0.74166666666666681</v>
      </c>
      <c r="J878" s="4">
        <f t="shared" si="1005"/>
        <v>0.74374999999999991</v>
      </c>
      <c r="K878" s="4">
        <f t="shared" si="1005"/>
        <v>0.74583333333333357</v>
      </c>
      <c r="L878" s="4">
        <f t="shared" ref="L878" si="1006">IFERROR(L847/L806,"-")</f>
        <v>0.74999999999999989</v>
      </c>
      <c r="N878" s="1"/>
    </row>
    <row r="879" spans="2:14" x14ac:dyDescent="0.35">
      <c r="B879" s="5" t="str">
        <f t="shared" si="977"/>
        <v>SPS1</v>
      </c>
      <c r="C879" s="5" t="str">
        <f t="shared" si="978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07">IFERROR(G849/G808,"-")</f>
        <v>0.52800000000000025</v>
      </c>
      <c r="H879" s="4">
        <f t="shared" si="1007"/>
        <v>0.52799999999999969</v>
      </c>
      <c r="I879" s="4">
        <f t="shared" si="1007"/>
        <v>0.52799999999999991</v>
      </c>
      <c r="J879" s="4">
        <f t="shared" si="1007"/>
        <v>0.52800000000000002</v>
      </c>
      <c r="K879" s="4">
        <f t="shared" si="1007"/>
        <v>0.52800000000000036</v>
      </c>
      <c r="L879" s="4">
        <f t="shared" ref="L879" si="1008">IFERROR(L849/L808,"-")</f>
        <v>0.54399999999999993</v>
      </c>
      <c r="N879" s="1"/>
    </row>
    <row r="880" spans="2:14" x14ac:dyDescent="0.35">
      <c r="B880" s="5" t="str">
        <f t="shared" si="977"/>
        <v>SPS1</v>
      </c>
      <c r="C880" s="5" t="str">
        <f t="shared" si="978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9">IFERROR(G851/G812,"-")</f>
        <v>1</v>
      </c>
      <c r="H880" s="4">
        <f t="shared" si="1009"/>
        <v>1</v>
      </c>
      <c r="I880" s="4">
        <f t="shared" si="1009"/>
        <v>1</v>
      </c>
      <c r="J880" s="4">
        <f t="shared" si="1009"/>
        <v>1</v>
      </c>
      <c r="K880" s="4">
        <f t="shared" si="1009"/>
        <v>1</v>
      </c>
      <c r="L880" s="4">
        <f t="shared" ref="L880" si="1010">IFERROR(L851/L812,"-")</f>
        <v>1</v>
      </c>
      <c r="N880" s="1"/>
    </row>
    <row r="881" spans="2:14" x14ac:dyDescent="0.35">
      <c r="B881" s="5" t="str">
        <f t="shared" si="977"/>
        <v>SPS1</v>
      </c>
      <c r="C881" s="5" t="str">
        <f t="shared" si="978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1">IFERROR(G853/G814,"-")</f>
        <v>-</v>
      </c>
      <c r="H881" s="4" t="str">
        <f t="shared" si="1011"/>
        <v>-</v>
      </c>
      <c r="I881" s="4" t="str">
        <f t="shared" si="1011"/>
        <v>-</v>
      </c>
      <c r="J881" s="4">
        <f t="shared" si="1011"/>
        <v>0.76253992980258201</v>
      </c>
      <c r="K881" s="4">
        <f t="shared" si="1011"/>
        <v>0.79399389420685451</v>
      </c>
      <c r="L881" s="4">
        <f t="shared" ref="L881" si="1012">IFERROR(L853/L814,"-")</f>
        <v>0.80548216547005336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3">F883+F887+F894+F905+F913+F915+F917+F919+F923</f>
        <v>140.10115563936907</v>
      </c>
      <c r="G882" s="17">
        <f t="shared" si="1013"/>
        <v>137.10230581612601</v>
      </c>
      <c r="H882" s="17">
        <f t="shared" si="1013"/>
        <v>132.14774722520764</v>
      </c>
      <c r="I882" s="17">
        <f t="shared" si="1013"/>
        <v>118.3132511459926</v>
      </c>
      <c r="J882" s="17">
        <f t="shared" si="1013"/>
        <v>108.72921561627624</v>
      </c>
      <c r="K882" s="17">
        <f t="shared" si="1013"/>
        <v>98.969872960455021</v>
      </c>
      <c r="L882" s="17">
        <f t="shared" ref="L882" si="1014">L883+L887+L894+L905+L913+L915+L917+L919+L923</f>
        <v>82.162708386691278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[1]Services!F$11</f>
        <v>57.134760962460184</v>
      </c>
      <c r="K883" s="1">
        <f>[1]Services!G$11</f>
        <v>54.456921839971123</v>
      </c>
      <c r="L883" s="1">
        <f>[1]Services!H$11</f>
        <v>47.063006204795855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0.49708698466545365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0.39012643846611456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0.25606448695978162</v>
      </c>
      <c r="N884" s="1"/>
    </row>
    <row r="885" spans="2:14" x14ac:dyDescent="0.35">
      <c r="B885" s="5" t="str">
        <f t="shared" ref="B885:B924" si="1015">B884</f>
        <v>SPS1</v>
      </c>
      <c r="C885" s="5" t="str">
        <f t="shared" ref="C885:C924" si="1016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5.2915835730385217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6.5253896696658575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5.8878544146192064</v>
      </c>
      <c r="N885" s="1"/>
    </row>
    <row r="886" spans="2:14" x14ac:dyDescent="0.35">
      <c r="B886" s="5" t="str">
        <f t="shared" si="1015"/>
        <v>SPS1</v>
      </c>
      <c r="C886" s="5" t="str">
        <f t="shared" si="1016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[1]Services!F$11-[1]Services!F$28</f>
        <v>51.346090404756211</v>
      </c>
      <c r="K886" s="1">
        <f>[1]Services!G$11-[1]Services!G$28</f>
        <v>47.541405731839149</v>
      </c>
      <c r="L886" s="1">
        <f>[1]Services!H$11-[1]Services!H$28</f>
        <v>40.91908730321687</v>
      </c>
      <c r="N886" s="1"/>
    </row>
    <row r="887" spans="2:14" x14ac:dyDescent="0.35">
      <c r="B887" s="5" t="str">
        <f t="shared" si="1015"/>
        <v>SPS1</v>
      </c>
      <c r="C887" s="5" t="str">
        <f t="shared" si="1016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17">G888</f>
        <v>23.411591648706132</v>
      </c>
      <c r="H887" s="1">
        <f t="shared" si="1017"/>
        <v>25.746801282660119</v>
      </c>
      <c r="I887" s="1">
        <f t="shared" si="1017"/>
        <v>13.03113234884802</v>
      </c>
      <c r="J887" s="1">
        <f t="shared" si="1017"/>
        <v>8.5644849484165597</v>
      </c>
      <c r="K887" s="1">
        <f t="shared" si="1017"/>
        <v>2.7458251767768371</v>
      </c>
      <c r="L887" s="1">
        <f t="shared" si="1017"/>
        <v>0.17470365584131675</v>
      </c>
      <c r="N887" s="1"/>
    </row>
    <row r="888" spans="2:14" x14ac:dyDescent="0.35">
      <c r="B888" s="5" t="str">
        <f t="shared" si="1015"/>
        <v>SPS1</v>
      </c>
      <c r="C888" s="5" t="str">
        <f t="shared" si="1016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18">SUM(G891,G893)</f>
        <v>23.411591648706132</v>
      </c>
      <c r="H888" s="1">
        <f t="shared" si="1018"/>
        <v>25.746801282660119</v>
      </c>
      <c r="I888" s="1">
        <f t="shared" si="1018"/>
        <v>13.03113234884802</v>
      </c>
      <c r="J888" s="1">
        <f t="shared" si="1018"/>
        <v>8.5644849484165597</v>
      </c>
      <c r="K888" s="1">
        <f t="shared" si="1018"/>
        <v>2.7458251767768371</v>
      </c>
      <c r="L888" s="1">
        <f t="shared" ref="L888" si="1019">SUM(L891,L893)</f>
        <v>0.17470365584131675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20">G890</f>
        <v>23.411591648706132</v>
      </c>
      <c r="H889" s="1">
        <f t="shared" si="1020"/>
        <v>25.746485478879315</v>
      </c>
      <c r="I889" s="1">
        <f t="shared" si="1020"/>
        <v>13.031021111511466</v>
      </c>
      <c r="J889" s="1">
        <f t="shared" si="1020"/>
        <v>8.5633263234644481</v>
      </c>
      <c r="K889" s="1">
        <f t="shared" si="1020"/>
        <v>2.7450723974122702</v>
      </c>
      <c r="L889" s="1">
        <f t="shared" si="1020"/>
        <v>1.3055876843532496E-5</v>
      </c>
      <c r="N889" s="1"/>
    </row>
    <row r="890" spans="2:14" x14ac:dyDescent="0.35">
      <c r="B890" s="5" t="str">
        <f t="shared" si="1015"/>
        <v>SPS1</v>
      </c>
      <c r="C890" s="5" t="str">
        <f t="shared" si="1016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[1]Services!F$12</f>
        <v>8.5633263234644481</v>
      </c>
      <c r="K890" s="1">
        <f>[1]Services!G$12</f>
        <v>2.7450723974122702</v>
      </c>
      <c r="L890" s="1">
        <f>[1]Services!H$12</f>
        <v>1.3055876843532496E-5</v>
      </c>
      <c r="N890" s="1"/>
    </row>
    <row r="891" spans="2:14" x14ac:dyDescent="0.35">
      <c r="B891" s="5" t="str">
        <f>B890</f>
        <v>SPS1</v>
      </c>
      <c r="C891" s="5" t="str">
        <f t="shared" si="1016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21">G890</f>
        <v>23.411591648706132</v>
      </c>
      <c r="H891" s="1">
        <f t="shared" si="1021"/>
        <v>25.746485478879315</v>
      </c>
      <c r="I891" s="1">
        <f t="shared" si="1021"/>
        <v>13.031021111511466</v>
      </c>
      <c r="J891" s="1">
        <f t="shared" si="1021"/>
        <v>8.5633263234644481</v>
      </c>
      <c r="K891" s="1">
        <f t="shared" si="1021"/>
        <v>2.7450723974122702</v>
      </c>
      <c r="L891" s="1">
        <f t="shared" ref="L891" si="1022">L890</f>
        <v>1.3055876843532496E-5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3">G893</f>
        <v>0</v>
      </c>
      <c r="H892">
        <f t="shared" si="1023"/>
        <v>3.1580378080554595E-4</v>
      </c>
      <c r="I892">
        <f t="shared" si="1023"/>
        <v>1.1123733655372214E-4</v>
      </c>
      <c r="J892">
        <f t="shared" si="1023"/>
        <v>1.1586249521121804E-3</v>
      </c>
      <c r="K892">
        <f t="shared" si="1023"/>
        <v>7.5277936456693466E-4</v>
      </c>
      <c r="L892">
        <f t="shared" si="1023"/>
        <v>0.17469059996447323</v>
      </c>
      <c r="N892" s="1"/>
    </row>
    <row r="893" spans="2:14" x14ac:dyDescent="0.35">
      <c r="B893" s="5" t="str">
        <f t="shared" si="1015"/>
        <v>SPS1</v>
      </c>
      <c r="C893" s="5" t="str">
        <f t="shared" si="1016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[1]Services!F$13</f>
        <v>1.1586249521121804E-3</v>
      </c>
      <c r="K893">
        <f>[1]Services!G$13</f>
        <v>7.5277936456693466E-4</v>
      </c>
      <c r="L893">
        <f>[1]Services!H$13</f>
        <v>0.17469059996447323</v>
      </c>
      <c r="N893" s="1"/>
    </row>
    <row r="894" spans="2:14" x14ac:dyDescent="0.35">
      <c r="B894" s="5" t="str">
        <f t="shared" si="1015"/>
        <v>SPS1</v>
      </c>
      <c r="C894" s="5" t="str">
        <f t="shared" si="1016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24">SUM(G895:G897)</f>
        <v>28.287015378664162</v>
      </c>
      <c r="H894" s="1">
        <f t="shared" si="1024"/>
        <v>24.000323145398607</v>
      </c>
      <c r="I894" s="1">
        <f t="shared" si="1024"/>
        <v>17.148020599289428</v>
      </c>
      <c r="J894" s="1">
        <f t="shared" si="1024"/>
        <v>11.879262787910672</v>
      </c>
      <c r="K894" s="1">
        <f t="shared" si="1024"/>
        <v>7.5425706989450649</v>
      </c>
      <c r="L894" s="1">
        <f t="shared" ref="L894" si="1025">SUM(L895:L897)</f>
        <v>5.159152223980267</v>
      </c>
      <c r="N894" s="1"/>
    </row>
    <row r="895" spans="2:14" x14ac:dyDescent="0.35">
      <c r="B895" s="5" t="str">
        <f t="shared" si="1015"/>
        <v>SPS1</v>
      </c>
      <c r="C895" s="5" t="str">
        <f t="shared" si="1016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SUM([1]Services!F$14:F$15)</f>
        <v>9.5514294352646427</v>
      </c>
      <c r="K895" s="1">
        <f>SUM([1]Services!G$14:G$15)</f>
        <v>4.8827518378809218</v>
      </c>
      <c r="L895" s="1">
        <f>SUM([1]Services!H$14:H$15)</f>
        <v>3.021618800261316</v>
      </c>
      <c r="N895" s="1"/>
    </row>
    <row r="896" spans="2:14" x14ac:dyDescent="0.35">
      <c r="B896" s="5" t="str">
        <f t="shared" ref="B896" si="1026">B895</f>
        <v>SPS1</v>
      </c>
      <c r="C896" s="5" t="str">
        <f t="shared" ref="C896" si="1027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2.3278333526460306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2.6598188610641427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2.1375334237189509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[1]Services!F$16</f>
        <v>0</v>
      </c>
      <c r="K897" s="1">
        <f>[1]Services!G$16</f>
        <v>0</v>
      </c>
      <c r="L897" s="1">
        <f>[1]Services!H$16</f>
        <v>0</v>
      </c>
      <c r="N897" s="1"/>
    </row>
    <row r="898" spans="2:14" x14ac:dyDescent="0.35">
      <c r="B898" s="5" t="str">
        <f t="shared" si="1015"/>
        <v>SPS1</v>
      </c>
      <c r="C898" s="5" t="str">
        <f t="shared" si="1016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[1]Services!F$14</f>
        <v>9.0796520831130678</v>
      </c>
      <c r="K898" s="1">
        <f>[1]Services!G$14</f>
        <v>4.8825445393725335</v>
      </c>
      <c r="L898" s="1">
        <f>[1]Services!H$14</f>
        <v>3.021076697667795</v>
      </c>
      <c r="N898" s="1"/>
    </row>
    <row r="899" spans="2:14" x14ac:dyDescent="0.35">
      <c r="B899" s="5" t="str">
        <f t="shared" si="1015"/>
        <v>SPS1</v>
      </c>
      <c r="C899" s="5" t="str">
        <f t="shared" si="1016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[1]Services!F$14*IFERROR(J895/SUM(J895:J896),0)</f>
        <v>7.3004240849748108</v>
      </c>
      <c r="K899" s="1">
        <f>[1]Services!G$14*IFERROR(K895/SUM(K895:K896),0)</f>
        <v>3.160759676603508</v>
      </c>
      <c r="L899" s="1">
        <f>[1]Services!H$14*IFERROR(L895/SUM(L895:L896),0)</f>
        <v>1.769388021596646</v>
      </c>
      <c r="N899" s="1"/>
    </row>
    <row r="900" spans="2:14" x14ac:dyDescent="0.35">
      <c r="B900" s="5" t="str">
        <f>B899</f>
        <v>SPS1</v>
      </c>
      <c r="C900" s="5" t="str">
        <f t="shared" ref="C900" si="1028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9">G898-G899</f>
        <v>0</v>
      </c>
      <c r="H900" s="1">
        <f t="shared" si="1029"/>
        <v>1.0655032401430056</v>
      </c>
      <c r="I900" s="1">
        <f t="shared" si="1029"/>
        <v>1.6613201636896626</v>
      </c>
      <c r="J900" s="1">
        <f t="shared" si="1029"/>
        <v>1.779227998138257</v>
      </c>
      <c r="K900" s="1">
        <f t="shared" si="1029"/>
        <v>1.7217848627690255</v>
      </c>
      <c r="L900" s="1">
        <f t="shared" ref="L900" si="1030">L898-L899</f>
        <v>1.251688676071149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[1]Services!F$15+J904</f>
        <v>0.47177735215157413</v>
      </c>
      <c r="K901" s="1">
        <f>[1]Services!G$15+K904</f>
        <v>2.0729850838815017E-4</v>
      </c>
      <c r="L901" s="1">
        <f>[1]Services!H$15+L904</f>
        <v>5.4210259352092081E-4</v>
      </c>
      <c r="N901" s="1"/>
    </row>
    <row r="902" spans="2:14" x14ac:dyDescent="0.35">
      <c r="B902" s="5" t="str">
        <f t="shared" si="1015"/>
        <v>SPS1</v>
      </c>
      <c r="C902" s="5" t="str">
        <f t="shared" si="1016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[1]Services!F$15*J895/SUM(J895:J896)</f>
        <v>0.37932893384744298</v>
      </c>
      <c r="K902" s="1">
        <f>[1]Services!G$15*K895/SUM(K895:K896)</f>
        <v>1.3419657742999778E-4</v>
      </c>
      <c r="L902" s="1">
        <f>[1]Services!H$15*L895/SUM(L895:L896)</f>
        <v>3.1749933266933154E-4</v>
      </c>
      <c r="N902" s="1"/>
    </row>
    <row r="903" spans="2:14" x14ac:dyDescent="0.35">
      <c r="B903" s="5" t="str">
        <f>B902</f>
        <v>SPS1</v>
      </c>
      <c r="C903" s="5" t="str">
        <f t="shared" ref="C903" si="1031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[1]Services!F$15*J896/SUM(J895:J896)</f>
        <v>9.2448418304131225E-2</v>
      </c>
      <c r="K903" s="1">
        <f>[1]Services!G$15*K896/SUM(K895:K896)</f>
        <v>7.3101930958152382E-5</v>
      </c>
      <c r="L903" s="1">
        <f>[1]Services!H$15*L896/SUM(L895:L896)</f>
        <v>2.2460326085158922E-4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[1]Services!F$16</f>
        <v>0</v>
      </c>
      <c r="K904" s="1">
        <f>[1]Services!G$16</f>
        <v>0</v>
      </c>
      <c r="L904" s="1">
        <f>[1]Services!H$16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[1]Services!F$17</f>
        <v>11.070638272481794</v>
      </c>
      <c r="K905" s="1">
        <f>[1]Services!G$17</f>
        <v>12.09499370716526</v>
      </c>
      <c r="L905" s="1">
        <f>[1]Services!H$17</f>
        <v>10.294001452381703</v>
      </c>
      <c r="N905" s="1"/>
    </row>
    <row r="906" spans="2:14" x14ac:dyDescent="0.35">
      <c r="B906" s="5" t="str">
        <f t="shared" si="1015"/>
        <v>SPS1</v>
      </c>
      <c r="C906" s="5" t="str">
        <f t="shared" si="1016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[1]Services!F$51/0.99</f>
        <v>0</v>
      </c>
      <c r="K906" s="1">
        <f>[1]Services!G$51/0.99</f>
        <v>0</v>
      </c>
      <c r="L906" s="1">
        <f>[1]Services!H$51/0.99</f>
        <v>0</v>
      </c>
      <c r="N906" s="1"/>
    </row>
    <row r="907" spans="2:14" x14ac:dyDescent="0.35">
      <c r="B907" s="5" t="str">
        <f t="shared" si="1015"/>
        <v>SPS1</v>
      </c>
      <c r="C907" s="5" t="str">
        <f t="shared" si="1016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32">IF(G906-SUM(G908:G911)&lt;0,0,G906-SUM(G908:G911))</f>
        <v>1.5542364726746818</v>
      </c>
      <c r="H907" s="1">
        <f t="shared" si="1032"/>
        <v>0</v>
      </c>
      <c r="I907" s="1">
        <f t="shared" si="1032"/>
        <v>0</v>
      </c>
      <c r="J907" s="1">
        <f t="shared" si="1032"/>
        <v>0</v>
      </c>
      <c r="K907" s="1">
        <f t="shared" si="1032"/>
        <v>0</v>
      </c>
      <c r="L907" s="1">
        <f t="shared" si="1032"/>
        <v>0</v>
      </c>
      <c r="N907" s="1"/>
    </row>
    <row r="908" spans="2:14" x14ac:dyDescent="0.35">
      <c r="B908" s="5" t="str">
        <f t="shared" si="1015"/>
        <v>SPS1</v>
      </c>
      <c r="C908" s="5" t="str">
        <f t="shared" si="1016"/>
        <v>CH</v>
      </c>
      <c r="D908" t="s">
        <v>503</v>
      </c>
      <c r="E908" t="s">
        <v>8</v>
      </c>
      <c r="F908" s="1">
        <f t="shared" ref="F908:L908" si="1033">F249*F906/SUM(F248:F250)</f>
        <v>0.69258285412034659</v>
      </c>
      <c r="G908" s="1">
        <f t="shared" si="1033"/>
        <v>0.73875949561850196</v>
      </c>
      <c r="H908" s="1">
        <f t="shared" si="1033"/>
        <v>0</v>
      </c>
      <c r="I908" s="1">
        <f t="shared" si="1033"/>
        <v>0</v>
      </c>
      <c r="J908" s="1">
        <f t="shared" si="1033"/>
        <v>0</v>
      </c>
      <c r="K908" s="1">
        <f t="shared" si="1033"/>
        <v>0</v>
      </c>
      <c r="L908" s="1">
        <f t="shared" si="1033"/>
        <v>0</v>
      </c>
      <c r="N908" s="1"/>
    </row>
    <row r="909" spans="2:14" x14ac:dyDescent="0.35">
      <c r="B909" s="5" t="str">
        <f t="shared" si="1015"/>
        <v>SPS1</v>
      </c>
      <c r="C909" s="5" t="str">
        <f t="shared" si="1016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4">H250*H906/SUM(H248:H250)</f>
        <v>0</v>
      </c>
      <c r="I909" s="1">
        <f t="shared" si="1034"/>
        <v>0</v>
      </c>
      <c r="J909" s="1">
        <f t="shared" si="1034"/>
        <v>0</v>
      </c>
      <c r="K909" s="1">
        <f t="shared" si="1034"/>
        <v>0</v>
      </c>
      <c r="L909" s="1">
        <f t="shared" ref="L909" si="1035">L250*L906/SUM(L248:L250)</f>
        <v>0</v>
      </c>
      <c r="N909" s="1"/>
    </row>
    <row r="910" spans="2:14" x14ac:dyDescent="0.35">
      <c r="B910" s="5" t="str">
        <f t="shared" si="1015"/>
        <v>SPS1</v>
      </c>
      <c r="C910" s="5" t="str">
        <f t="shared" si="1016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6">G287*G906/SUM(G248:G250)</f>
        <v>0</v>
      </c>
      <c r="H910" s="1">
        <f t="shared" si="1036"/>
        <v>0</v>
      </c>
      <c r="I910" s="1">
        <f t="shared" si="1036"/>
        <v>0</v>
      </c>
      <c r="J910" s="1">
        <f t="shared" si="1036"/>
        <v>0</v>
      </c>
      <c r="K910" s="1">
        <f t="shared" si="1036"/>
        <v>0</v>
      </c>
      <c r="L910" s="1">
        <f t="shared" ref="L910" si="1037">L287*L906/SUM(L248:L250)</f>
        <v>0</v>
      </c>
      <c r="N910" s="1"/>
    </row>
    <row r="911" spans="2:14" x14ac:dyDescent="0.35">
      <c r="B911" s="5" t="str">
        <f t="shared" si="1015"/>
        <v>SPS1</v>
      </c>
      <c r="C911" s="5" t="str">
        <f t="shared" si="1016"/>
        <v>CH</v>
      </c>
      <c r="D911" t="s">
        <v>506</v>
      </c>
      <c r="E911" t="s">
        <v>8</v>
      </c>
      <c r="F911" s="1">
        <f t="shared" ref="F911:K911" si="1038">F290</f>
        <v>0</v>
      </c>
      <c r="G911" s="1">
        <f t="shared" si="1038"/>
        <v>0</v>
      </c>
      <c r="H911" s="1">
        <f t="shared" si="1038"/>
        <v>0</v>
      </c>
      <c r="I911" s="1">
        <f t="shared" si="1038"/>
        <v>2.6275928450274657E-3</v>
      </c>
      <c r="J911" s="1">
        <f t="shared" si="1038"/>
        <v>2.5122517995598169E-3</v>
      </c>
      <c r="K911" s="1">
        <f t="shared" si="1038"/>
        <v>1.1423349377329534E-3</v>
      </c>
      <c r="L911" s="1">
        <f t="shared" ref="L911" si="1039">L290</f>
        <v>0</v>
      </c>
      <c r="N911" s="1"/>
    </row>
    <row r="912" spans="2:14" x14ac:dyDescent="0.35">
      <c r="B912" s="5" t="str">
        <f t="shared" si="1015"/>
        <v>SPS1</v>
      </c>
      <c r="C912" s="5" t="str">
        <f t="shared" si="1016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40">G905-G906</f>
        <v>6.0767044152306795</v>
      </c>
      <c r="H912" s="1">
        <f t="shared" si="1040"/>
        <v>6.020905176280162</v>
      </c>
      <c r="I912" s="1">
        <f t="shared" si="1040"/>
        <v>9.8742396885031454</v>
      </c>
      <c r="J912" s="1">
        <f t="shared" si="1040"/>
        <v>11.070638272481794</v>
      </c>
      <c r="K912" s="1">
        <f t="shared" si="1040"/>
        <v>12.09499370716526</v>
      </c>
      <c r="L912" s="1">
        <f t="shared" ref="L912" si="1041">L905-L906</f>
        <v>10.294001452381703</v>
      </c>
      <c r="N912" s="1"/>
    </row>
    <row r="913" spans="2:14" x14ac:dyDescent="0.35">
      <c r="B913" s="5" t="str">
        <f t="shared" si="1015"/>
        <v>SPS1</v>
      </c>
      <c r="C913" s="5" t="str">
        <f t="shared" si="1016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42">G914</f>
        <v>9.981750341648862</v>
      </c>
      <c r="H913" s="1">
        <f t="shared" si="1042"/>
        <v>9.4433689030370243</v>
      </c>
      <c r="I913" s="1">
        <f t="shared" si="1042"/>
        <v>8.0288729229292599</v>
      </c>
      <c r="J913" s="1">
        <f t="shared" si="1042"/>
        <v>6.1304080345833398</v>
      </c>
      <c r="K913" s="1">
        <f t="shared" si="1042"/>
        <v>3.9423106305973303</v>
      </c>
      <c r="L913" s="1">
        <f t="shared" si="1042"/>
        <v>1.4496216206822075</v>
      </c>
      <c r="N913" s="1"/>
    </row>
    <row r="914" spans="2:14" x14ac:dyDescent="0.35">
      <c r="B914" s="5" t="str">
        <f t="shared" si="1015"/>
        <v>SPS1</v>
      </c>
      <c r="C914" s="5" t="str">
        <f t="shared" si="1016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6.1304080345833398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3.9423106305973303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1.4496216206822075</v>
      </c>
      <c r="N914" s="1"/>
    </row>
    <row r="915" spans="2:14" x14ac:dyDescent="0.35">
      <c r="B915" s="5" t="str">
        <f t="shared" si="1015"/>
        <v>SPS1</v>
      </c>
      <c r="C915" s="5" t="str">
        <f t="shared" si="1016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43">G916</f>
        <v>2.4000941335506005</v>
      </c>
      <c r="H915" s="1">
        <f t="shared" si="1043"/>
        <v>0.28283870769214003</v>
      </c>
      <c r="I915" s="1">
        <f t="shared" si="1043"/>
        <v>0.24781517944486917</v>
      </c>
      <c r="J915" s="1">
        <f t="shared" si="1043"/>
        <v>0.19825628298833378</v>
      </c>
      <c r="K915" s="1">
        <f t="shared" si="1043"/>
        <v>0.12674222293417042</v>
      </c>
      <c r="L915" s="1">
        <f t="shared" si="1043"/>
        <v>4.0252690567704724E-2</v>
      </c>
      <c r="N915" s="1"/>
    </row>
    <row r="916" spans="2:14" x14ac:dyDescent="0.35">
      <c r="B916" s="5" t="str">
        <f t="shared" si="1015"/>
        <v>SPS1</v>
      </c>
      <c r="C916" s="5" t="str">
        <f t="shared" si="1016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0.19825628298833378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0.12674222293417042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4.0252690567704724E-2</v>
      </c>
      <c r="N916" s="1"/>
    </row>
    <row r="917" spans="2:14" x14ac:dyDescent="0.35">
      <c r="B917" s="5" t="str">
        <f t="shared" si="1015"/>
        <v>SPS1</v>
      </c>
      <c r="C917" s="5" t="str">
        <f t="shared" si="1016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44">G918</f>
        <v>0.68733971440478714</v>
      </c>
      <c r="H917" s="1">
        <f t="shared" si="1044"/>
        <v>0.5697971565956419</v>
      </c>
      <c r="I917" s="1">
        <f t="shared" si="1044"/>
        <v>0.81009781478217058</v>
      </c>
      <c r="J917" s="1">
        <f t="shared" si="1044"/>
        <v>0.95698512169586469</v>
      </c>
      <c r="K917" s="1">
        <f t="shared" si="1044"/>
        <v>1.1346638164508012</v>
      </c>
      <c r="L917" s="1">
        <f t="shared" si="1044"/>
        <v>1.244858172039188</v>
      </c>
      <c r="N917" s="1"/>
    </row>
    <row r="918" spans="2:14" x14ac:dyDescent="0.35">
      <c r="B918" s="5" t="str">
        <f t="shared" si="1015"/>
        <v>SPS1</v>
      </c>
      <c r="C918" s="5" t="str">
        <f t="shared" si="1016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[1]Services!F$19</f>
        <v>0.95698512169586469</v>
      </c>
      <c r="K918" s="1">
        <f>[1]Services!G$19</f>
        <v>1.1346638164508012</v>
      </c>
      <c r="L918" s="1">
        <f>[1]Services!H$19</f>
        <v>1.244858172039188</v>
      </c>
      <c r="N918" s="1"/>
    </row>
    <row r="919" spans="2:14" x14ac:dyDescent="0.35">
      <c r="B919" s="5" t="str">
        <f t="shared" si="1015"/>
        <v>SPS1</v>
      </c>
      <c r="C919" s="5" t="str">
        <f t="shared" si="1016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[1]Services!F$20</f>
        <v>2.36834783596762E-3</v>
      </c>
      <c r="K919" s="1">
        <f>[1]Services!G$20</f>
        <v>9.8560235673035134E-4</v>
      </c>
      <c r="L919" s="1">
        <f>[1]Services!H$20</f>
        <v>0</v>
      </c>
      <c r="N919" s="1"/>
    </row>
    <row r="920" spans="2:14" x14ac:dyDescent="0.35">
      <c r="B920" s="5" t="str">
        <f t="shared" si="1015"/>
        <v>SPS1</v>
      </c>
      <c r="C920" s="5" t="str">
        <f t="shared" si="1016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5">G919-G921</f>
        <v>0</v>
      </c>
      <c r="H920" s="1">
        <f t="shared" si="1045"/>
        <v>0</v>
      </c>
      <c r="I920" s="1">
        <f t="shared" si="1045"/>
        <v>0</v>
      </c>
      <c r="J920" s="1">
        <f t="shared" si="1045"/>
        <v>0</v>
      </c>
      <c r="K920" s="1">
        <f t="shared" si="1045"/>
        <v>0</v>
      </c>
      <c r="L920" s="1">
        <f t="shared" ref="L920" si="1046">L919-L921</f>
        <v>0</v>
      </c>
      <c r="N920" s="1"/>
    </row>
    <row r="921" spans="2:14" x14ac:dyDescent="0.35">
      <c r="B921" s="5" t="str">
        <f t="shared" si="1015"/>
        <v>SPS1</v>
      </c>
      <c r="C921" s="5" t="str">
        <f t="shared" si="1016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7">G922</f>
        <v>0</v>
      </c>
      <c r="H921" s="1">
        <f t="shared" si="1047"/>
        <v>0</v>
      </c>
      <c r="I921" s="1">
        <f t="shared" si="1047"/>
        <v>2.7747980148346745E-3</v>
      </c>
      <c r="J921" s="1">
        <f t="shared" si="1047"/>
        <v>2.36834783596762E-3</v>
      </c>
      <c r="K921" s="1">
        <f t="shared" si="1047"/>
        <v>9.8560235673035134E-4</v>
      </c>
      <c r="L921" s="1">
        <f t="shared" si="1047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[1]Services!F$20</f>
        <v>2.36834783596762E-3</v>
      </c>
      <c r="K922" s="1">
        <f>[1]Services!G$20</f>
        <v>9.8560235673035134E-4</v>
      </c>
      <c r="L922" s="1">
        <f>[1]Services!H$20</f>
        <v>0</v>
      </c>
      <c r="N922" s="1"/>
    </row>
    <row r="923" spans="2:14" x14ac:dyDescent="0.35">
      <c r="B923" s="5" t="str">
        <f t="shared" si="1015"/>
        <v>SPS1</v>
      </c>
      <c r="C923" s="5" t="str">
        <f t="shared" si="1016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48">G924</f>
        <v>3.1924556052825324</v>
      </c>
      <c r="H923" s="1">
        <f t="shared" si="1048"/>
        <v>4.2367610295871225</v>
      </c>
      <c r="I923" s="1">
        <f t="shared" si="1048"/>
        <v>9.7899714709323771</v>
      </c>
      <c r="J923" s="1">
        <f t="shared" si="1048"/>
        <v>12.792050857903522</v>
      </c>
      <c r="K923" s="1">
        <f t="shared" si="1048"/>
        <v>16.924859265257695</v>
      </c>
      <c r="L923" s="1">
        <f t="shared" si="1048"/>
        <v>16.737112366403036</v>
      </c>
      <c r="N923" s="1"/>
    </row>
    <row r="924" spans="2:14" x14ac:dyDescent="0.35">
      <c r="B924" s="5" t="str">
        <f t="shared" si="1015"/>
        <v>SPS1</v>
      </c>
      <c r="C924" s="5" t="str">
        <f t="shared" si="1016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[1]Services!F$21-J925</f>
        <v>12.792050857903522</v>
      </c>
      <c r="K924" s="1">
        <f>[1]Services!G$21-K925</f>
        <v>16.924859265257695</v>
      </c>
      <c r="L924" s="1">
        <f>[1]Services!H$21-L925</f>
        <v>16.737112366403036</v>
      </c>
      <c r="N924" s="1"/>
    </row>
    <row r="925" spans="2:14" x14ac:dyDescent="0.35">
      <c r="B925" s="5" t="str">
        <f t="shared" ref="B925" si="1049">B924</f>
        <v>SPS1</v>
      </c>
      <c r="C925" s="5" t="str">
        <f t="shared" ref="C925" si="1050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[1]Services!F$50-J896</f>
        <v>2.5739448672941885</v>
      </c>
      <c r="K925" s="1">
        <f>[1]Services!G$50-K896</f>
        <v>3.1626181287037167</v>
      </c>
      <c r="L925" s="1">
        <f>[1]Services!H$50-L896</f>
        <v>2.9828006769847555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[1]Services!F$59</f>
        <v>58.730557658760517</v>
      </c>
      <c r="K926" s="17">
        <f>[1]Services!G$59</f>
        <v>57.580051500850502</v>
      </c>
      <c r="L926" s="17">
        <f>[1]Services!H$59</f>
        <v>54.7510004951436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51">SUM(G928:G930)</f>
        <v>63.90996715272491</v>
      </c>
      <c r="H927" s="1">
        <f t="shared" si="1051"/>
        <v>65.515056458183452</v>
      </c>
      <c r="I927" s="1">
        <f t="shared" si="1051"/>
        <v>68.878597637448394</v>
      </c>
      <c r="J927" s="1">
        <f t="shared" si="1051"/>
        <v>69.685407148433143</v>
      </c>
      <c r="K927" s="1">
        <f t="shared" si="1051"/>
        <v>71.195867189496624</v>
      </c>
      <c r="L927" s="1">
        <f t="shared" ref="L927" si="1052">SUM(L928:L930)</f>
        <v>63.680927936301075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0.25568231273488973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0.20421252273393978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0.13687385206196381</v>
      </c>
      <c r="N928" s="1"/>
    </row>
    <row r="929" spans="2:14" x14ac:dyDescent="0.35">
      <c r="B929" s="5" t="str">
        <f t="shared" ref="B929:B932" si="1053">B928</f>
        <v>SPS1</v>
      </c>
      <c r="C929" s="5" t="str">
        <f t="shared" ref="C929:C932" si="1054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[1]Services!F$47</f>
        <v>18.083634430942045</v>
      </c>
      <c r="K929" s="1">
        <f>[1]Services!G$47</f>
        <v>23.45024893492355</v>
      </c>
      <c r="L929" s="1">
        <f>[1]Services!H$47</f>
        <v>22.624966781022238</v>
      </c>
      <c r="N929" s="1"/>
    </row>
    <row r="930" spans="2:14" x14ac:dyDescent="0.35">
      <c r="B930" s="5" t="str">
        <f t="shared" si="1053"/>
        <v>SPS1</v>
      </c>
      <c r="C930" s="5" t="str">
        <f t="shared" si="1054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[1]Services!F$3-([1]Services!F$6-[1]Services!F$58)</f>
        <v>51.346090404756211</v>
      </c>
      <c r="K930" s="1">
        <f>[1]Services!G$3-([1]Services!G$6-[1]Services!G$58)</f>
        <v>47.541405731839141</v>
      </c>
      <c r="L930" s="1">
        <f>[1]Services!H$3-([1]Services!H$6-[1]Services!H$58)</f>
        <v>40.91908730321687</v>
      </c>
      <c r="N930" s="1"/>
    </row>
    <row r="931" spans="2:14" x14ac:dyDescent="0.35">
      <c r="B931" s="5" t="str">
        <f t="shared" si="1053"/>
        <v>SPS1</v>
      </c>
      <c r="C931" s="5" t="str">
        <f t="shared" si="1054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55">G932</f>
        <v>19.260817804174788</v>
      </c>
      <c r="H931" s="1">
        <f t="shared" si="1055"/>
        <v>20.306601398888024</v>
      </c>
      <c r="I931" s="1">
        <f t="shared" si="1055"/>
        <v>10.66267258222752</v>
      </c>
      <c r="J931" s="1">
        <f t="shared" si="1055"/>
        <v>7.0078559863951133</v>
      </c>
      <c r="K931" s="1">
        <f t="shared" si="1055"/>
        <v>2.2467606071545001</v>
      </c>
      <c r="L931" s="1">
        <f t="shared" si="1055"/>
        <v>0.14295057645691076</v>
      </c>
      <c r="N931" s="1"/>
    </row>
    <row r="932" spans="2:14" x14ac:dyDescent="0.35">
      <c r="B932" s="5" t="str">
        <f t="shared" si="1053"/>
        <v>SPS1</v>
      </c>
      <c r="C932" s="5" t="str">
        <f t="shared" si="1054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[1]Services!F$48</f>
        <v>7.0078559863951133</v>
      </c>
      <c r="K932" s="1">
        <f>[1]Services!G$48</f>
        <v>2.2467606071545001</v>
      </c>
      <c r="L932" s="1">
        <f>[1]Services!H$48</f>
        <v>0.14295057645691076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56">SUM(G934:G936)</f>
        <v>26.667696554139958</v>
      </c>
      <c r="H933" s="1">
        <f t="shared" si="1056"/>
        <v>20.691655130905076</v>
      </c>
      <c r="I933" s="1">
        <f t="shared" si="1056"/>
        <v>15.442207502970847</v>
      </c>
      <c r="J933" s="1">
        <f t="shared" si="1056"/>
        <v>11.156927448724812</v>
      </c>
      <c r="K933" s="1">
        <f t="shared" si="1056"/>
        <v>7.7475699902525834</v>
      </c>
      <c r="L933" s="1">
        <f t="shared" ref="L933" si="1057">SUM(L934:L936)</f>
        <v>5.8856417650967927</v>
      </c>
      <c r="N933" s="1"/>
    </row>
    <row r="934" spans="2:14" x14ac:dyDescent="0.35">
      <c r="B934" s="5" t="str">
        <f t="shared" ref="B934:B953" si="1058">B933</f>
        <v>SPS1</v>
      </c>
      <c r="C934" s="5" t="str">
        <f t="shared" ref="C934:C953" si="1059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[1]Services!F$49</f>
        <v>6.2551492287845933</v>
      </c>
      <c r="K934" s="1">
        <f>[1]Services!G$49</f>
        <v>1.9251330004847238</v>
      </c>
      <c r="L934" s="1">
        <f>[1]Services!H$49</f>
        <v>0.76530766439308628</v>
      </c>
      <c r="N934" s="1"/>
    </row>
    <row r="935" spans="2:14" x14ac:dyDescent="0.35">
      <c r="B935" s="5" t="str">
        <f t="shared" ref="B935" si="1060">B934</f>
        <v>SPS1</v>
      </c>
      <c r="C935" s="5" t="str">
        <f t="shared" ref="C935" si="1061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[1]Services!F$50</f>
        <v>4.9017782199402191</v>
      </c>
      <c r="K935" s="1">
        <f>[1]Services!G$50</f>
        <v>5.8224369897678594</v>
      </c>
      <c r="L935" s="1">
        <f>[1]Services!H$50</f>
        <v>5.1203341007037064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[1]Services!F$56</f>
        <v>0</v>
      </c>
      <c r="K936" s="1">
        <f>[1]Services!G$56</f>
        <v>0</v>
      </c>
      <c r="L936" s="1">
        <f>[1]Services!H$56</f>
        <v>0</v>
      </c>
      <c r="N936" s="1"/>
    </row>
    <row r="937" spans="2:14" x14ac:dyDescent="0.35">
      <c r="B937" s="5" t="str">
        <f t="shared" si="1058"/>
        <v>SPS1</v>
      </c>
      <c r="C937" s="5" t="str">
        <f t="shared" si="1059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62">G938+G944</f>
        <v>8.2860033796886245</v>
      </c>
      <c r="H937" s="1">
        <f t="shared" si="1062"/>
        <v>4.9433260101213223</v>
      </c>
      <c r="I937" s="1">
        <f t="shared" si="1062"/>
        <v>8.1862861341505599</v>
      </c>
      <c r="J937" s="1">
        <f t="shared" si="1062"/>
        <v>9.1781661621739072</v>
      </c>
      <c r="K937" s="1">
        <f t="shared" si="1062"/>
        <v>10.027412985820982</v>
      </c>
      <c r="L937" s="1">
        <f t="shared" ref="L937" si="1063">L938+L944</f>
        <v>8.5342916531260329</v>
      </c>
      <c r="N937" s="1"/>
    </row>
    <row r="938" spans="2:14" x14ac:dyDescent="0.35">
      <c r="B938" s="5" t="str">
        <f t="shared" si="1058"/>
        <v>SPS1</v>
      </c>
      <c r="C938" s="5" t="str">
        <f t="shared" si="1059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[1]Services!F$51</f>
        <v>0</v>
      </c>
      <c r="K938" s="1">
        <f>[1]Services!G$51</f>
        <v>0</v>
      </c>
      <c r="L938" s="1">
        <f>[1]Services!H$51</f>
        <v>0</v>
      </c>
      <c r="N938" s="1"/>
    </row>
    <row r="939" spans="2:14" x14ac:dyDescent="0.35">
      <c r="B939" s="5" t="str">
        <f t="shared" si="1058"/>
        <v>SPS1</v>
      </c>
      <c r="C939" s="5" t="str">
        <f t="shared" si="1059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64">IFERROR(G907/G$906,0)*G$938</f>
        <v>1.538694107947935</v>
      </c>
      <c r="H939" s="1">
        <f t="shared" si="1064"/>
        <v>0</v>
      </c>
      <c r="I939" s="1">
        <f t="shared" si="1064"/>
        <v>0</v>
      </c>
      <c r="J939" s="1">
        <f t="shared" si="1064"/>
        <v>0</v>
      </c>
      <c r="K939" s="1">
        <f t="shared" si="1064"/>
        <v>0</v>
      </c>
      <c r="L939" s="1">
        <f t="shared" ref="L939" si="1065">IFERROR(L907/L$906,0)*L$938</f>
        <v>0</v>
      </c>
      <c r="N939" s="1"/>
    </row>
    <row r="940" spans="2:14" x14ac:dyDescent="0.35">
      <c r="B940" s="5" t="str">
        <f t="shared" si="1058"/>
        <v>SPS1</v>
      </c>
      <c r="C940" s="5" t="str">
        <f t="shared" si="1059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66">IFERROR(G908/G$906,0)*G$938</f>
        <v>0.73137190066231705</v>
      </c>
      <c r="H940" s="1">
        <f t="shared" si="1066"/>
        <v>0</v>
      </c>
      <c r="I940" s="1">
        <f t="shared" si="1066"/>
        <v>0</v>
      </c>
      <c r="J940" s="1">
        <f t="shared" si="1066"/>
        <v>0</v>
      </c>
      <c r="K940" s="1">
        <f t="shared" si="1066"/>
        <v>0</v>
      </c>
      <c r="L940" s="1">
        <f t="shared" ref="L940" si="1067">IFERROR(L908/L$906,0)*L$938</f>
        <v>0</v>
      </c>
      <c r="N940" s="1"/>
    </row>
    <row r="941" spans="2:14" x14ac:dyDescent="0.35">
      <c r="B941" s="5" t="str">
        <f t="shared" si="1058"/>
        <v>SPS1</v>
      </c>
      <c r="C941" s="5" t="str">
        <f t="shared" si="1059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6"/>
        <v>0</v>
      </c>
      <c r="H941" s="1">
        <f t="shared" si="1066"/>
        <v>0</v>
      </c>
      <c r="I941" s="1">
        <f t="shared" si="1066"/>
        <v>0</v>
      </c>
      <c r="J941" s="1">
        <f t="shared" si="1066"/>
        <v>0</v>
      </c>
      <c r="K941" s="1">
        <f t="shared" si="1066"/>
        <v>0</v>
      </c>
      <c r="L941" s="1">
        <f t="shared" ref="L941" si="1068">IFERROR(L909/L$906,0)*L$938</f>
        <v>0</v>
      </c>
      <c r="N941" s="1"/>
    </row>
    <row r="942" spans="2:14" x14ac:dyDescent="0.35">
      <c r="B942" s="5" t="str">
        <f t="shared" si="1058"/>
        <v>SPS1</v>
      </c>
      <c r="C942" s="5" t="str">
        <f t="shared" si="1059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6"/>
        <v>0</v>
      </c>
      <c r="H942" s="1">
        <f t="shared" si="1066"/>
        <v>0</v>
      </c>
      <c r="I942" s="1">
        <f t="shared" si="1066"/>
        <v>0</v>
      </c>
      <c r="J942" s="1">
        <f t="shared" si="1066"/>
        <v>0</v>
      </c>
      <c r="K942" s="1">
        <f t="shared" si="1066"/>
        <v>0</v>
      </c>
      <c r="L942" s="1">
        <f t="shared" ref="L942" si="1069">IFERROR(L910/L$906,0)*L$938</f>
        <v>0</v>
      </c>
      <c r="N942" s="1"/>
    </row>
    <row r="943" spans="2:14" x14ac:dyDescent="0.35">
      <c r="B943" s="5" t="str">
        <f t="shared" si="1058"/>
        <v>SPS1</v>
      </c>
      <c r="C943" s="5" t="str">
        <f t="shared" si="1059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6"/>
        <v>0</v>
      </c>
      <c r="H943" s="1">
        <f t="shared" si="1066"/>
        <v>0</v>
      </c>
      <c r="I943" s="1">
        <f t="shared" si="1066"/>
        <v>0</v>
      </c>
      <c r="J943" s="1">
        <f t="shared" si="1066"/>
        <v>0</v>
      </c>
      <c r="K943" s="1">
        <f t="shared" si="1066"/>
        <v>0</v>
      </c>
      <c r="L943" s="1">
        <f t="shared" ref="L943" si="1070">IFERROR(L911/L$906,0)*L$938</f>
        <v>0</v>
      </c>
      <c r="N943" s="1"/>
    </row>
    <row r="944" spans="2:14" x14ac:dyDescent="0.35">
      <c r="B944" s="5" t="str">
        <f t="shared" si="1058"/>
        <v>SPS1</v>
      </c>
      <c r="C944" s="5" t="str">
        <f t="shared" si="1059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[1]Services!F$52</f>
        <v>9.1781661621739072</v>
      </c>
      <c r="K944" s="1">
        <f>[1]Services!G$52</f>
        <v>10.027412985820982</v>
      </c>
      <c r="L944" s="1">
        <f>[1]Services!H$52</f>
        <v>8.5342916531260329</v>
      </c>
      <c r="N944" s="1"/>
    </row>
    <row r="945" spans="2:14" x14ac:dyDescent="0.35">
      <c r="B945" s="5" t="str">
        <f t="shared" si="1058"/>
        <v>SPS1</v>
      </c>
      <c r="C945" s="5" t="str">
        <f t="shared" si="1059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71">G946</f>
        <v>7.1868602459871767</v>
      </c>
      <c r="H945" s="1">
        <f t="shared" si="1071"/>
        <v>6.3614425200668494</v>
      </c>
      <c r="I945" s="1">
        <f t="shared" si="1071"/>
        <v>5.4085797266386244</v>
      </c>
      <c r="J945" s="1">
        <f t="shared" si="1071"/>
        <v>4.1296955288928725</v>
      </c>
      <c r="K945" s="1">
        <f t="shared" si="1071"/>
        <v>2.6557029308394422</v>
      </c>
      <c r="L945" s="1">
        <f t="shared" si="1071"/>
        <v>1.0354321404931017</v>
      </c>
      <c r="N945" s="1"/>
    </row>
    <row r="946" spans="2:14" x14ac:dyDescent="0.35">
      <c r="B946" s="5" t="str">
        <f t="shared" si="1058"/>
        <v>SPS1</v>
      </c>
      <c r="C946" s="5" t="str">
        <f t="shared" si="1059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[1]Services!F$53</f>
        <v>4.1296955288928725</v>
      </c>
      <c r="K946" s="1">
        <f>[1]Services!G$53</f>
        <v>2.6557029308394422</v>
      </c>
      <c r="L946" s="1">
        <f>[1]Services!H$53</f>
        <v>1.0354321404931017</v>
      </c>
      <c r="N946" s="1"/>
    </row>
    <row r="947" spans="2:14" x14ac:dyDescent="0.35">
      <c r="B947" s="5" t="str">
        <f t="shared" si="1058"/>
        <v>SPS1</v>
      </c>
      <c r="C947" s="5" t="str">
        <f t="shared" si="1059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72">G948</f>
        <v>2.1600847201955409</v>
      </c>
      <c r="H947" s="1">
        <f t="shared" si="1072"/>
        <v>0.18522841638653448</v>
      </c>
      <c r="I947" s="1">
        <f t="shared" si="1072"/>
        <v>0.16229183628954039</v>
      </c>
      <c r="J947" s="1">
        <f t="shared" si="1072"/>
        <v>0.12983617990710486</v>
      </c>
      <c r="K947" s="1">
        <f t="shared" si="1072"/>
        <v>8.300229284373116E-2</v>
      </c>
      <c r="L947" s="1">
        <f t="shared" si="1072"/>
        <v>2.7828734409430331E-2</v>
      </c>
      <c r="N947" s="1"/>
    </row>
    <row r="948" spans="2:14" x14ac:dyDescent="0.35">
      <c r="B948" s="5" t="str">
        <f t="shared" si="1058"/>
        <v>SPS1</v>
      </c>
      <c r="C948" s="5" t="str">
        <f t="shared" si="1059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[1]Services!F$54</f>
        <v>0.12983617990710486</v>
      </c>
      <c r="K948" s="1">
        <f>[1]Services!G$54</f>
        <v>8.300229284373116E-2</v>
      </c>
      <c r="L948" s="1">
        <f>[1]Services!H$54</f>
        <v>2.7828734409430331E-2</v>
      </c>
      <c r="N948" s="1"/>
    </row>
    <row r="949" spans="2:14" x14ac:dyDescent="0.35">
      <c r="B949" s="5" t="str">
        <f t="shared" si="1058"/>
        <v>SPS1</v>
      </c>
      <c r="C949" s="5" t="str">
        <f t="shared" si="1059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73">G950</f>
        <v>0.68733971440478714</v>
      </c>
      <c r="H949" s="1">
        <f t="shared" si="1073"/>
        <v>0.5697971565956419</v>
      </c>
      <c r="I949" s="1">
        <f t="shared" si="1073"/>
        <v>0.81009781478217058</v>
      </c>
      <c r="J949" s="1">
        <f t="shared" si="1073"/>
        <v>0.95698512169586469</v>
      </c>
      <c r="K949" s="1">
        <f t="shared" si="1073"/>
        <v>1.1346638164508012</v>
      </c>
      <c r="L949" s="1">
        <f t="shared" si="1073"/>
        <v>1.244858172039188</v>
      </c>
      <c r="N949" s="1"/>
    </row>
    <row r="950" spans="2:14" x14ac:dyDescent="0.35">
      <c r="B950" s="5" t="str">
        <f t="shared" si="1058"/>
        <v>SPS1</v>
      </c>
      <c r="C950" s="5" t="str">
        <f t="shared" si="1059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[1]Services!F$55</f>
        <v>0.95698512169586469</v>
      </c>
      <c r="K950" s="1">
        <f>[1]Services!G$55</f>
        <v>1.1346638164508012</v>
      </c>
      <c r="L950" s="1">
        <f>[1]Services!H$55</f>
        <v>1.244858172039188</v>
      </c>
      <c r="N950" s="1"/>
    </row>
    <row r="951" spans="2:14" x14ac:dyDescent="0.35">
      <c r="B951" s="5" t="str">
        <f t="shared" si="1058"/>
        <v>SPS1</v>
      </c>
      <c r="C951" s="5" t="str">
        <f t="shared" si="1059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4">G952</f>
        <v>0</v>
      </c>
      <c r="H951" s="1">
        <f t="shared" si="1074"/>
        <v>0</v>
      </c>
      <c r="I951" s="1">
        <f t="shared" si="1074"/>
        <v>0</v>
      </c>
      <c r="J951" s="1">
        <f t="shared" si="1074"/>
        <v>0</v>
      </c>
      <c r="K951" s="1">
        <f t="shared" si="1074"/>
        <v>0</v>
      </c>
      <c r="L951" s="1">
        <f t="shared" si="1074"/>
        <v>0</v>
      </c>
      <c r="N951" s="1"/>
    </row>
    <row r="952" spans="2:14" x14ac:dyDescent="0.35">
      <c r="B952" s="5" t="str">
        <f t="shared" si="1058"/>
        <v>SPS1</v>
      </c>
      <c r="C952" s="5" t="str">
        <f t="shared" si="1059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[1]Services!F$57</f>
        <v>0</v>
      </c>
      <c r="K952" s="1">
        <f>[1]Services!G$57</f>
        <v>0</v>
      </c>
      <c r="L952" s="1">
        <f>[1]Services!H$57</f>
        <v>0</v>
      </c>
      <c r="N952" s="1"/>
    </row>
    <row r="953" spans="2:14" x14ac:dyDescent="0.35">
      <c r="B953" s="5" t="str">
        <f t="shared" si="1058"/>
        <v>SPS1</v>
      </c>
      <c r="C953" s="5" t="str">
        <f t="shared" si="1059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[1]Services!F$58</f>
        <v>7.8317744872939077</v>
      </c>
      <c r="K953" s="1">
        <f>[1]Services!G$58</f>
        <v>10.030477419830977</v>
      </c>
      <c r="L953" s="1">
        <f>[1]Services!H$58</f>
        <v>15.118156820437941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5">B954</f>
        <v>SPS1</v>
      </c>
      <c r="C955" s="5" t="str">
        <f t="shared" ref="C955:C971" si="1076">C954</f>
        <v>CH</v>
      </c>
      <c r="D955" t="s">
        <v>761</v>
      </c>
      <c r="E955" t="s">
        <v>240</v>
      </c>
      <c r="F955" s="4">
        <f t="shared" ref="F955:K957" si="1077">IFERROR(F928/F884,"-")</f>
        <v>0.91249999999999998</v>
      </c>
      <c r="G955" s="4">
        <f t="shared" si="1077"/>
        <v>0.91500000000000048</v>
      </c>
      <c r="H955" s="4">
        <f t="shared" si="1077"/>
        <v>0.48067813785547431</v>
      </c>
      <c r="I955" s="4">
        <f t="shared" si="1077"/>
        <v>0.50730413453945344</v>
      </c>
      <c r="J955" s="4">
        <f t="shared" si="1077"/>
        <v>0.51436131023822207</v>
      </c>
      <c r="K955" s="4">
        <f t="shared" si="1077"/>
        <v>0.5234521493515164</v>
      </c>
      <c r="L955" s="4">
        <f t="shared" ref="L955" si="1078">IFERROR(L928/L884,"-")</f>
        <v>0.53452883563452391</v>
      </c>
      <c r="N955" s="1"/>
    </row>
    <row r="956" spans="2:14" x14ac:dyDescent="0.35">
      <c r="B956" s="5" t="str">
        <f t="shared" si="1075"/>
        <v>SPS1</v>
      </c>
      <c r="C956" s="5" t="str">
        <f t="shared" si="1076"/>
        <v>CH</v>
      </c>
      <c r="D956" t="s">
        <v>730</v>
      </c>
      <c r="E956" t="s">
        <v>240</v>
      </c>
      <c r="F956" s="4">
        <f t="shared" si="1077"/>
        <v>3.1999999999999997</v>
      </c>
      <c r="G956" s="4">
        <f t="shared" si="1077"/>
        <v>3.240000000000002</v>
      </c>
      <c r="H956" s="4">
        <f t="shared" si="1077"/>
        <v>2.8933950600745693</v>
      </c>
      <c r="I956" s="4">
        <f t="shared" si="1077"/>
        <v>3.2582331487217093</v>
      </c>
      <c r="J956" s="4">
        <f t="shared" si="1077"/>
        <v>3.4174333980249507</v>
      </c>
      <c r="K956" s="4">
        <f t="shared" si="1077"/>
        <v>3.5936932692211707</v>
      </c>
      <c r="L956" s="4">
        <f t="shared" ref="L956" si="1079">IFERROR(L929/L885,"-")</f>
        <v>3.8426505120177117</v>
      </c>
      <c r="N956" s="1"/>
    </row>
    <row r="957" spans="2:14" x14ac:dyDescent="0.35">
      <c r="B957" s="5" t="str">
        <f t="shared" si="1075"/>
        <v>SPS1</v>
      </c>
      <c r="C957" s="5" t="str">
        <f t="shared" si="1076"/>
        <v>CH</v>
      </c>
      <c r="D957" t="s">
        <v>699</v>
      </c>
      <c r="E957" t="s">
        <v>240</v>
      </c>
      <c r="F957" s="4">
        <f t="shared" si="1077"/>
        <v>0.99999999999999989</v>
      </c>
      <c r="G957" s="4">
        <f t="shared" si="1077"/>
        <v>1.0000000000000002</v>
      </c>
      <c r="H957" s="4">
        <f t="shared" si="1077"/>
        <v>1</v>
      </c>
      <c r="I957" s="4">
        <f t="shared" si="1077"/>
        <v>1</v>
      </c>
      <c r="J957" s="4">
        <f t="shared" si="1077"/>
        <v>1</v>
      </c>
      <c r="K957" s="4">
        <f t="shared" si="1077"/>
        <v>0.99999999999999989</v>
      </c>
      <c r="L957" s="4">
        <f t="shared" ref="L957" si="1080">IFERROR(L930/L886,"-")</f>
        <v>1</v>
      </c>
      <c r="N957" s="1"/>
    </row>
    <row r="958" spans="2:14" x14ac:dyDescent="0.35">
      <c r="B958" s="5" t="str">
        <f t="shared" si="1075"/>
        <v>SPS1</v>
      </c>
      <c r="C958" s="5" t="str">
        <f t="shared" si="1076"/>
        <v>CH</v>
      </c>
      <c r="D958" t="s">
        <v>700</v>
      </c>
      <c r="E958" t="s">
        <v>240</v>
      </c>
      <c r="F958" s="4">
        <f t="shared" ref="F958:K958" si="1081">IFERROR(F932/F888,"-")</f>
        <v>0.82107843137254843</v>
      </c>
      <c r="G958" s="4">
        <f t="shared" si="1081"/>
        <v>0.82270432925645443</v>
      </c>
      <c r="H958" s="4">
        <f t="shared" si="1081"/>
        <v>0.78870385396433906</v>
      </c>
      <c r="I958" s="4">
        <f t="shared" si="1081"/>
        <v>0.81824605082536228</v>
      </c>
      <c r="J958" s="4">
        <f t="shared" si="1081"/>
        <v>0.81824605082536306</v>
      </c>
      <c r="K958" s="4">
        <f t="shared" si="1081"/>
        <v>0.81824605082536261</v>
      </c>
      <c r="L958" s="4">
        <f t="shared" ref="L958" si="1082">IFERROR(L932/L888,"-")</f>
        <v>0.81824605082536284</v>
      </c>
      <c r="N958" s="1"/>
    </row>
    <row r="959" spans="2:14" x14ac:dyDescent="0.35">
      <c r="B959" s="5" t="str">
        <f t="shared" si="1075"/>
        <v>SPS1</v>
      </c>
      <c r="C959" s="5" t="str">
        <f t="shared" si="1076"/>
        <v>CH</v>
      </c>
      <c r="D959" t="s">
        <v>701</v>
      </c>
      <c r="E959" t="s">
        <v>240</v>
      </c>
      <c r="F959" s="4">
        <f t="shared" ref="F959:K961" si="1083">IFERROR(F934/F895,"-")</f>
        <v>0.94680851063829841</v>
      </c>
      <c r="G959" s="4">
        <f t="shared" si="1083"/>
        <v>0.94680851063829941</v>
      </c>
      <c r="H959" s="4">
        <f t="shared" si="1083"/>
        <v>0.80706191877061462</v>
      </c>
      <c r="I959" s="4">
        <f t="shared" si="1083"/>
        <v>0.75509408708278403</v>
      </c>
      <c r="J959" s="4">
        <f t="shared" si="1083"/>
        <v>0.654891424490881</v>
      </c>
      <c r="K959" s="4">
        <f t="shared" si="1083"/>
        <v>0.39427213677937345</v>
      </c>
      <c r="L959" s="4">
        <f t="shared" ref="L959" si="1084">IFERROR(L934/L895,"-")</f>
        <v>0.25327737050315574</v>
      </c>
      <c r="N959" s="1"/>
    </row>
    <row r="960" spans="2:14" x14ac:dyDescent="0.35">
      <c r="B960" s="5" t="str">
        <f t="shared" si="1075"/>
        <v>SPS1</v>
      </c>
      <c r="C960" s="5" t="str">
        <f t="shared" si="1076"/>
        <v>CH</v>
      </c>
      <c r="D960" t="s">
        <v>731</v>
      </c>
      <c r="E960" t="s">
        <v>240</v>
      </c>
      <c r="F960" s="4" t="str">
        <f t="shared" si="1083"/>
        <v>-</v>
      </c>
      <c r="G960" s="4" t="str">
        <f t="shared" si="1083"/>
        <v>-</v>
      </c>
      <c r="H960" s="4">
        <f t="shared" si="1083"/>
        <v>1.9268762686408993</v>
      </c>
      <c r="I960" s="4">
        <f t="shared" si="1083"/>
        <v>2.0376218643305304</v>
      </c>
      <c r="J960" s="4">
        <f t="shared" si="1083"/>
        <v>2.1057255728243627</v>
      </c>
      <c r="K960" s="4">
        <f t="shared" si="1083"/>
        <v>2.1890351538594675</v>
      </c>
      <c r="L960" s="4">
        <f t="shared" ref="L960" si="1085">IFERROR(L935/L896,"-")</f>
        <v>2.3954404847598503</v>
      </c>
      <c r="N960" s="1"/>
    </row>
    <row r="961" spans="2:14" x14ac:dyDescent="0.35">
      <c r="B961" s="5" t="str">
        <f t="shared" si="1075"/>
        <v>SPS1</v>
      </c>
      <c r="C961" s="5" t="str">
        <f t="shared" si="1076"/>
        <v>CH</v>
      </c>
      <c r="D961" t="s">
        <v>702</v>
      </c>
      <c r="E961" t="s">
        <v>240</v>
      </c>
      <c r="F961" s="4">
        <f t="shared" si="1083"/>
        <v>0.87219999999999898</v>
      </c>
      <c r="G961" s="4">
        <f t="shared" si="1083"/>
        <v>0.87220000000000086</v>
      </c>
      <c r="H961" s="4" t="str">
        <f t="shared" si="1083"/>
        <v>-</v>
      </c>
      <c r="I961" s="4" t="str">
        <f t="shared" si="1083"/>
        <v>-</v>
      </c>
      <c r="J961" s="4" t="str">
        <f t="shared" si="1083"/>
        <v>-</v>
      </c>
      <c r="K961" s="4" t="str">
        <f t="shared" si="1083"/>
        <v>-</v>
      </c>
      <c r="L961" s="4" t="str">
        <f t="shared" ref="L961" si="1086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7">IFERROR(F939/F907,"-")</f>
        <v>0.98999999999999988</v>
      </c>
      <c r="G962" s="4">
        <f t="shared" si="1087"/>
        <v>0.99</v>
      </c>
      <c r="H962" s="4" t="str">
        <f t="shared" si="1087"/>
        <v>-</v>
      </c>
      <c r="I962" s="4" t="str">
        <f t="shared" si="1087"/>
        <v>-</v>
      </c>
      <c r="J962" s="4" t="str">
        <f t="shared" si="1087"/>
        <v>-</v>
      </c>
      <c r="K962" s="4" t="str">
        <f t="shared" si="1087"/>
        <v>-</v>
      </c>
      <c r="L962" s="4" t="str">
        <f t="shared" ref="L962" si="1088">IFERROR(L939/L907,"-")</f>
        <v>-</v>
      </c>
      <c r="N962" s="1"/>
    </row>
    <row r="963" spans="2:14" x14ac:dyDescent="0.35">
      <c r="B963" s="5" t="str">
        <f t="shared" si="1075"/>
        <v>SPS1</v>
      </c>
      <c r="C963" s="5" t="str">
        <f t="shared" si="1076"/>
        <v>CH</v>
      </c>
      <c r="D963" t="s">
        <v>704</v>
      </c>
      <c r="E963" t="s">
        <v>240</v>
      </c>
      <c r="F963" s="4">
        <f t="shared" si="1087"/>
        <v>0.99</v>
      </c>
      <c r="G963" s="4">
        <f t="shared" si="1087"/>
        <v>0.9900000000000001</v>
      </c>
      <c r="H963" s="4" t="str">
        <f t="shared" si="1087"/>
        <v>-</v>
      </c>
      <c r="I963" s="4" t="str">
        <f t="shared" si="1087"/>
        <v>-</v>
      </c>
      <c r="J963" s="4" t="str">
        <f t="shared" si="1087"/>
        <v>-</v>
      </c>
      <c r="K963" s="4" t="str">
        <f t="shared" si="1087"/>
        <v>-</v>
      </c>
      <c r="L963" s="4" t="str">
        <f t="shared" ref="L963" si="1089">IFERROR(L940/L908,"-")</f>
        <v>-</v>
      </c>
      <c r="N963" s="1"/>
    </row>
    <row r="964" spans="2:14" x14ac:dyDescent="0.35">
      <c r="B964" s="5" t="str">
        <f t="shared" si="1075"/>
        <v>SPS1</v>
      </c>
      <c r="C964" s="5" t="str">
        <f t="shared" si="1076"/>
        <v>CH</v>
      </c>
      <c r="D964" t="s">
        <v>705</v>
      </c>
      <c r="E964" t="s">
        <v>240</v>
      </c>
      <c r="F964" s="4" t="str">
        <f t="shared" si="1087"/>
        <v>-</v>
      </c>
      <c r="G964" s="4" t="str">
        <f t="shared" si="1087"/>
        <v>-</v>
      </c>
      <c r="H964" s="4" t="str">
        <f t="shared" si="1087"/>
        <v>-</v>
      </c>
      <c r="I964" s="4" t="str">
        <f t="shared" si="1087"/>
        <v>-</v>
      </c>
      <c r="J964" s="4" t="str">
        <f t="shared" si="1087"/>
        <v>-</v>
      </c>
      <c r="K964" s="4" t="str">
        <f t="shared" si="1087"/>
        <v>-</v>
      </c>
      <c r="L964" s="4" t="str">
        <f t="shared" ref="L964" si="1090">IFERROR(L941/L909,"-")</f>
        <v>-</v>
      </c>
      <c r="N964" s="1"/>
    </row>
    <row r="965" spans="2:14" x14ac:dyDescent="0.35">
      <c r="B965" s="5" t="str">
        <f t="shared" si="1075"/>
        <v>SPS1</v>
      </c>
      <c r="C965" s="5" t="str">
        <f t="shared" si="1076"/>
        <v>CH</v>
      </c>
      <c r="D965" t="s">
        <v>706</v>
      </c>
      <c r="E965" t="s">
        <v>240</v>
      </c>
      <c r="F965" s="4" t="str">
        <f t="shared" si="1087"/>
        <v>-</v>
      </c>
      <c r="G965" s="4" t="str">
        <f t="shared" si="1087"/>
        <v>-</v>
      </c>
      <c r="H965" s="4" t="str">
        <f t="shared" si="1087"/>
        <v>-</v>
      </c>
      <c r="I965" s="4" t="str">
        <f t="shared" si="1087"/>
        <v>-</v>
      </c>
      <c r="J965" s="4" t="str">
        <f t="shared" si="1087"/>
        <v>-</v>
      </c>
      <c r="K965" s="4" t="str">
        <f t="shared" si="1087"/>
        <v>-</v>
      </c>
      <c r="L965" s="4" t="str">
        <f t="shared" ref="L965" si="1091">IFERROR(L942/L910,"-")</f>
        <v>-</v>
      </c>
      <c r="N965" s="1"/>
    </row>
    <row r="966" spans="2:14" x14ac:dyDescent="0.35">
      <c r="B966" s="5" t="str">
        <f t="shared" si="1075"/>
        <v>SPS1</v>
      </c>
      <c r="C966" s="5" t="str">
        <f t="shared" si="1076"/>
        <v>CH</v>
      </c>
      <c r="D966" t="s">
        <v>707</v>
      </c>
      <c r="E966" t="s">
        <v>240</v>
      </c>
      <c r="F966" s="4" t="str">
        <f t="shared" si="1087"/>
        <v>-</v>
      </c>
      <c r="G966" s="4" t="str">
        <f t="shared" si="1087"/>
        <v>-</v>
      </c>
      <c r="H966" s="4" t="str">
        <f t="shared" si="1087"/>
        <v>-</v>
      </c>
      <c r="I966" s="4">
        <f t="shared" si="1087"/>
        <v>0</v>
      </c>
      <c r="J966" s="4">
        <f t="shared" si="1087"/>
        <v>0</v>
      </c>
      <c r="K966" s="4">
        <f t="shared" si="1087"/>
        <v>0</v>
      </c>
      <c r="L966" s="4" t="str">
        <f t="shared" ref="L966" si="1092">IFERROR(L943/L911,"-")</f>
        <v>-</v>
      </c>
      <c r="N966" s="1"/>
    </row>
    <row r="967" spans="2:14" x14ac:dyDescent="0.35">
      <c r="B967" s="5" t="str">
        <f t="shared" si="1075"/>
        <v>SPS1</v>
      </c>
      <c r="C967" s="5" t="str">
        <f t="shared" si="1076"/>
        <v>CH</v>
      </c>
      <c r="D967" t="s">
        <v>995</v>
      </c>
      <c r="E967" t="s">
        <v>240</v>
      </c>
      <c r="F967" s="4">
        <f t="shared" si="1087"/>
        <v>0.98999999999999855</v>
      </c>
      <c r="G967" s="4">
        <f t="shared" si="1087"/>
        <v>0.99</v>
      </c>
      <c r="H967" s="4">
        <f t="shared" si="1087"/>
        <v>0.82102704915466052</v>
      </c>
      <c r="I967" s="4">
        <f t="shared" si="1087"/>
        <v>0.82905483281736447</v>
      </c>
      <c r="J967" s="4">
        <f t="shared" si="1087"/>
        <v>0.82905483281736414</v>
      </c>
      <c r="K967" s="4">
        <f t="shared" si="1087"/>
        <v>0.82905483281736547</v>
      </c>
      <c r="L967" s="4">
        <f t="shared" ref="L967" si="1093">IFERROR(L944/L912,"-")</f>
        <v>0.82905483281736569</v>
      </c>
      <c r="N967" s="1"/>
    </row>
    <row r="968" spans="2:14" x14ac:dyDescent="0.35">
      <c r="B968" s="5" t="str">
        <f t="shared" si="1075"/>
        <v>SPS1</v>
      </c>
      <c r="C968" s="5" t="str">
        <f t="shared" si="1076"/>
        <v>CH</v>
      </c>
      <c r="D968" t="s">
        <v>996</v>
      </c>
      <c r="E968" t="s">
        <v>240</v>
      </c>
      <c r="F968" s="4">
        <f t="shared" ref="F968:K968" si="1094">IFERROR(F946/F913,"-")</f>
        <v>0.71999999999999964</v>
      </c>
      <c r="G968" s="4">
        <f t="shared" si="1094"/>
        <v>0.71999999999999964</v>
      </c>
      <c r="H968" s="4">
        <f t="shared" si="1094"/>
        <v>0.67364121696241097</v>
      </c>
      <c r="I968" s="4">
        <f t="shared" si="1094"/>
        <v>0.67364121696241197</v>
      </c>
      <c r="J968" s="4">
        <f t="shared" si="1094"/>
        <v>0.67364121696241253</v>
      </c>
      <c r="K968" s="4">
        <f t="shared" si="1094"/>
        <v>0.67364121696241264</v>
      </c>
      <c r="L968" s="4">
        <f t="shared" ref="L968" si="1095">IFERROR(L946/L913,"-")</f>
        <v>0.7142775229896311</v>
      </c>
      <c r="N968" s="1"/>
    </row>
    <row r="969" spans="2:14" x14ac:dyDescent="0.35">
      <c r="B969" s="5" t="str">
        <f t="shared" si="1075"/>
        <v>SPS1</v>
      </c>
      <c r="C969" s="5" t="str">
        <f t="shared" si="1076"/>
        <v>CH</v>
      </c>
      <c r="D969" t="s">
        <v>997</v>
      </c>
      <c r="E969" t="s">
        <v>240</v>
      </c>
      <c r="F969" s="4">
        <f t="shared" ref="F969:K969" si="1096">IFERROR(F948/F916,"-")</f>
        <v>0.89999999999999947</v>
      </c>
      <c r="G969" s="4">
        <f t="shared" si="1096"/>
        <v>0.90000000000000013</v>
      </c>
      <c r="H969" s="4">
        <f t="shared" si="1096"/>
        <v>0.65489061910206814</v>
      </c>
      <c r="I969" s="4">
        <f t="shared" si="1096"/>
        <v>0.65489061910206781</v>
      </c>
      <c r="J969" s="4">
        <f t="shared" si="1096"/>
        <v>0.65489061910206881</v>
      </c>
      <c r="K969" s="4">
        <f t="shared" si="1096"/>
        <v>0.65489061910206781</v>
      </c>
      <c r="L969" s="4">
        <f t="shared" ref="L969" si="1097">IFERROR(L948/L916,"-")</f>
        <v>0.69135091386307723</v>
      </c>
      <c r="N969" s="1"/>
    </row>
    <row r="970" spans="2:14" x14ac:dyDescent="0.35">
      <c r="B970" s="5" t="str">
        <f t="shared" si="1075"/>
        <v>SPS1</v>
      </c>
      <c r="C970" s="5" t="str">
        <f t="shared" si="1076"/>
        <v>CH</v>
      </c>
      <c r="D970" t="s">
        <v>998</v>
      </c>
      <c r="E970" t="s">
        <v>240</v>
      </c>
      <c r="F970" s="4">
        <f t="shared" ref="F970:K970" si="1098">IFERROR(F950/F918,"-")</f>
        <v>1</v>
      </c>
      <c r="G970" s="4">
        <f t="shared" si="1098"/>
        <v>1</v>
      </c>
      <c r="H970" s="4">
        <f t="shared" si="1098"/>
        <v>1</v>
      </c>
      <c r="I970" s="4">
        <f t="shared" si="1098"/>
        <v>1</v>
      </c>
      <c r="J970" s="4">
        <f t="shared" si="1098"/>
        <v>1</v>
      </c>
      <c r="K970" s="4">
        <f t="shared" si="1098"/>
        <v>1</v>
      </c>
      <c r="L970" s="4">
        <f t="shared" ref="L970" si="1099">IFERROR(L950/L918,"-")</f>
        <v>1</v>
      </c>
      <c r="N970" s="1"/>
    </row>
    <row r="971" spans="2:14" x14ac:dyDescent="0.35">
      <c r="B971" s="5" t="str">
        <f t="shared" si="1075"/>
        <v>SPS1</v>
      </c>
      <c r="C971" s="5" t="str">
        <f t="shared" si="1076"/>
        <v>CH</v>
      </c>
      <c r="D971" t="s">
        <v>999</v>
      </c>
      <c r="E971" t="s">
        <v>240</v>
      </c>
      <c r="F971" s="4" t="str">
        <f t="shared" ref="F971:K971" si="1100">IFERROR(F952/F922,"-")</f>
        <v>-</v>
      </c>
      <c r="G971" s="4" t="str">
        <f t="shared" si="1100"/>
        <v>-</v>
      </c>
      <c r="H971" s="4" t="str">
        <f t="shared" si="1100"/>
        <v>-</v>
      </c>
      <c r="I971" s="4">
        <f t="shared" si="1100"/>
        <v>0</v>
      </c>
      <c r="J971" s="4">
        <f t="shared" si="1100"/>
        <v>0</v>
      </c>
      <c r="K971" s="4">
        <f t="shared" si="1100"/>
        <v>0</v>
      </c>
      <c r="L971" s="4" t="str">
        <f t="shared" ref="L971" si="1101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[1]Residential!F$26</f>
        <v>181.80753889644717</v>
      </c>
      <c r="K972" s="3">
        <f>[1]Residential!G$26</f>
        <v>168.67462893189168</v>
      </c>
      <c r="L972" s="3">
        <f>[1]Residential!H$26</f>
        <v>144.01183450595568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[1]Residential!F$15</f>
        <v>68.174937859294076</v>
      </c>
      <c r="K973" s="1">
        <f>[1]Residential!G$15</f>
        <v>66.567970177116848</v>
      </c>
      <c r="L973" s="1">
        <f>[1]Residential!H$15</f>
        <v>56.668024395757982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02">SUM(G975:G976)</f>
        <v>15.081940836844979</v>
      </c>
      <c r="H974" s="1">
        <f t="shared" si="1102"/>
        <v>12.299992433129701</v>
      </c>
      <c r="I974" s="1">
        <f t="shared" si="1102"/>
        <v>15.188207296590571</v>
      </c>
      <c r="J974" s="1">
        <f t="shared" si="1102"/>
        <v>15.906301367682152</v>
      </c>
      <c r="K974" s="1">
        <f t="shared" si="1102"/>
        <v>16.898035375428123</v>
      </c>
      <c r="L974" s="1">
        <f t="shared" ref="L974" si="1103">SUM(L975:L976)</f>
        <v>13.842605759580001</v>
      </c>
      <c r="N974" s="1"/>
    </row>
    <row r="975" spans="2:14" x14ac:dyDescent="0.35">
      <c r="B975" s="5" t="str">
        <f>B974</f>
        <v>SPS1</v>
      </c>
      <c r="C975" s="5" t="str">
        <f t="shared" ref="C975" si="1104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2.5888745120459453E-2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2.027407620540329E-2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1.134094131833212E-2</v>
      </c>
      <c r="N975" s="1"/>
    </row>
    <row r="976" spans="2:14" x14ac:dyDescent="0.35">
      <c r="B976" s="5" t="str">
        <f t="shared" ref="B976:B980" si="1105">B975</f>
        <v>SPS1</v>
      </c>
      <c r="C976" s="5" t="str">
        <f t="shared" ref="C976:C980" si="1106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15.880412622561693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16.877761299222719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13.831264818261669</v>
      </c>
      <c r="N976" s="1"/>
    </row>
    <row r="977" spans="2:14" x14ac:dyDescent="0.35">
      <c r="B977" s="5" t="str">
        <f t="shared" si="1105"/>
        <v>SPS1</v>
      </c>
      <c r="C977" s="5" t="str">
        <f t="shared" si="1106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07">SUM(G978:G979)</f>
        <v>10.085312069061098</v>
      </c>
      <c r="H977" s="1">
        <f t="shared" si="1107"/>
        <v>8.8502419128753793</v>
      </c>
      <c r="I977" s="1">
        <f t="shared" si="1107"/>
        <v>8.1284128751151599</v>
      </c>
      <c r="J977" s="1">
        <f t="shared" si="1107"/>
        <v>8.468166636471139</v>
      </c>
      <c r="K977" s="1">
        <f t="shared" si="1107"/>
        <v>8.9296483122215662</v>
      </c>
      <c r="L977" s="1">
        <f t="shared" ref="L977" si="1108">SUM(L978:L979)</f>
        <v>8.3377367285901869</v>
      </c>
      <c r="N977" s="1"/>
    </row>
    <row r="978" spans="2:14" x14ac:dyDescent="0.35">
      <c r="B978" s="5" t="str">
        <f t="shared" si="1105"/>
        <v>SPS1</v>
      </c>
      <c r="C978" s="5" t="str">
        <f t="shared" si="1106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3.5135253733153955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3.1297306910663756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2.6512988840152865</v>
      </c>
      <c r="N978" s="1"/>
    </row>
    <row r="979" spans="2:14" x14ac:dyDescent="0.35">
      <c r="B979" s="5" t="str">
        <f t="shared" si="1105"/>
        <v>SPS1</v>
      </c>
      <c r="C979" s="5" t="str">
        <f t="shared" si="1106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4.9546412631557439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5.799917621155191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5.6864378445749004</v>
      </c>
      <c r="N979" s="1"/>
    </row>
    <row r="980" spans="2:14" x14ac:dyDescent="0.35">
      <c r="B980" s="5" t="str">
        <f t="shared" si="1105"/>
        <v>SPS1</v>
      </c>
      <c r="C980" s="5" t="str">
        <f t="shared" si="1106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[1]Residential!F$3-([1]Residential!F$10-[1]Residential!F$244)</f>
        <v>43.800469855140783</v>
      </c>
      <c r="K980" s="1">
        <f>[1]Residential!G$3-([1]Residential!G$10-[1]Residential!G$244)</f>
        <v>40.740286489467167</v>
      </c>
      <c r="L980" s="1">
        <f>[1]Residential!H$3-([1]Residential!H$10-[1]Residential!H$244)</f>
        <v>34.487681907587792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SUM([1]Residential!F$16:F$17)</f>
        <v>13.307943682172089</v>
      </c>
      <c r="K981" s="1">
        <f>SUM([1]Residential!G$16:G$17)</f>
        <v>3.6690730599945192</v>
      </c>
      <c r="L981" s="1">
        <f>SUM([1]Residential!H$16:H$17)</f>
        <v>0.37366247648061812</v>
      </c>
      <c r="N981" s="1"/>
    </row>
    <row r="982" spans="2:14" x14ac:dyDescent="0.35">
      <c r="B982" s="5" t="str">
        <f t="shared" ref="B982:B993" si="1109">B981</f>
        <v>SPS1</v>
      </c>
      <c r="C982" s="5" t="str">
        <f t="shared" ref="C982:C993" si="1110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[1]Residential!F$16</f>
        <v>13.306783941340617</v>
      </c>
      <c r="K982" s="1">
        <f>[1]Residential!G$16</f>
        <v>3.6683095428333479</v>
      </c>
      <c r="L982" s="1">
        <f>[1]Residential!H$16</f>
        <v>1.7245662970090557E-5</v>
      </c>
      <c r="N982" s="1"/>
    </row>
    <row r="983" spans="2:14" x14ac:dyDescent="0.35">
      <c r="B983" s="5" t="str">
        <f t="shared" si="1109"/>
        <v>SPS1</v>
      </c>
      <c r="C983" s="5" t="str">
        <f t="shared" si="1110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[1]Residential!F$17</f>
        <v>1.1597408314728561E-3</v>
      </c>
      <c r="K983" s="1">
        <f>[1]Residential!G$17</f>
        <v>7.6351716117113765E-4</v>
      </c>
      <c r="L983" s="1">
        <f>[1]Residential!H$17</f>
        <v>0.37364523081764806</v>
      </c>
      <c r="N983" s="1"/>
    </row>
    <row r="984" spans="2:14" x14ac:dyDescent="0.35">
      <c r="B984" s="5" t="str">
        <f t="shared" si="1109"/>
        <v>SPS1</v>
      </c>
      <c r="C984" s="5" t="str">
        <f t="shared" si="1110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11">SUM(G986,G988)</f>
        <v>42.906931071069067</v>
      </c>
      <c r="H984" s="1">
        <f t="shared" si="1111"/>
        <v>40.654249078398408</v>
      </c>
      <c r="I984" s="1">
        <f t="shared" si="1111"/>
        <v>18.646371765859342</v>
      </c>
      <c r="J984" s="1">
        <f t="shared" si="1111"/>
        <v>11.025218865689757</v>
      </c>
      <c r="K984" s="1">
        <f t="shared" si="1111"/>
        <v>2.8611677073716826</v>
      </c>
      <c r="L984" s="1">
        <f t="shared" ref="L984" si="1112">SUM(L986,L988)</f>
        <v>0.32491743608345836</v>
      </c>
      <c r="N984" s="1"/>
    </row>
    <row r="985" spans="2:14" x14ac:dyDescent="0.35">
      <c r="B985" s="5" t="str">
        <f t="shared" si="1109"/>
        <v>SPS1</v>
      </c>
      <c r="C985" s="5" t="str">
        <f t="shared" si="1110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11.025218865689757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2.8611677073716826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0.32491743608345836</v>
      </c>
      <c r="N985" s="1"/>
    </row>
    <row r="986" spans="2:14" x14ac:dyDescent="0.35">
      <c r="B986" s="5" t="str">
        <f t="shared" si="1109"/>
        <v>SPS1</v>
      </c>
      <c r="C986" s="5" t="str">
        <f t="shared" si="1110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13">G987</f>
        <v>42.906931071069067</v>
      </c>
      <c r="H986" s="1">
        <f t="shared" si="1113"/>
        <v>40.653990054166769</v>
      </c>
      <c r="I986" s="1">
        <f t="shared" si="1113"/>
        <v>18.646278057410893</v>
      </c>
      <c r="J986" s="1">
        <f t="shared" si="1113"/>
        <v>11.024258056356638</v>
      </c>
      <c r="K986" s="1">
        <f t="shared" si="1113"/>
        <v>2.8605723115837418</v>
      </c>
      <c r="L986" s="1">
        <f t="shared" si="1113"/>
        <v>1.4995930682089542E-5</v>
      </c>
      <c r="N986" s="1"/>
    </row>
    <row r="987" spans="2:14" x14ac:dyDescent="0.35">
      <c r="B987" s="5" t="str">
        <f t="shared" si="1109"/>
        <v>SPS1</v>
      </c>
      <c r="C987" s="5" t="str">
        <f t="shared" si="1110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14">G985*IFERROR(G982/G981,0)</f>
        <v>42.906931071069067</v>
      </c>
      <c r="H987" s="1">
        <f t="shared" si="1114"/>
        <v>40.653990054166769</v>
      </c>
      <c r="I987" s="1">
        <f t="shared" si="1114"/>
        <v>18.646278057410893</v>
      </c>
      <c r="J987" s="1">
        <f t="shared" si="1114"/>
        <v>11.024258056356638</v>
      </c>
      <c r="K987" s="1">
        <f t="shared" si="1114"/>
        <v>2.8605723115837418</v>
      </c>
      <c r="L987" s="1">
        <f t="shared" ref="L987" si="1115">L985*IFERROR(L982/L981,0)</f>
        <v>1.4995930682089542E-5</v>
      </c>
      <c r="N987" s="1"/>
    </row>
    <row r="988" spans="2:14" x14ac:dyDescent="0.35">
      <c r="B988" s="5" t="str">
        <f t="shared" si="1109"/>
        <v>SPS1</v>
      </c>
      <c r="C988" s="5" t="str">
        <f t="shared" si="1110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6">G989</f>
        <v>0</v>
      </c>
      <c r="H988" s="1">
        <f t="shared" si="1116"/>
        <v>2.590242316387048E-4</v>
      </c>
      <c r="I988" s="1">
        <f t="shared" si="1116"/>
        <v>9.3708448449802972E-5</v>
      </c>
      <c r="J988" s="1">
        <f t="shared" si="1116"/>
        <v>9.6080933311881722E-4</v>
      </c>
      <c r="K988" s="1">
        <f t="shared" si="1116"/>
        <v>5.9539578794076675E-4</v>
      </c>
      <c r="L988" s="1">
        <f t="shared" si="1116"/>
        <v>0.32490244015277625</v>
      </c>
      <c r="N988" s="1"/>
    </row>
    <row r="989" spans="2:14" x14ac:dyDescent="0.35">
      <c r="B989" s="5" t="str">
        <f t="shared" si="1109"/>
        <v>SPS1</v>
      </c>
      <c r="C989" s="5" t="str">
        <f t="shared" si="1110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7">G985-G987</f>
        <v>0</v>
      </c>
      <c r="H989" s="1">
        <f t="shared" si="1117"/>
        <v>2.590242316387048E-4</v>
      </c>
      <c r="I989" s="1">
        <f t="shared" si="1117"/>
        <v>9.3708448449802972E-5</v>
      </c>
      <c r="J989" s="1">
        <f t="shared" si="1117"/>
        <v>9.6080933311881722E-4</v>
      </c>
      <c r="K989" s="1">
        <f t="shared" si="1117"/>
        <v>5.9539578794076675E-4</v>
      </c>
      <c r="L989" s="1">
        <f t="shared" ref="L989" si="1118">L985-L987</f>
        <v>0.32490244015277625</v>
      </c>
      <c r="N989" s="1"/>
    </row>
    <row r="990" spans="2:14" x14ac:dyDescent="0.35">
      <c r="B990" s="5" t="str">
        <f t="shared" si="1109"/>
        <v>SPS1</v>
      </c>
      <c r="C990" s="5" t="str">
        <f t="shared" si="1110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19">G991</f>
        <v>7.7553362049978629</v>
      </c>
      <c r="H990" s="1">
        <f t="shared" si="1119"/>
        <v>8.9856804947455906</v>
      </c>
      <c r="I990" s="1">
        <f t="shared" si="1119"/>
        <v>3.5477903075198682</v>
      </c>
      <c r="J990" s="1">
        <f t="shared" si="1119"/>
        <v>2.2827248164823319</v>
      </c>
      <c r="K990" s="1">
        <f t="shared" si="1119"/>
        <v>0.80790535262283603</v>
      </c>
      <c r="L990" s="1">
        <f t="shared" si="1119"/>
        <v>4.8745040397159732E-2</v>
      </c>
      <c r="N990" s="1"/>
    </row>
    <row r="991" spans="2:14" x14ac:dyDescent="0.35">
      <c r="B991" s="5" t="str">
        <f t="shared" si="1109"/>
        <v>SPS1</v>
      </c>
      <c r="C991" s="5" t="str">
        <f t="shared" si="1110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2.2827248164823319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0.80790535262283603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4.8745040397159732E-2</v>
      </c>
      <c r="N991" s="1"/>
    </row>
    <row r="992" spans="2:14" x14ac:dyDescent="0.35">
      <c r="B992" s="5" t="str">
        <f t="shared" si="1109"/>
        <v>SPS1</v>
      </c>
      <c r="C992" s="5" t="str">
        <f t="shared" si="1110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20">IFERROR(G982/G981,0)*G991</f>
        <v>7.7553362049978629</v>
      </c>
      <c r="H992" s="1">
        <f t="shared" si="1120"/>
        <v>8.9856232434363505</v>
      </c>
      <c r="I992" s="1">
        <f t="shared" si="1120"/>
        <v>3.5477724778890254</v>
      </c>
      <c r="J992" s="1">
        <f t="shared" si="1120"/>
        <v>2.2825258849839791</v>
      </c>
      <c r="K992" s="1">
        <f t="shared" si="1120"/>
        <v>0.8077372312496055</v>
      </c>
      <c r="L992" s="1">
        <f t="shared" ref="L992" si="1121">IFERROR(L982/L981,0)*L991</f>
        <v>2.2497322880010135E-6</v>
      </c>
      <c r="N992" s="1"/>
    </row>
    <row r="993" spans="2:14" x14ac:dyDescent="0.35">
      <c r="B993" s="5" t="str">
        <f t="shared" si="1109"/>
        <v>SPS1</v>
      </c>
      <c r="C993" s="5" t="str">
        <f t="shared" si="1110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2">G991-G992</f>
        <v>0</v>
      </c>
      <c r="H993" s="1">
        <f t="shared" si="1122"/>
        <v>5.725130924005839E-5</v>
      </c>
      <c r="I993" s="1">
        <f t="shared" si="1122"/>
        <v>1.7829630842847166E-5</v>
      </c>
      <c r="J993" s="1">
        <f t="shared" si="1122"/>
        <v>1.9893149835281676E-4</v>
      </c>
      <c r="K993" s="1">
        <f t="shared" si="1122"/>
        <v>1.6812137323052312E-4</v>
      </c>
      <c r="L993" s="1">
        <f t="shared" ref="L993" si="1123">L991-L992</f>
        <v>4.8742790664871728E-2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24">SUM(G995:G996)</f>
        <v>48.270440501138609</v>
      </c>
      <c r="H994" s="1">
        <f t="shared" si="1124"/>
        <v>45.742432873529324</v>
      </c>
      <c r="I994" s="1">
        <f t="shared" si="1124"/>
        <v>31.001177016348169</v>
      </c>
      <c r="J994" s="1">
        <f t="shared" si="1124"/>
        <v>20.15518903304968</v>
      </c>
      <c r="K994" s="1">
        <f t="shared" si="1124"/>
        <v>10.560223371260529</v>
      </c>
      <c r="L994" s="1">
        <f t="shared" ref="L994" si="1125">SUM(L995:L996)</f>
        <v>6.507781441231689</v>
      </c>
      <c r="N994" s="1"/>
    </row>
    <row r="995" spans="2:14" x14ac:dyDescent="0.35">
      <c r="B995" s="5" t="str">
        <f t="shared" ref="B995:B1055" si="1126">B994</f>
        <v>SPS1</v>
      </c>
      <c r="C995" s="5" t="str">
        <f t="shared" ref="C995:C1055" si="1127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[1]Residential!F$18</f>
        <v>19.556932735034145</v>
      </c>
      <c r="K995" s="1">
        <f>[1]Residential!G$18</f>
        <v>10.560099497454329</v>
      </c>
      <c r="L995" s="1">
        <f>[1]Residential!H$18</f>
        <v>6.5073006156038895</v>
      </c>
      <c r="N995" s="1"/>
    </row>
    <row r="996" spans="2:14" x14ac:dyDescent="0.35">
      <c r="B996" s="5" t="str">
        <f t="shared" si="1126"/>
        <v>SPS1</v>
      </c>
      <c r="C996" s="5" t="str">
        <f t="shared" si="1127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[1]Residential!F$19</f>
        <v>0.59825629801553581</v>
      </c>
      <c r="K996" s="1">
        <f>[1]Residential!G$19</f>
        <v>1.2387380619987033E-4</v>
      </c>
      <c r="L996" s="1">
        <f>[1]Residential!H$19</f>
        <v>4.8082562779950649E-4</v>
      </c>
      <c r="N996" s="1"/>
    </row>
    <row r="997" spans="2:14" x14ac:dyDescent="0.35">
      <c r="B997" s="5" t="str">
        <f t="shared" si="1126"/>
        <v>SPS1</v>
      </c>
      <c r="C997" s="5" t="str">
        <f t="shared" si="1127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28">SUM(G998:G999)</f>
        <v>40.921670258232872</v>
      </c>
      <c r="H997" s="1">
        <f t="shared" si="1128"/>
        <v>35.647967775788644</v>
      </c>
      <c r="I997" s="1">
        <f t="shared" si="1128"/>
        <v>24.869287868118789</v>
      </c>
      <c r="J997" s="1">
        <f t="shared" si="1128"/>
        <v>15.827978400801022</v>
      </c>
      <c r="K997" s="1">
        <f t="shared" si="1128"/>
        <v>7.8592621006387056</v>
      </c>
      <c r="L997" s="1">
        <f t="shared" ref="L997" si="1129">SUM(L998:L999)</f>
        <v>4.7828726040414491</v>
      </c>
      <c r="N997" s="1"/>
    </row>
    <row r="998" spans="2:14" x14ac:dyDescent="0.35">
      <c r="B998" s="5" t="str">
        <f t="shared" si="1126"/>
        <v>SPS1</v>
      </c>
      <c r="C998" s="5" t="str">
        <f t="shared" si="1127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12.098199202518371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3.779342548087433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1.4775285208504436</v>
      </c>
      <c r="N998" s="1"/>
    </row>
    <row r="999" spans="2:14" x14ac:dyDescent="0.35">
      <c r="B999" s="5" t="str">
        <f t="shared" si="1126"/>
        <v>SPS1</v>
      </c>
      <c r="C999" s="5" t="str">
        <f t="shared" si="1127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3.7297791982826514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4.0799195525512726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3.3053440831910055</v>
      </c>
      <c r="N999" s="1"/>
    </row>
    <row r="1000" spans="2:14" x14ac:dyDescent="0.35">
      <c r="B1000" s="5" t="str">
        <f t="shared" si="1126"/>
        <v>SPS1</v>
      </c>
      <c r="C1000" s="5" t="str">
        <f t="shared" si="1127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30">SUM(G1001:G1002)</f>
        <v>38.840035291064147</v>
      </c>
      <c r="H1000" s="1">
        <f t="shared" si="1130"/>
        <v>34.44220990085563</v>
      </c>
      <c r="I1000" s="1">
        <f t="shared" si="1130"/>
        <v>24.366355152622077</v>
      </c>
      <c r="J1000" s="1">
        <f t="shared" si="1130"/>
        <v>15.358164510809424</v>
      </c>
      <c r="K1000" s="1">
        <f t="shared" si="1130"/>
        <v>7.8591699097184851</v>
      </c>
      <c r="L1000" s="1">
        <f t="shared" ref="L1000" si="1131">SUM(L1001:L1002)</f>
        <v>4.7825192228249334</v>
      </c>
      <c r="N1000" s="1"/>
    </row>
    <row r="1001" spans="2:14" x14ac:dyDescent="0.35">
      <c r="B1001" s="5" t="str">
        <f t="shared" si="1126"/>
        <v>SPS1</v>
      </c>
      <c r="C1001" s="5" t="str">
        <f t="shared" si="1127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32">G998-G1004</f>
        <v>38.840035291064147</v>
      </c>
      <c r="H1001" s="1">
        <f t="shared" si="1132"/>
        <v>32.263274313168765</v>
      </c>
      <c r="I1001" s="1">
        <f t="shared" si="1132"/>
        <v>21.134166668616487</v>
      </c>
      <c r="J1001" s="1">
        <f t="shared" si="1132"/>
        <v>11.739094464989744</v>
      </c>
      <c r="K1001" s="1">
        <f t="shared" si="1132"/>
        <v>3.7792982155454111</v>
      </c>
      <c r="L1001" s="1">
        <f t="shared" ref="L1001" si="1133">L998-L1004</f>
        <v>1.477419354065258</v>
      </c>
      <c r="N1001" s="1"/>
    </row>
    <row r="1002" spans="2:14" x14ac:dyDescent="0.35">
      <c r="B1002" s="5" t="str">
        <f t="shared" si="1126"/>
        <v>SPS1</v>
      </c>
      <c r="C1002" s="5" t="str">
        <f t="shared" si="1127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4">G999-G1005</f>
        <v>0</v>
      </c>
      <c r="H1002" s="1">
        <f t="shared" si="1134"/>
        <v>2.1789355876868672</v>
      </c>
      <c r="I1002" s="1">
        <f t="shared" si="1134"/>
        <v>3.2321884840055901</v>
      </c>
      <c r="J1002" s="1">
        <f t="shared" si="1134"/>
        <v>3.6190700458196785</v>
      </c>
      <c r="K1002" s="1">
        <f t="shared" si="1134"/>
        <v>4.0798716941730744</v>
      </c>
      <c r="L1002" s="1">
        <f t="shared" ref="L1002" si="1135">L999-L1005</f>
        <v>3.3050998687596751</v>
      </c>
      <c r="N1002" s="1"/>
    </row>
    <row r="1003" spans="2:14" x14ac:dyDescent="0.35">
      <c r="B1003" s="5" t="str">
        <f t="shared" si="1126"/>
        <v>SPS1</v>
      </c>
      <c r="C1003" s="5" t="str">
        <f t="shared" si="1127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36">SUM(G1004:G1005)</f>
        <v>2.0816349671687222</v>
      </c>
      <c r="H1003" s="1">
        <f t="shared" si="1136"/>
        <v>1.2057578749330089</v>
      </c>
      <c r="I1003" s="1">
        <f t="shared" si="1136"/>
        <v>0.50293271549671248</v>
      </c>
      <c r="J1003" s="1">
        <f t="shared" si="1136"/>
        <v>0.46981388999159879</v>
      </c>
      <c r="K1003" s="1">
        <f t="shared" si="1136"/>
        <v>9.2190920220307367E-5</v>
      </c>
      <c r="L1003" s="1">
        <f t="shared" ref="L1003" si="1137">SUM(L1004:L1005)</f>
        <v>3.5338121651609043E-4</v>
      </c>
      <c r="N1003" s="1"/>
    </row>
    <row r="1004" spans="2:14" x14ac:dyDescent="0.35">
      <c r="B1004" s="5" t="str">
        <f t="shared" si="1126"/>
        <v>SPS1</v>
      </c>
      <c r="C1004" s="5" t="str">
        <f t="shared" si="1127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38">G998*IFERROR(G996/G994,0)</f>
        <v>2.0816349671687222</v>
      </c>
      <c r="H1004" s="1">
        <f t="shared" si="1138"/>
        <v>1.1294773821484865</v>
      </c>
      <c r="I1004" s="1">
        <f t="shared" si="1138"/>
        <v>0.43621886678704175</v>
      </c>
      <c r="J1004" s="1">
        <f t="shared" si="1138"/>
        <v>0.35910473752862609</v>
      </c>
      <c r="K1004" s="1">
        <f t="shared" si="1138"/>
        <v>4.433254202167736E-5</v>
      </c>
      <c r="L1004" s="1">
        <f t="shared" ref="L1004" si="1139">L998*IFERROR(L996/L994,0)</f>
        <v>1.0916678518557183E-4</v>
      </c>
      <c r="N1004" s="1"/>
    </row>
    <row r="1005" spans="2:14" x14ac:dyDescent="0.35">
      <c r="B1005" s="5" t="str">
        <f t="shared" si="1126"/>
        <v>SPS1</v>
      </c>
      <c r="C1005" s="5" t="str">
        <f t="shared" si="1127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40">G999*IFERROR(G$996/G$994,0)</f>
        <v>0</v>
      </c>
      <c r="H1005" s="1">
        <f t="shared" si="1140"/>
        <v>7.6280492784522397E-2</v>
      </c>
      <c r="I1005" s="1">
        <f t="shared" si="1140"/>
        <v>6.6713848709670676E-2</v>
      </c>
      <c r="J1005" s="1">
        <f t="shared" si="1140"/>
        <v>0.11070915246297268</v>
      </c>
      <c r="K1005" s="1">
        <f t="shared" si="1140"/>
        <v>4.7858378198630008E-5</v>
      </c>
      <c r="L1005" s="1">
        <f t="shared" ref="L1005" si="1141">L999*IFERROR(L$996/L$994,0)</f>
        <v>2.4421443133051859E-4</v>
      </c>
      <c r="N1005" s="1"/>
    </row>
    <row r="1006" spans="2:14" x14ac:dyDescent="0.35">
      <c r="B1006" s="5" t="str">
        <f t="shared" si="1126"/>
        <v>SPS1</v>
      </c>
      <c r="C1006" s="5" t="str">
        <f t="shared" si="1127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42">SUM(G1007:G1008)</f>
        <v>7.3487702429057364</v>
      </c>
      <c r="H1006" s="1">
        <f t="shared" si="1142"/>
        <v>10.094465097740684</v>
      </c>
      <c r="I1006" s="1">
        <f t="shared" si="1142"/>
        <v>6.1318891482293809</v>
      </c>
      <c r="J1006" s="1">
        <f t="shared" si="1142"/>
        <v>4.3272106322486579</v>
      </c>
      <c r="K1006" s="1">
        <f t="shared" si="1142"/>
        <v>2.7009612706218231</v>
      </c>
      <c r="L1006" s="1">
        <f t="shared" ref="L1006" si="1143">SUM(L1007:L1008)</f>
        <v>1.7249088371902404</v>
      </c>
      <c r="M1006" s="19"/>
      <c r="N1006" s="1"/>
    </row>
    <row r="1007" spans="2:14" x14ac:dyDescent="0.35">
      <c r="B1007" s="5" t="str">
        <f t="shared" si="1126"/>
        <v>SPS1</v>
      </c>
      <c r="C1007" s="5" t="str">
        <f t="shared" si="1127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44">G994-G998-G999-G1008</f>
        <v>7.3487702429057364</v>
      </c>
      <c r="H1007" s="1">
        <f t="shared" si="1144"/>
        <v>9.6074618073542748</v>
      </c>
      <c r="I1007" s="1">
        <f t="shared" si="1144"/>
        <v>5.2693893889047922</v>
      </c>
      <c r="J1007" s="1">
        <f t="shared" si="1144"/>
        <v>3.2110611951922587</v>
      </c>
      <c r="K1007" s="1">
        <f t="shared" si="1144"/>
        <v>1.3917263728023808</v>
      </c>
      <c r="L1007" s="1">
        <f t="shared" ref="L1007" si="1145">L994-L998-L999-L1008</f>
        <v>0.60099973658150874</v>
      </c>
      <c r="N1007" s="1"/>
    </row>
    <row r="1008" spans="2:14" x14ac:dyDescent="0.35">
      <c r="B1008" s="5" t="str">
        <f t="shared" si="1126"/>
        <v>SPS1</v>
      </c>
      <c r="C1008" s="5" t="str">
        <f t="shared" si="1127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1.1161494370563989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1.3092348978194424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1.1239091006087316</v>
      </c>
      <c r="N1008" s="1"/>
    </row>
    <row r="1009" spans="2:14" x14ac:dyDescent="0.35">
      <c r="B1009" s="5" t="str">
        <f t="shared" si="1126"/>
        <v>SPS1</v>
      </c>
      <c r="C1009" s="5" t="str">
        <f t="shared" si="1127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46">SUM(G1010:G1011)</f>
        <v>6.9749473513475913</v>
      </c>
      <c r="H1009" s="1">
        <f t="shared" si="1146"/>
        <v>9.75302962345528</v>
      </c>
      <c r="I1009" s="1">
        <f t="shared" si="1146"/>
        <v>6.0078836810524434</v>
      </c>
      <c r="J1009" s="1">
        <f t="shared" si="1146"/>
        <v>4.1987682242247208</v>
      </c>
      <c r="K1009" s="1">
        <f t="shared" si="1146"/>
        <v>2.7009295877358435</v>
      </c>
      <c r="L1009" s="1">
        <f t="shared" ref="L1009" si="1147">SUM(L1010:L1011)</f>
        <v>1.724781392778957</v>
      </c>
      <c r="N1009" s="1"/>
    </row>
    <row r="1010" spans="2:14" x14ac:dyDescent="0.35">
      <c r="B1010" s="5" t="str">
        <f t="shared" si="1126"/>
        <v>SPS1</v>
      </c>
      <c r="C1010" s="5" t="str">
        <f t="shared" si="1127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48">G1007-G1013</f>
        <v>6.9749473513475913</v>
      </c>
      <c r="H1010" s="1">
        <f t="shared" si="1148"/>
        <v>9.2824987462003836</v>
      </c>
      <c r="I1010" s="1">
        <f t="shared" si="1148"/>
        <v>5.1628262927508084</v>
      </c>
      <c r="J1010" s="1">
        <f t="shared" si="1148"/>
        <v>3.1157488872706103</v>
      </c>
      <c r="K1010" s="1">
        <f t="shared" si="1148"/>
        <v>1.3917100475375708</v>
      </c>
      <c r="L1010" s="1">
        <f t="shared" ref="L1010" si="1149">L1007-L1013</f>
        <v>0.60095533188257122</v>
      </c>
      <c r="N1010" s="1"/>
    </row>
    <row r="1011" spans="2:14" x14ac:dyDescent="0.35">
      <c r="B1011" s="5" t="str">
        <f t="shared" si="1126"/>
        <v>SPS1</v>
      </c>
      <c r="C1011" s="5" t="str">
        <f t="shared" si="1127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50">G1008-G1014</f>
        <v>0</v>
      </c>
      <c r="H1011" s="1">
        <f t="shared" si="1150"/>
        <v>0.47053087725489556</v>
      </c>
      <c r="I1011" s="1">
        <f t="shared" si="1150"/>
        <v>0.8450573883016349</v>
      </c>
      <c r="J1011" s="1">
        <f t="shared" si="1150"/>
        <v>1.0830193369541103</v>
      </c>
      <c r="K1011" s="1">
        <f t="shared" si="1150"/>
        <v>1.3092195401982727</v>
      </c>
      <c r="L1011" s="1">
        <f t="shared" ref="L1011" si="1151">L1008-L1014</f>
        <v>1.1238260608963857</v>
      </c>
      <c r="N1011" s="1"/>
    </row>
    <row r="1012" spans="2:14" x14ac:dyDescent="0.35">
      <c r="B1012" s="5" t="str">
        <f t="shared" si="1126"/>
        <v>SPS1</v>
      </c>
      <c r="C1012" s="5" t="str">
        <f t="shared" si="1127"/>
        <v>CH</v>
      </c>
      <c r="D1012" t="s">
        <v>1017</v>
      </c>
      <c r="E1012" t="s">
        <v>8</v>
      </c>
      <c r="F1012" s="1">
        <f t="shared" ref="F1012:K1012" si="1152">SUM(F1013:F1014)</f>
        <v>5.561897371640194E-2</v>
      </c>
      <c r="G1012" s="1">
        <f t="shared" si="1152"/>
        <v>0.3738228915581453</v>
      </c>
      <c r="H1012" s="1">
        <f t="shared" si="1152"/>
        <v>0.34143547428540522</v>
      </c>
      <c r="I1012" s="1">
        <f t="shared" si="1152"/>
        <v>0.12400546717693794</v>
      </c>
      <c r="J1012" s="1">
        <f t="shared" si="1152"/>
        <v>0.12844240802393703</v>
      </c>
      <c r="K1012" s="1">
        <f t="shared" si="1152"/>
        <v>3.1682885979562948E-5</v>
      </c>
      <c r="L1012" s="1">
        <f t="shared" ref="L1012" si="1153">SUM(L1013:L1014)</f>
        <v>1.2744441128341617E-4</v>
      </c>
      <c r="N1012" s="1"/>
    </row>
    <row r="1013" spans="2:14" x14ac:dyDescent="0.35">
      <c r="B1013" s="5" t="str">
        <f t="shared" si="1126"/>
        <v>SPS1</v>
      </c>
      <c r="C1013" s="5" t="str">
        <f t="shared" si="1127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54">G1007*IFERROR(G$996/G$994,0)</f>
        <v>0.3738228915581453</v>
      </c>
      <c r="H1013" s="1">
        <f t="shared" si="1154"/>
        <v>0.3249630611538909</v>
      </c>
      <c r="I1013" s="1">
        <f t="shared" si="1154"/>
        <v>0.10656309615398396</v>
      </c>
      <c r="J1013" s="1">
        <f t="shared" si="1154"/>
        <v>9.5312307921648423E-2</v>
      </c>
      <c r="K1013" s="1">
        <f t="shared" si="1154"/>
        <v>1.632526480992344E-5</v>
      </c>
      <c r="L1013" s="1">
        <f t="shared" ref="L1013" si="1155">L1007*IFERROR(L$996/L$994,0)</f>
        <v>4.4404698937530577E-5</v>
      </c>
      <c r="N1013" s="1"/>
    </row>
    <row r="1014" spans="2:14" x14ac:dyDescent="0.35">
      <c r="B1014" s="5" t="str">
        <f t="shared" si="1126"/>
        <v>SPS1</v>
      </c>
      <c r="C1014" s="5" t="str">
        <f t="shared" si="1127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6">G1008*IFERROR(G$996/G$994,0)</f>
        <v>0</v>
      </c>
      <c r="H1014" s="1">
        <f t="shared" si="1156"/>
        <v>1.6472413131514336E-2</v>
      </c>
      <c r="I1014" s="1">
        <f t="shared" si="1156"/>
        <v>1.7442371022953991E-2</v>
      </c>
      <c r="J1014" s="1">
        <f t="shared" si="1156"/>
        <v>3.3130100102288611E-2</v>
      </c>
      <c r="K1014" s="1">
        <f t="shared" si="1156"/>
        <v>1.5357621169639511E-5</v>
      </c>
      <c r="L1014" s="1">
        <f t="shared" ref="L1014" si="1157">L1008*IFERROR(L$996/L$994,0)</f>
        <v>8.3039712345885582E-5</v>
      </c>
      <c r="N1014" s="1"/>
    </row>
    <row r="1015" spans="2:14" x14ac:dyDescent="0.35">
      <c r="B1015" s="5" t="str">
        <f t="shared" si="1126"/>
        <v>SPS1</v>
      </c>
      <c r="C1015" s="5" t="str">
        <f t="shared" si="1127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[1]Residential!F$20</f>
        <v>0</v>
      </c>
      <c r="K1015" s="1">
        <f>[1]Residential!G$20</f>
        <v>0</v>
      </c>
      <c r="L1015" s="1">
        <f>[1]Residential!H$20</f>
        <v>0</v>
      </c>
      <c r="N1015" s="1"/>
    </row>
    <row r="1016" spans="2:14" x14ac:dyDescent="0.35">
      <c r="B1016" s="5" t="str">
        <f t="shared" si="1126"/>
        <v>SPS1</v>
      </c>
      <c r="C1016" s="5" t="str">
        <f t="shared" si="1127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58">G1015</f>
        <v>0.10000182413697438</v>
      </c>
      <c r="H1016" s="1">
        <f t="shared" ref="H1016:H1017" si="1159">H1015</f>
        <v>2.6341168928954148E-2</v>
      </c>
      <c r="I1016" s="1">
        <f t="shared" ref="I1016:I1017" si="1160">I1015</f>
        <v>0</v>
      </c>
      <c r="J1016" s="1">
        <f t="shared" ref="J1016:J1017" si="1161">J1015</f>
        <v>0</v>
      </c>
      <c r="K1016" s="1">
        <f t="shared" ref="K1016:L1017" si="1162">K1015</f>
        <v>0</v>
      </c>
      <c r="L1016" s="1">
        <f t="shared" si="1162"/>
        <v>0</v>
      </c>
      <c r="N1016" s="1"/>
    </row>
    <row r="1017" spans="2:14" x14ac:dyDescent="0.35">
      <c r="B1017" s="5" t="str">
        <f t="shared" si="1126"/>
        <v>SPS1</v>
      </c>
      <c r="C1017" s="5" t="str">
        <f t="shared" si="1127"/>
        <v>CH</v>
      </c>
      <c r="D1017" t="s">
        <v>764</v>
      </c>
      <c r="E1017" t="s">
        <v>8</v>
      </c>
      <c r="F1017" s="1">
        <f t="shared" ref="F1017" si="1163">F1016</f>
        <v>0.10000470528783008</v>
      </c>
      <c r="G1017" s="1">
        <f t="shared" si="1158"/>
        <v>0.10000182413697438</v>
      </c>
      <c r="H1017" s="1">
        <f t="shared" si="1159"/>
        <v>2.6341168928954148E-2</v>
      </c>
      <c r="I1017" s="1">
        <f t="shared" si="1160"/>
        <v>0</v>
      </c>
      <c r="J1017" s="1">
        <f t="shared" si="1161"/>
        <v>0</v>
      </c>
      <c r="K1017" s="1">
        <f t="shared" si="1162"/>
        <v>0</v>
      </c>
      <c r="L1017" s="1">
        <f t="shared" si="1162"/>
        <v>0</v>
      </c>
      <c r="N1017" s="1"/>
    </row>
    <row r="1018" spans="2:14" x14ac:dyDescent="0.35">
      <c r="B1018" s="5" t="str">
        <f t="shared" si="1126"/>
        <v>SPS1</v>
      </c>
      <c r="C1018" s="5" t="str">
        <f t="shared" si="1127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6"/>
        <v>SPS1</v>
      </c>
      <c r="C1019" s="5" t="str">
        <f t="shared" si="1127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6"/>
        <v>SPS1</v>
      </c>
      <c r="C1020" s="5" t="str">
        <f t="shared" si="1127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64">G1021+G1023</f>
        <v>13.331599971512588</v>
      </c>
      <c r="H1020" s="1">
        <f t="shared" si="1164"/>
        <v>15.518627302805307</v>
      </c>
      <c r="I1020" s="1">
        <f t="shared" si="1164"/>
        <v>12.185114466261135</v>
      </c>
      <c r="J1020" s="1">
        <f t="shared" si="1164"/>
        <v>9.3697673977156715</v>
      </c>
      <c r="K1020" s="1">
        <f t="shared" si="1164"/>
        <v>6.6533837119721042</v>
      </c>
      <c r="L1020" s="1">
        <f t="shared" ref="L1020" si="1165">L1021+L1023</f>
        <v>2.6072356206742002</v>
      </c>
      <c r="N1020" s="1"/>
    </row>
    <row r="1021" spans="2:14" x14ac:dyDescent="0.35">
      <c r="B1021" s="5" t="str">
        <f t="shared" si="1126"/>
        <v>SPS1</v>
      </c>
      <c r="C1021" s="5" t="str">
        <f t="shared" si="1127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66">G1022</f>
        <v>12.137105551350412</v>
      </c>
      <c r="H1021" s="1">
        <f t="shared" si="1166"/>
        <v>13.173420105927852</v>
      </c>
      <c r="I1021" s="1">
        <f t="shared" si="1166"/>
        <v>10.250797256856762</v>
      </c>
      <c r="J1021" s="1">
        <f t="shared" si="1166"/>
        <v>7.8083817284050827</v>
      </c>
      <c r="K1021" s="1">
        <f t="shared" si="1166"/>
        <v>5.4701023123116146</v>
      </c>
      <c r="L1021" s="1">
        <f t="shared" si="1166"/>
        <v>2.1003760230884745</v>
      </c>
      <c r="N1021" s="1"/>
    </row>
    <row r="1022" spans="2:14" x14ac:dyDescent="0.35">
      <c r="B1022" s="5" t="str">
        <f t="shared" si="1126"/>
        <v>SPS1</v>
      </c>
      <c r="C1022" s="5" t="str">
        <f t="shared" si="1127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[1]Residential!F$22-J1024-J1025</f>
        <v>7.8083817284050827</v>
      </c>
      <c r="K1022" s="1">
        <f>[1]Residential!G$22-K1024-K1025</f>
        <v>5.4701023123116146</v>
      </c>
      <c r="L1022" s="1">
        <f>[1]Residential!H$22-L1024-L1025</f>
        <v>2.1003760230884745</v>
      </c>
      <c r="N1022" s="1"/>
    </row>
    <row r="1023" spans="2:14" x14ac:dyDescent="0.35">
      <c r="B1023" s="5" t="str">
        <f t="shared" si="1126"/>
        <v>SPS1</v>
      </c>
      <c r="C1023" s="5" t="str">
        <f t="shared" si="1127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67">G1024</f>
        <v>1.1944944201621766</v>
      </c>
      <c r="H1023" s="1">
        <f t="shared" ref="H1023" si="1168">H1024</f>
        <v>2.3452071968774555</v>
      </c>
      <c r="I1023" s="1">
        <f t="shared" ref="I1023" si="1169">I1024</f>
        <v>1.9343172094043732</v>
      </c>
      <c r="J1023" s="1">
        <f t="shared" ref="J1023" si="1170">J1024</f>
        <v>1.5613856693105888</v>
      </c>
      <c r="K1023" s="1">
        <f t="shared" ref="K1023:L1023" si="1171">K1024</f>
        <v>1.1832813996604898</v>
      </c>
      <c r="L1023" s="1">
        <f t="shared" si="1171"/>
        <v>0.50685959758572563</v>
      </c>
      <c r="N1023" s="1"/>
    </row>
    <row r="1024" spans="2:14" x14ac:dyDescent="0.35">
      <c r="B1024" s="5" t="str">
        <f t="shared" si="1126"/>
        <v>SPS1</v>
      </c>
      <c r="C1024" s="5" t="str">
        <f t="shared" si="1127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1.5613856693105888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1.1832813996604898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0.50685959758572563</v>
      </c>
      <c r="N1024" s="1"/>
    </row>
    <row r="1025" spans="2:14" x14ac:dyDescent="0.35">
      <c r="B1025" s="5" t="str">
        <f t="shared" si="1126"/>
        <v>SPS1</v>
      </c>
      <c r="C1025" s="5" t="str">
        <f t="shared" si="1127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72">G1026+G1028</f>
        <v>3.8319960552868437</v>
      </c>
      <c r="H1025" s="1">
        <f t="shared" si="1172"/>
        <v>0.30768276463054339</v>
      </c>
      <c r="I1025" s="1">
        <f t="shared" si="1172"/>
        <v>0.26820077425479172</v>
      </c>
      <c r="J1025" s="1">
        <f t="shared" si="1172"/>
        <v>0.21508941265257794</v>
      </c>
      <c r="K1025" s="1">
        <f t="shared" si="1172"/>
        <v>0.15760251777812326</v>
      </c>
      <c r="L1025" s="1">
        <f t="shared" ref="L1025" si="1173">L1026+L1028</f>
        <v>5.3744258693765062E-2</v>
      </c>
      <c r="N1025" s="1"/>
    </row>
    <row r="1026" spans="2:14" x14ac:dyDescent="0.35">
      <c r="B1026" s="5" t="str">
        <f t="shared" si="1126"/>
        <v>SPS1</v>
      </c>
      <c r="C1026" s="5" t="str">
        <f t="shared" si="1127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74">G1027</f>
        <v>3.5202544121831867</v>
      </c>
      <c r="H1026" s="1">
        <f t="shared" si="1174"/>
        <v>0.22450656490868859</v>
      </c>
      <c r="I1026" s="1">
        <f t="shared" si="1174"/>
        <v>0.19419695071165075</v>
      </c>
      <c r="J1026" s="1">
        <f t="shared" si="1174"/>
        <v>0.15358819951348135</v>
      </c>
      <c r="K1026" s="1">
        <f t="shared" si="1174"/>
        <v>0.11026653325185616</v>
      </c>
      <c r="L1026" s="1">
        <f t="shared" si="1174"/>
        <v>3.7113257842054895E-2</v>
      </c>
      <c r="N1026" s="1"/>
    </row>
    <row r="1027" spans="2:14" x14ac:dyDescent="0.35">
      <c r="B1027" s="5" t="str">
        <f t="shared" si="1126"/>
        <v>SPS1</v>
      </c>
      <c r="C1027" s="5" t="str">
        <f t="shared" si="1127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0.15358819951348135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0.11026653325185616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3.7113257842054895E-2</v>
      </c>
      <c r="N1027" s="1"/>
    </row>
    <row r="1028" spans="2:14" x14ac:dyDescent="0.35">
      <c r="B1028" s="5" t="str">
        <f t="shared" si="1126"/>
        <v>SPS1</v>
      </c>
      <c r="C1028" s="5" t="str">
        <f t="shared" si="1127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75">G1029</f>
        <v>0.31174164310365682</v>
      </c>
      <c r="H1028" s="1">
        <f t="shared" si="1175"/>
        <v>8.317619972185479E-2</v>
      </c>
      <c r="I1028" s="1">
        <f t="shared" si="1175"/>
        <v>7.4003823543141001E-2</v>
      </c>
      <c r="J1028" s="1">
        <f t="shared" si="1175"/>
        <v>6.1501213139096594E-2</v>
      </c>
      <c r="K1028" s="1">
        <f t="shared" si="1175"/>
        <v>4.7335984526267104E-2</v>
      </c>
      <c r="L1028" s="1">
        <f t="shared" si="1175"/>
        <v>1.6631000851710164E-2</v>
      </c>
      <c r="N1028" s="1"/>
    </row>
    <row r="1029" spans="2:14" x14ac:dyDescent="0.35">
      <c r="B1029" s="5" t="str">
        <f t="shared" si="1126"/>
        <v>SPS1</v>
      </c>
      <c r="C1029" s="5" t="str">
        <f t="shared" si="1127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6.1501213139096594E-2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4.7335984526267104E-2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1.6631000851710164E-2</v>
      </c>
      <c r="N1029" s="1"/>
    </row>
    <row r="1030" spans="2:14" x14ac:dyDescent="0.35">
      <c r="B1030" s="5" t="str">
        <f t="shared" si="1126"/>
        <v>SPS1</v>
      </c>
      <c r="C1030" s="5" t="str">
        <f t="shared" si="1127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[1]Residential!F$23</f>
        <v>1.7792106923598565</v>
      </c>
      <c r="K1030" s="1">
        <f>[1]Residential!G$23</f>
        <v>2.0701839494158771</v>
      </c>
      <c r="L1030" s="1">
        <f>[1]Residential!H$23</f>
        <v>2.3233753242039681</v>
      </c>
      <c r="N1030" s="1"/>
    </row>
    <row r="1031" spans="2:14" x14ac:dyDescent="0.35">
      <c r="B1031" s="5" t="str">
        <f t="shared" si="1126"/>
        <v>SPS1</v>
      </c>
      <c r="C1031" s="5" t="str">
        <f t="shared" si="1127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76">G1032</f>
        <v>0.94130088727139538</v>
      </c>
      <c r="H1031" s="1">
        <f t="shared" si="1176"/>
        <v>3.7008437331993833E-2</v>
      </c>
      <c r="I1031" s="1">
        <f t="shared" si="1176"/>
        <v>4.6034461850921748E-2</v>
      </c>
      <c r="J1031" s="1">
        <f t="shared" si="1176"/>
        <v>4.7661667746206296E-2</v>
      </c>
      <c r="K1031" s="1">
        <f t="shared" si="1176"/>
        <v>4.838994977954976E-2</v>
      </c>
      <c r="L1031" s="1">
        <f t="shared" si="1176"/>
        <v>4.6780948321432841E-2</v>
      </c>
      <c r="N1031" s="1"/>
    </row>
    <row r="1032" spans="2:14" x14ac:dyDescent="0.35">
      <c r="B1032" s="5" t="str">
        <f t="shared" si="1126"/>
        <v>SPS1</v>
      </c>
      <c r="C1032" s="5" t="str">
        <f t="shared" si="1127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4.7661667746206296E-2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4.838994977954976E-2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4.6780948321432841E-2</v>
      </c>
      <c r="N1032" s="1"/>
    </row>
    <row r="1033" spans="2:14" x14ac:dyDescent="0.35">
      <c r="B1033" s="5" t="str">
        <f t="shared" si="1126"/>
        <v>SPS1</v>
      </c>
      <c r="C1033" s="5" t="str">
        <f t="shared" si="1127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77">G1030-G1031</f>
        <v>1.986738375589749</v>
      </c>
      <c r="H1033" s="1">
        <f t="shared" si="1177"/>
        <v>1.0124041724445625</v>
      </c>
      <c r="I1033" s="1">
        <f t="shared" si="1177"/>
        <v>1.4702698119522437</v>
      </c>
      <c r="J1033" s="1">
        <f t="shared" si="1177"/>
        <v>1.7315490246136502</v>
      </c>
      <c r="K1033" s="1">
        <f t="shared" si="1177"/>
        <v>2.0217939996363272</v>
      </c>
      <c r="L1033" s="1">
        <f t="shared" ref="L1033" si="1178">L1030-L1031</f>
        <v>2.2765943758825351</v>
      </c>
      <c r="N1033" s="1"/>
    </row>
    <row r="1034" spans="2:14" x14ac:dyDescent="0.35">
      <c r="B1034" s="5" t="str">
        <f t="shared" si="1126"/>
        <v>SPS1</v>
      </c>
      <c r="C1034" s="5" t="str">
        <f t="shared" si="1127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79">G1033</f>
        <v>1.986738375589749</v>
      </c>
      <c r="H1034" s="1">
        <f t="shared" si="1179"/>
        <v>1.0124041724445625</v>
      </c>
      <c r="I1034" s="1">
        <f t="shared" si="1179"/>
        <v>1.4702698119522437</v>
      </c>
      <c r="J1034" s="1">
        <f t="shared" si="1179"/>
        <v>1.7315490246136502</v>
      </c>
      <c r="K1034" s="1">
        <f t="shared" si="1179"/>
        <v>2.0217939996363272</v>
      </c>
      <c r="L1034" s="1">
        <f t="shared" ref="L1034" si="1180">L1033</f>
        <v>2.2765943758825351</v>
      </c>
      <c r="N1034" s="1"/>
    </row>
    <row r="1035" spans="2:14" x14ac:dyDescent="0.35">
      <c r="B1035" s="5" t="str">
        <f t="shared" si="1126"/>
        <v>SPS1</v>
      </c>
      <c r="C1035" s="5" t="str">
        <f t="shared" si="1127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[1]Residential!F$24</f>
        <v>2.9252745355009008E-3</v>
      </c>
      <c r="K1035" s="1">
        <f>[1]Residential!G$24</f>
        <v>1.1017786162851406E-3</v>
      </c>
      <c r="L1035" s="1">
        <f>[1]Residential!H$24</f>
        <v>0</v>
      </c>
      <c r="N1035" s="1"/>
    </row>
    <row r="1036" spans="2:14" x14ac:dyDescent="0.35">
      <c r="B1036" s="5" t="str">
        <f t="shared" si="1126"/>
        <v>SPS1</v>
      </c>
      <c r="C1036" s="5" t="str">
        <f t="shared" si="1127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1">G1035-G1038-G1040</f>
        <v>0</v>
      </c>
      <c r="H1036" s="1">
        <f t="shared" si="1181"/>
        <v>0</v>
      </c>
      <c r="I1036" s="1">
        <f t="shared" si="1181"/>
        <v>2.6982321571862584E-3</v>
      </c>
      <c r="J1036" s="1">
        <f t="shared" si="1181"/>
        <v>2.9252745355009008E-3</v>
      </c>
      <c r="K1036" s="1">
        <f t="shared" si="1181"/>
        <v>1.1017786162851406E-3</v>
      </c>
      <c r="L1036" s="1">
        <f t="shared" ref="L1036" si="1182">L1035-L1038-L1040</f>
        <v>0</v>
      </c>
      <c r="N1036" s="1"/>
    </row>
    <row r="1037" spans="2:14" x14ac:dyDescent="0.35">
      <c r="B1037" s="5" t="str">
        <f t="shared" si="1126"/>
        <v>SPS1</v>
      </c>
      <c r="C1037" s="5" t="str">
        <f t="shared" si="1127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3">G1038+G1040</f>
        <v>0</v>
      </c>
      <c r="H1037" s="1">
        <f t="shared" si="1183"/>
        <v>0</v>
      </c>
      <c r="I1037" s="1">
        <f t="shared" si="1183"/>
        <v>0</v>
      </c>
      <c r="J1037" s="1">
        <f t="shared" si="1183"/>
        <v>0</v>
      </c>
      <c r="K1037" s="1">
        <f t="shared" si="1183"/>
        <v>0</v>
      </c>
      <c r="L1037" s="1">
        <f t="shared" ref="L1037" si="1184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5">G1039</f>
        <v>0</v>
      </c>
      <c r="H1038" s="1">
        <f t="shared" si="1185"/>
        <v>0</v>
      </c>
      <c r="I1038" s="1">
        <f t="shared" si="1185"/>
        <v>0</v>
      </c>
      <c r="J1038" s="1">
        <f t="shared" si="1185"/>
        <v>0</v>
      </c>
      <c r="K1038" s="1">
        <f t="shared" si="1185"/>
        <v>0</v>
      </c>
      <c r="L1038" s="1">
        <f t="shared" si="1185"/>
        <v>0</v>
      </c>
      <c r="N1038" s="1"/>
    </row>
    <row r="1039" spans="2:14" x14ac:dyDescent="0.35">
      <c r="B1039" s="5" t="str">
        <f t="shared" si="1126"/>
        <v>SPS1</v>
      </c>
      <c r="C1039" s="5" t="str">
        <f t="shared" si="1127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N1039" s="1"/>
    </row>
    <row r="1040" spans="2:14" x14ac:dyDescent="0.35">
      <c r="B1040" s="5" t="str">
        <f t="shared" si="1126"/>
        <v>SPS1</v>
      </c>
      <c r="C1040" s="5" t="str">
        <f t="shared" si="1127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6">G1041</f>
        <v>0</v>
      </c>
      <c r="H1040" s="1">
        <f t="shared" si="1186"/>
        <v>0</v>
      </c>
      <c r="I1040" s="1">
        <f t="shared" si="1186"/>
        <v>0</v>
      </c>
      <c r="J1040" s="1">
        <f t="shared" si="1186"/>
        <v>0</v>
      </c>
      <c r="K1040" s="1">
        <f t="shared" si="1186"/>
        <v>0</v>
      </c>
      <c r="L1040" s="1">
        <f t="shared" si="1186"/>
        <v>0</v>
      </c>
      <c r="N1040" s="1"/>
    </row>
    <row r="1041" spans="2:14" x14ac:dyDescent="0.35">
      <c r="B1041" s="5" t="str">
        <f t="shared" si="1126"/>
        <v>SPS1</v>
      </c>
      <c r="C1041" s="5" t="str">
        <f t="shared" si="1127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N1041" s="1"/>
    </row>
    <row r="1042" spans="2:14" x14ac:dyDescent="0.35">
      <c r="B1042" s="5" t="str">
        <f t="shared" si="1126"/>
        <v>SPS1</v>
      </c>
      <c r="C1042" s="5" t="str">
        <f t="shared" si="1127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[1]Residential!F$21</f>
        <v>17.112336563829238</v>
      </c>
      <c r="K1042" s="1">
        <f>[1]Residential!G$21</f>
        <v>18.46093339395166</v>
      </c>
      <c r="L1042" s="1">
        <f>[1]Residential!H$21</f>
        <v>16.246693888214367</v>
      </c>
      <c r="N1042" s="1"/>
    </row>
    <row r="1043" spans="2:14" x14ac:dyDescent="0.35">
      <c r="B1043" s="5" t="str">
        <f t="shared" si="1126"/>
        <v>SPS1</v>
      </c>
      <c r="C1043" s="5" t="str">
        <f t="shared" si="1127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87">SUM(G1044:G1046)</f>
        <v>7.830431706286195E-3</v>
      </c>
      <c r="H1043" s="1">
        <f t="shared" si="1187"/>
        <v>6.7381910906558276E-2</v>
      </c>
      <c r="I1043" s="1">
        <f t="shared" si="1187"/>
        <v>3.7453558474575548</v>
      </c>
      <c r="J1043" s="1">
        <f t="shared" si="1187"/>
        <v>4.6399690126312763</v>
      </c>
      <c r="K1043" s="1">
        <f t="shared" si="1187"/>
        <v>5.4628271213852297</v>
      </c>
      <c r="L1043" s="1">
        <f t="shared" ref="L1043" si="1188">SUM(L1044:L1046)</f>
        <v>0</v>
      </c>
      <c r="N1043" s="1"/>
    </row>
    <row r="1044" spans="2:14" x14ac:dyDescent="0.35">
      <c r="B1044" s="5" t="str">
        <f t="shared" si="1126"/>
        <v>SPS1</v>
      </c>
      <c r="C1044" s="5" t="str">
        <f t="shared" si="1127"/>
        <v>CH</v>
      </c>
      <c r="D1044" t="s">
        <v>749</v>
      </c>
      <c r="E1044" t="s">
        <v>8</v>
      </c>
      <c r="F1044" s="1">
        <f t="shared" ref="F1044:K1045" si="1189">SUM(F244,F246)</f>
        <v>0.10499871231773246</v>
      </c>
      <c r="G1044" s="1">
        <f t="shared" si="1189"/>
        <v>7.830431706286195E-3</v>
      </c>
      <c r="H1044" s="1">
        <f t="shared" si="1189"/>
        <v>6.7381910906558276E-2</v>
      </c>
      <c r="I1044" s="1">
        <f t="shared" si="1189"/>
        <v>3.7359558867312992</v>
      </c>
      <c r="J1044" s="1">
        <f t="shared" si="1189"/>
        <v>4.6178154069359074</v>
      </c>
      <c r="K1044" s="1">
        <f t="shared" si="1189"/>
        <v>4.6876377620726633</v>
      </c>
      <c r="L1044" s="1">
        <f t="shared" ref="L1044" si="1190">SUM(L244,L246)</f>
        <v>0</v>
      </c>
      <c r="N1044" s="1"/>
    </row>
    <row r="1045" spans="2:14" x14ac:dyDescent="0.35">
      <c r="B1045" s="5" t="str">
        <f t="shared" si="1126"/>
        <v>SPS1</v>
      </c>
      <c r="C1045" s="5" t="str">
        <f t="shared" si="1127"/>
        <v>CH</v>
      </c>
      <c r="D1045" t="s">
        <v>750</v>
      </c>
      <c r="E1045" t="s">
        <v>8</v>
      </c>
      <c r="F1045" s="1">
        <f t="shared" si="1189"/>
        <v>0</v>
      </c>
      <c r="G1045" s="1">
        <f t="shared" si="1189"/>
        <v>0</v>
      </c>
      <c r="H1045" s="1">
        <f t="shared" si="1189"/>
        <v>0</v>
      </c>
      <c r="I1045" s="1">
        <f t="shared" si="1189"/>
        <v>0</v>
      </c>
      <c r="J1045" s="1">
        <f t="shared" si="1189"/>
        <v>0</v>
      </c>
      <c r="K1045" s="1">
        <f t="shared" si="1189"/>
        <v>0</v>
      </c>
      <c r="L1045" s="1">
        <f t="shared" ref="L1045" si="1191">SUM(L245,L247)</f>
        <v>0</v>
      </c>
      <c r="N1045" s="1"/>
    </row>
    <row r="1046" spans="2:14" x14ac:dyDescent="0.35">
      <c r="B1046" s="5" t="str">
        <f t="shared" si="1126"/>
        <v>SPS1</v>
      </c>
      <c r="C1046" s="5" t="str">
        <f t="shared" si="1127"/>
        <v>CH</v>
      </c>
      <c r="D1046" t="s">
        <v>751</v>
      </c>
      <c r="E1046" t="s">
        <v>8</v>
      </c>
      <c r="F1046" s="1">
        <f t="shared" ref="F1046:K1046" si="1192">SUM(F285,F286)</f>
        <v>0</v>
      </c>
      <c r="G1046" s="1">
        <f t="shared" si="1192"/>
        <v>0</v>
      </c>
      <c r="H1046" s="1">
        <f t="shared" si="1192"/>
        <v>0</v>
      </c>
      <c r="I1046" s="1">
        <f t="shared" si="1192"/>
        <v>9.3999607262555754E-3</v>
      </c>
      <c r="J1046" s="1">
        <f t="shared" si="1192"/>
        <v>2.2153605695368873E-2</v>
      </c>
      <c r="K1046" s="1">
        <f t="shared" si="1192"/>
        <v>0.77518935931256605</v>
      </c>
      <c r="L1046" s="1">
        <f t="shared" ref="L1046" si="1193">SUM(L285,L286)</f>
        <v>0</v>
      </c>
      <c r="N1046" s="1"/>
    </row>
    <row r="1047" spans="2:14" x14ac:dyDescent="0.35">
      <c r="B1047" s="5" t="str">
        <f t="shared" si="1126"/>
        <v>SPS1</v>
      </c>
      <c r="C1047" s="5" t="str">
        <f t="shared" si="1127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194">G1042-G1043</f>
        <v>9.6660629796126685</v>
      </c>
      <c r="H1047" s="1">
        <f t="shared" si="1194"/>
        <v>8.3582539559037077</v>
      </c>
      <c r="I1047" s="1">
        <f t="shared" si="1194"/>
        <v>11.549112257987121</v>
      </c>
      <c r="J1047" s="1">
        <f t="shared" si="1194"/>
        <v>12.472367551197962</v>
      </c>
      <c r="K1047" s="1">
        <f t="shared" si="1194"/>
        <v>12.99810627256643</v>
      </c>
      <c r="L1047" s="1">
        <f t="shared" ref="L1047" si="1195">L1042-L1043</f>
        <v>16.246693888214367</v>
      </c>
      <c r="N1047" s="1"/>
    </row>
    <row r="1048" spans="2:14" x14ac:dyDescent="0.35">
      <c r="B1048" s="5" t="str">
        <f t="shared" si="1126"/>
        <v>SPS1</v>
      </c>
      <c r="C1048" s="5" t="str">
        <f t="shared" si="1127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[1]Residential!F$25</f>
        <v>51.690138980838469</v>
      </c>
      <c r="K1048" s="1">
        <f>[1]Residential!G$25</f>
        <v>60.534156971785727</v>
      </c>
      <c r="L1048" s="1">
        <f>[1]Residential!H$25</f>
        <v>59.231317100699101</v>
      </c>
      <c r="N1048" s="1"/>
    </row>
    <row r="1049" spans="2:14" x14ac:dyDescent="0.35">
      <c r="B1049" s="5" t="str">
        <f t="shared" si="1126"/>
        <v>SPS1</v>
      </c>
      <c r="C1049" s="5" t="str">
        <f t="shared" si="1127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196">G1048-G1052</f>
        <v>15.287315551991313</v>
      </c>
      <c r="H1049" s="1">
        <f t="shared" si="1196"/>
        <v>24.687680052560303</v>
      </c>
      <c r="I1049" s="1">
        <f t="shared" si="1196"/>
        <v>38.079895541281694</v>
      </c>
      <c r="J1049" s="1">
        <f t="shared" si="1196"/>
        <v>43.595239988430954</v>
      </c>
      <c r="K1049" s="1">
        <f t="shared" si="1196"/>
        <v>49.94528388489649</v>
      </c>
      <c r="L1049" s="1">
        <f t="shared" ref="L1049" si="1197">L1048-L1052</f>
        <v>46.682018273690389</v>
      </c>
      <c r="M1049" s="1"/>
      <c r="N1049" s="1"/>
    </row>
    <row r="1050" spans="2:14" x14ac:dyDescent="0.35">
      <c r="B1050" s="5" t="str">
        <f t="shared" si="1126"/>
        <v>SPS1</v>
      </c>
      <c r="C1050" s="5" t="str">
        <f t="shared" si="1127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198">G1049-G1051</f>
        <v>15.287315551991313</v>
      </c>
      <c r="H1050" s="1">
        <f t="shared" si="1198"/>
        <v>22.751436027152003</v>
      </c>
      <c r="I1050" s="1">
        <f t="shared" si="1198"/>
        <v>34.980438789416134</v>
      </c>
      <c r="J1050" s="1">
        <f t="shared" si="1198"/>
        <v>39.931721769639637</v>
      </c>
      <c r="K1050" s="1">
        <f t="shared" si="1198"/>
        <v>45.757050131861291</v>
      </c>
      <c r="L1050" s="1">
        <f t="shared" ref="L1050" si="1199">L1049-L1051</f>
        <v>42.95325854993726</v>
      </c>
      <c r="N1050" s="1"/>
    </row>
    <row r="1051" spans="2:14" x14ac:dyDescent="0.35">
      <c r="B1051" s="5" t="str">
        <f t="shared" si="1126"/>
        <v>SPS1</v>
      </c>
      <c r="C1051" s="5" t="str">
        <f t="shared" si="1127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3.6635182187913156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4.1882337530351954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3.7287597237531309</v>
      </c>
      <c r="M1051" s="20"/>
      <c r="N1051" s="1"/>
    </row>
    <row r="1052" spans="2:14" x14ac:dyDescent="0.35">
      <c r="B1052" s="5" t="str">
        <f t="shared" si="1126"/>
        <v>SPS1</v>
      </c>
      <c r="C1052" s="5" t="str">
        <f t="shared" si="1127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00">SUM(G1053:G1054)</f>
        <v>2.3490296032579741</v>
      </c>
      <c r="H1052" s="1">
        <f t="shared" si="1200"/>
        <v>3.0000706983514025</v>
      </c>
      <c r="I1052" s="1">
        <f t="shared" si="1200"/>
        <v>5.9249859055819263</v>
      </c>
      <c r="J1052" s="1">
        <f t="shared" si="1200"/>
        <v>8.0948989924075168</v>
      </c>
      <c r="K1052" s="1">
        <f t="shared" si="1200"/>
        <v>10.588873086889235</v>
      </c>
      <c r="L1052" s="1">
        <f t="shared" ref="L1052" si="1201">SUM(L1053:L1054)</f>
        <v>12.549298827008712</v>
      </c>
      <c r="N1052" s="1"/>
    </row>
    <row r="1053" spans="2:14" x14ac:dyDescent="0.35">
      <c r="B1053" s="5" t="str">
        <f t="shared" si="1126"/>
        <v>SPS1</v>
      </c>
      <c r="C1053" s="5" t="str">
        <f t="shared" si="1127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6.4490241822742904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8.4248523956041304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10.05544604598969</v>
      </c>
      <c r="N1053" s="1"/>
    </row>
    <row r="1054" spans="2:14" x14ac:dyDescent="0.35">
      <c r="B1054" s="5" t="str">
        <f t="shared" si="1126"/>
        <v>SPS1</v>
      </c>
      <c r="C1054" s="5" t="str">
        <f t="shared" si="1127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1.6458748101332257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2.164020691285105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2.4938527810190214</v>
      </c>
      <c r="N1054" s="1"/>
    </row>
    <row r="1055" spans="2:14" x14ac:dyDescent="0.35">
      <c r="B1055" s="5" t="str">
        <f t="shared" si="1126"/>
        <v>SPS1</v>
      </c>
      <c r="C1055" s="5" t="str">
        <f t="shared" si="1127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[1]Residential!F$245</f>
        <v>142.67981875541267</v>
      </c>
      <c r="K1055" s="3">
        <f>[1]Residential!G$245</f>
        <v>141.08338436459351</v>
      </c>
      <c r="L1055" s="3">
        <f>[1]Residential!H$245</f>
        <v>136.36697888112246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[1]Residential!F$116</f>
        <v>118.82289572823254</v>
      </c>
      <c r="K1056" s="1">
        <f>[1]Residential!G$116</f>
        <v>115.16599547698821</v>
      </c>
      <c r="L1056" s="1">
        <f>[1]Residential!H$116</f>
        <v>109.90939259511498</v>
      </c>
      <c r="N1056" s="1"/>
    </row>
    <row r="1057" spans="2:14" x14ac:dyDescent="0.35">
      <c r="B1057" s="5" t="str">
        <f t="shared" ref="B1057:B1107" si="1202">B1056</f>
        <v>SPS1</v>
      </c>
      <c r="C1057" s="5" t="str">
        <f t="shared" ref="C1057:C1107" si="1203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04">SUM(G1058:G1059)</f>
        <v>29.954374928768992</v>
      </c>
      <c r="H1057" s="1">
        <f t="shared" si="1204"/>
        <v>34.976882044563531</v>
      </c>
      <c r="I1057" s="1">
        <f t="shared" si="1204"/>
        <v>50.155359171242424</v>
      </c>
      <c r="J1057" s="1">
        <f t="shared" si="1204"/>
        <v>55.836460478871388</v>
      </c>
      <c r="K1057" s="1">
        <f t="shared" si="1204"/>
        <v>62.653955162296725</v>
      </c>
      <c r="L1057" s="1">
        <f t="shared" ref="L1057" si="1205">SUM(L1058:L1059)</f>
        <v>56.795258682048782</v>
      </c>
      <c r="N1057" s="1"/>
    </row>
    <row r="1058" spans="2:14" x14ac:dyDescent="0.35">
      <c r="B1058" s="5" t="str">
        <f t="shared" si="1202"/>
        <v>SPS1</v>
      </c>
      <c r="C1058" s="5" t="str">
        <f t="shared" si="1203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[1]Residential!F$102</f>
        <v>2.4326086670067151E-2</v>
      </c>
      <c r="K1058" s="1">
        <f>[1]Residential!G$102</f>
        <v>1.914373121271162E-2</v>
      </c>
      <c r="L1058" s="1">
        <f>[1]Residential!H$102</f>
        <v>1.0735313849852907E-2</v>
      </c>
      <c r="N1058" s="1"/>
    </row>
    <row r="1059" spans="2:14" x14ac:dyDescent="0.35">
      <c r="B1059" s="5" t="str">
        <f t="shared" si="1202"/>
        <v>SPS1</v>
      </c>
      <c r="C1059" s="5" t="str">
        <f t="shared" si="1203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[1]Residential!F$104</f>
        <v>55.812134392201322</v>
      </c>
      <c r="K1059" s="1">
        <f>[1]Residential!G$104</f>
        <v>62.63481143108401</v>
      </c>
      <c r="L1059" s="1">
        <f>[1]Residential!H$104</f>
        <v>56.784523368198933</v>
      </c>
      <c r="N1059" s="1"/>
    </row>
    <row r="1060" spans="2:14" x14ac:dyDescent="0.35">
      <c r="B1060" s="5" t="str">
        <f t="shared" si="1202"/>
        <v>SPS1</v>
      </c>
      <c r="C1060" s="5" t="str">
        <f t="shared" si="1203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06">G1061</f>
        <v>38.437459084499402</v>
      </c>
      <c r="H1060" s="1">
        <f t="shared" si="1206"/>
        <v>34.726764555143092</v>
      </c>
      <c r="I1060" s="1">
        <f t="shared" si="1206"/>
        <v>16.221013243169139</v>
      </c>
      <c r="J1060" s="1">
        <f t="shared" si="1206"/>
        <v>9.5948829049909552</v>
      </c>
      <c r="K1060" s="1">
        <f t="shared" si="1206"/>
        <v>2.4931680532133198</v>
      </c>
      <c r="L1060" s="1">
        <f t="shared" si="1206"/>
        <v>0.28236727067912809</v>
      </c>
      <c r="N1060" s="1"/>
    </row>
    <row r="1061" spans="2:14" x14ac:dyDescent="0.35">
      <c r="B1061" s="5" t="str">
        <f t="shared" si="1202"/>
        <v>SPS1</v>
      </c>
      <c r="C1061" s="5" t="str">
        <f t="shared" si="1203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[1]Residential!F$105</f>
        <v>9.5948829049909552</v>
      </c>
      <c r="K1061" s="1">
        <f>[1]Residential!G$105</f>
        <v>2.4931680532133198</v>
      </c>
      <c r="L1061" s="1">
        <f>[1]Residential!H$105</f>
        <v>0.28236727067912809</v>
      </c>
      <c r="N1061" s="1"/>
    </row>
    <row r="1062" spans="2:14" x14ac:dyDescent="0.35">
      <c r="B1062" s="5" t="str">
        <f t="shared" si="1202"/>
        <v>SPS1</v>
      </c>
      <c r="C1062" s="5" t="str">
        <f t="shared" si="1203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07">SUM(G1063:G1064)</f>
        <v>38.875586745321236</v>
      </c>
      <c r="H1062" s="1">
        <f t="shared" si="1207"/>
        <v>35.386229731006857</v>
      </c>
      <c r="I1062" s="1">
        <f t="shared" si="1207"/>
        <v>26.55025137415964</v>
      </c>
      <c r="J1062" s="1">
        <f t="shared" si="1207"/>
        <v>18.688929264820132</v>
      </c>
      <c r="K1062" s="1">
        <f t="shared" si="1207"/>
        <v>11.788236209483973</v>
      </c>
      <c r="L1062" s="1">
        <f t="shared" ref="L1062" si="1208">SUM(L1063:L1064)</f>
        <v>8.4228821524800779</v>
      </c>
      <c r="N1062" s="1"/>
    </row>
    <row r="1063" spans="2:14" x14ac:dyDescent="0.35">
      <c r="B1063" s="5" t="str">
        <f t="shared" si="1202"/>
        <v>SPS1</v>
      </c>
      <c r="C1063" s="5" t="str">
        <f t="shared" si="1203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[1]Residential!F$106</f>
        <v>11.295631847746165</v>
      </c>
      <c r="K1063" s="1">
        <f>[1]Residential!G$106</f>
        <v>3.5200829038975039</v>
      </c>
      <c r="L1063" s="1">
        <f>[1]Residential!H$106</f>
        <v>1.3887783455359406</v>
      </c>
      <c r="N1063" s="1"/>
    </row>
    <row r="1064" spans="2:14" x14ac:dyDescent="0.35">
      <c r="B1064" s="5" t="str">
        <f t="shared" si="1202"/>
        <v>SPS1</v>
      </c>
      <c r="C1064" s="5" t="str">
        <f t="shared" si="1203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[1]Residential!F$107</f>
        <v>7.3932974170739669</v>
      </c>
      <c r="K1064" s="1">
        <f>[1]Residential!G$107</f>
        <v>8.268153305586468</v>
      </c>
      <c r="L1064" s="1">
        <f>[1]Residential!H$107</f>
        <v>7.0341038069441364</v>
      </c>
      <c r="N1064" s="1"/>
    </row>
    <row r="1065" spans="2:14" x14ac:dyDescent="0.35">
      <c r="B1065" s="5" t="str">
        <f t="shared" si="1202"/>
        <v>SPS1</v>
      </c>
      <c r="C1065" s="5" t="str">
        <f t="shared" si="1203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09">G1066</f>
        <v>7.2001313378621534E-2</v>
      </c>
      <c r="H1065" s="1">
        <f t="shared" si="1209"/>
        <v>2.1051899413794289E-2</v>
      </c>
      <c r="I1065" s="1">
        <f t="shared" si="1209"/>
        <v>0</v>
      </c>
      <c r="J1065" s="1">
        <f t="shared" si="1209"/>
        <v>0</v>
      </c>
      <c r="K1065" s="1">
        <f t="shared" si="1209"/>
        <v>0</v>
      </c>
      <c r="L1065" s="1">
        <f t="shared" si="1209"/>
        <v>0</v>
      </c>
      <c r="N1065" s="1"/>
    </row>
    <row r="1066" spans="2:14" x14ac:dyDescent="0.35">
      <c r="B1066" s="5" t="str">
        <f t="shared" si="1202"/>
        <v>SPS1</v>
      </c>
      <c r="C1066" s="5" t="str">
        <f t="shared" si="1203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[1]Residential!F$108</f>
        <v>0</v>
      </c>
      <c r="K1066" s="1">
        <f>[1]Residential!G$108</f>
        <v>0</v>
      </c>
      <c r="L1066" s="1">
        <f>[1]Residential!H$108</f>
        <v>0</v>
      </c>
      <c r="N1066" s="1"/>
    </row>
    <row r="1067" spans="2:14" x14ac:dyDescent="0.35">
      <c r="B1067" s="5" t="str">
        <f t="shared" si="1202"/>
        <v>SPS1</v>
      </c>
      <c r="C1067" s="5" t="str">
        <f t="shared" si="1203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SUM([1]Residential!F$109:F$110)</f>
        <v>11.491694937908507</v>
      </c>
      <c r="K1067" s="1">
        <f>SUM([1]Residential!G$109:G$110)</f>
        <v>12.146477276347044</v>
      </c>
      <c r="L1067" s="1">
        <f>SUM([1]Residential!H$109:H$110)</f>
        <v>10.239006403888965</v>
      </c>
      <c r="N1067" s="1"/>
    </row>
    <row r="1068" spans="2:14" x14ac:dyDescent="0.35">
      <c r="B1068" s="5" t="str">
        <f t="shared" si="1202"/>
        <v>SPS1</v>
      </c>
      <c r="C1068" s="5" t="str">
        <f t="shared" si="1203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[1]Residential!F$109</f>
        <v>0</v>
      </c>
      <c r="K1068" s="1">
        <f>[1]Residential!G$109</f>
        <v>0</v>
      </c>
      <c r="L1068" s="1">
        <f>[1]Residential!H$109</f>
        <v>0</v>
      </c>
      <c r="N1068" s="1"/>
    </row>
    <row r="1069" spans="2:14" x14ac:dyDescent="0.35">
      <c r="B1069" s="5" t="str">
        <f t="shared" si="1202"/>
        <v>SPS1</v>
      </c>
      <c r="C1069" s="5" t="str">
        <f t="shared" si="1203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10">IFERROR(G$1068/G$1043,0)*G1044</f>
        <v>7.4913257962543559E-3</v>
      </c>
      <c r="H1069" s="1">
        <f t="shared" si="1210"/>
        <v>0</v>
      </c>
      <c r="I1069" s="1">
        <f t="shared" si="1210"/>
        <v>0</v>
      </c>
      <c r="J1069" s="1">
        <f t="shared" si="1210"/>
        <v>0</v>
      </c>
      <c r="K1069" s="1">
        <f t="shared" si="1210"/>
        <v>0</v>
      </c>
      <c r="L1069" s="1">
        <f t="shared" ref="L1069" si="1211">IFERROR(L$1068/L$1043,0)*L1044</f>
        <v>0</v>
      </c>
      <c r="N1069" s="1"/>
    </row>
    <row r="1070" spans="2:14" x14ac:dyDescent="0.35">
      <c r="B1070" s="5" t="str">
        <f t="shared" si="1202"/>
        <v>SPS1</v>
      </c>
      <c r="C1070" s="5" t="str">
        <f t="shared" si="1203"/>
        <v>CH</v>
      </c>
      <c r="D1070" t="s">
        <v>1056</v>
      </c>
      <c r="E1070" t="s">
        <v>8</v>
      </c>
      <c r="F1070" s="1">
        <f t="shared" ref="F1070:K1070" si="1212">IFERROR(F$1068/F$1043,0)*F1045</f>
        <v>0</v>
      </c>
      <c r="G1070" s="1">
        <f t="shared" si="1212"/>
        <v>0</v>
      </c>
      <c r="H1070" s="1">
        <f t="shared" si="1212"/>
        <v>0</v>
      </c>
      <c r="I1070" s="1">
        <f t="shared" si="1212"/>
        <v>0</v>
      </c>
      <c r="J1070" s="1">
        <f t="shared" si="1212"/>
        <v>0</v>
      </c>
      <c r="K1070" s="1">
        <f t="shared" si="1212"/>
        <v>0</v>
      </c>
      <c r="L1070" s="1">
        <f t="shared" ref="L1070" si="1213">IFERROR(L$1068/L$1043,0)*L1045</f>
        <v>0</v>
      </c>
      <c r="N1070" s="1"/>
    </row>
    <row r="1071" spans="2:14" x14ac:dyDescent="0.35">
      <c r="B1071" s="5" t="str">
        <f t="shared" si="1202"/>
        <v>SPS1</v>
      </c>
      <c r="C1071" s="5" t="str">
        <f t="shared" si="1203"/>
        <v>CH</v>
      </c>
      <c r="D1071" t="s">
        <v>1057</v>
      </c>
      <c r="E1071" t="s">
        <v>8</v>
      </c>
      <c r="F1071" s="1">
        <f t="shared" ref="F1071:K1071" si="1214">IFERROR(F$1068/F$1043,0)*F1046</f>
        <v>0</v>
      </c>
      <c r="G1071" s="1">
        <f t="shared" si="1214"/>
        <v>0</v>
      </c>
      <c r="H1071" s="1">
        <f t="shared" si="1214"/>
        <v>0</v>
      </c>
      <c r="I1071" s="1">
        <f t="shared" si="1214"/>
        <v>0</v>
      </c>
      <c r="J1071" s="1">
        <f t="shared" si="1214"/>
        <v>0</v>
      </c>
      <c r="K1071" s="1">
        <f t="shared" si="1214"/>
        <v>0</v>
      </c>
      <c r="L1071" s="1">
        <f t="shared" ref="L1071" si="1215">IFERROR(L$1068/L$1043,0)*L1046</f>
        <v>0</v>
      </c>
      <c r="N1071" s="1"/>
    </row>
    <row r="1072" spans="2:14" x14ac:dyDescent="0.35">
      <c r="B1072" s="5" t="str">
        <f t="shared" si="1202"/>
        <v>SPS1</v>
      </c>
      <c r="C1072" s="5" t="str">
        <f t="shared" si="1203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16">G1067-G1068</f>
        <v>7.6930524965287033</v>
      </c>
      <c r="H1072" s="1">
        <f t="shared" si="1216"/>
        <v>5.9353608026295612</v>
      </c>
      <c r="I1072" s="1">
        <f t="shared" si="1216"/>
        <v>10.51304094221844</v>
      </c>
      <c r="J1072" s="1">
        <f t="shared" si="1216"/>
        <v>11.491694937908507</v>
      </c>
      <c r="K1072" s="1">
        <f t="shared" si="1216"/>
        <v>12.146477276347044</v>
      </c>
      <c r="L1072" s="1">
        <f t="shared" ref="L1072" si="1217">L1067-L1068</f>
        <v>10.239006403888965</v>
      </c>
      <c r="N1072" s="1"/>
    </row>
    <row r="1073" spans="2:14" x14ac:dyDescent="0.35">
      <c r="B1073" s="5" t="str">
        <f t="shared" si="1202"/>
        <v>SPS1</v>
      </c>
      <c r="C1073" s="5" t="str">
        <f t="shared" si="1203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18">G1074</f>
        <v>8.7387159969723012</v>
      </c>
      <c r="H1073" s="1">
        <f t="shared" si="1218"/>
        <v>9.4560270606056491</v>
      </c>
      <c r="I1073" s="1">
        <f t="shared" si="1218"/>
        <v>7.4130663791196207</v>
      </c>
      <c r="J1073" s="1">
        <f t="shared" si="1218"/>
        <v>5.6552024074698926</v>
      </c>
      <c r="K1073" s="1">
        <f t="shared" si="1218"/>
        <v>3.976706156825863</v>
      </c>
      <c r="L1073" s="1">
        <f t="shared" si="1218"/>
        <v>1.5835479324562804</v>
      </c>
      <c r="N1073" s="1"/>
    </row>
    <row r="1074" spans="2:14" x14ac:dyDescent="0.35">
      <c r="B1074" s="5" t="str">
        <f t="shared" si="1202"/>
        <v>SPS1</v>
      </c>
      <c r="C1074" s="5" t="str">
        <f t="shared" si="1203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[1]Residential!F$111</f>
        <v>5.6552024074698926</v>
      </c>
      <c r="K1074" s="1">
        <f>[1]Residential!G$111</f>
        <v>3.976706156825863</v>
      </c>
      <c r="L1074" s="1">
        <f>[1]Residential!H$111</f>
        <v>1.5835479324562804</v>
      </c>
      <c r="N1074" s="1"/>
    </row>
    <row r="1075" spans="2:14" x14ac:dyDescent="0.35">
      <c r="B1075" s="5" t="str">
        <f t="shared" si="1202"/>
        <v>SPS1</v>
      </c>
      <c r="C1075" s="5" t="str">
        <f t="shared" si="1203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19">G1076</f>
        <v>3.1682289709648677</v>
      </c>
      <c r="H1075" s="1">
        <f t="shared" si="1219"/>
        <v>0.163341102714536</v>
      </c>
      <c r="I1075" s="1">
        <f t="shared" si="1219"/>
        <v>0.14129626645436419</v>
      </c>
      <c r="J1075" s="1">
        <f t="shared" si="1219"/>
        <v>0.1117497698839255</v>
      </c>
      <c r="K1075" s="1">
        <f t="shared" si="1219"/>
        <v>8.0229054640922476E-2</v>
      </c>
      <c r="L1075" s="1">
        <f t="shared" si="1219"/>
        <v>2.7677175583681417E-2</v>
      </c>
      <c r="N1075" s="1"/>
    </row>
    <row r="1076" spans="2:14" x14ac:dyDescent="0.35">
      <c r="B1076" s="5" t="str">
        <f t="shared" si="1202"/>
        <v>SPS1</v>
      </c>
      <c r="C1076" s="5" t="str">
        <f t="shared" si="1203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[1]Residential!F$112</f>
        <v>0.1117497698839255</v>
      </c>
      <c r="K1076" s="1">
        <f>[1]Residential!G$112</f>
        <v>8.0229054640922476E-2</v>
      </c>
      <c r="L1076" s="1">
        <f>[1]Residential!H$112</f>
        <v>2.7677175583681417E-2</v>
      </c>
      <c r="N1076" s="1"/>
    </row>
    <row r="1077" spans="2:14" x14ac:dyDescent="0.35">
      <c r="B1077" s="5" t="str">
        <f t="shared" si="1202"/>
        <v>SPS1</v>
      </c>
      <c r="C1077" s="5" t="str">
        <f t="shared" si="1203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20">G1078</f>
        <v>0.94130088727139527</v>
      </c>
      <c r="H1077" s="1">
        <f t="shared" si="1220"/>
        <v>3.7008437331993833E-2</v>
      </c>
      <c r="I1077" s="1">
        <f t="shared" si="1220"/>
        <v>4.6034461850921735E-2</v>
      </c>
      <c r="J1077" s="1">
        <f t="shared" si="1220"/>
        <v>4.7661667746206303E-2</v>
      </c>
      <c r="K1077" s="1">
        <f t="shared" si="1220"/>
        <v>4.8389949779549767E-2</v>
      </c>
      <c r="L1077" s="1">
        <f t="shared" si="1220"/>
        <v>4.6780948321432834E-2</v>
      </c>
      <c r="N1077" s="1"/>
    </row>
    <row r="1078" spans="2:14" x14ac:dyDescent="0.35">
      <c r="B1078" s="5" t="str">
        <f t="shared" si="1202"/>
        <v>SPS1</v>
      </c>
      <c r="C1078" s="5" t="str">
        <f t="shared" si="1203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[1]Residential!F$113</f>
        <v>4.7661667746206303E-2</v>
      </c>
      <c r="K1078" s="1">
        <f>[1]Residential!G$113</f>
        <v>4.8389949779549767E-2</v>
      </c>
      <c r="L1078" s="1">
        <f>[1]Residential!H$113</f>
        <v>4.6780948321432834E-2</v>
      </c>
      <c r="N1078" s="1"/>
    </row>
    <row r="1079" spans="2:14" x14ac:dyDescent="0.35">
      <c r="B1079" s="5" t="str">
        <f t="shared" si="1202"/>
        <v>SPS1</v>
      </c>
      <c r="C1079" s="5" t="str">
        <f t="shared" si="1203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1">G1080</f>
        <v>0</v>
      </c>
      <c r="H1079" s="1">
        <f t="shared" si="1221"/>
        <v>0</v>
      </c>
      <c r="I1079" s="1">
        <f t="shared" si="1221"/>
        <v>0</v>
      </c>
      <c r="J1079" s="1">
        <f t="shared" si="1221"/>
        <v>0</v>
      </c>
      <c r="K1079" s="1">
        <f t="shared" si="1221"/>
        <v>0</v>
      </c>
      <c r="L1079" s="1">
        <f t="shared" si="1221"/>
        <v>0</v>
      </c>
      <c r="N1079" s="1"/>
    </row>
    <row r="1080" spans="2:14" x14ac:dyDescent="0.35">
      <c r="B1080" s="5" t="str">
        <f t="shared" si="1202"/>
        <v>SPS1</v>
      </c>
      <c r="C1080" s="5" t="str">
        <f t="shared" si="1203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N1080" s="1"/>
    </row>
    <row r="1081" spans="2:14" x14ac:dyDescent="0.35">
      <c r="B1081" s="5" t="str">
        <f t="shared" si="1202"/>
        <v>SPS1</v>
      </c>
      <c r="C1081" s="5" t="str">
        <f t="shared" si="1203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[1]Residential!F$10-[1]Residential!F$223</f>
        <v>17.396314296541533</v>
      </c>
      <c r="K1081" s="1">
        <f>[1]Residential!G$10-[1]Residential!G$223</f>
        <v>21.978833614400816</v>
      </c>
      <c r="L1081" s="1">
        <f>[1]Residential!H$10-[1]Residential!H$223</f>
        <v>32.511872029656651</v>
      </c>
      <c r="N1081" s="1"/>
    </row>
    <row r="1082" spans="2:14" x14ac:dyDescent="0.35">
      <c r="B1082" s="5" t="str">
        <f t="shared" si="1202"/>
        <v>SPS1</v>
      </c>
      <c r="C1082" s="5" t="str">
        <f t="shared" si="1203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[1]Residential!F$224</f>
        <v>23.856923027180116</v>
      </c>
      <c r="K1082" s="1">
        <f>[1]Residential!G$224</f>
        <v>25.917388887605302</v>
      </c>
      <c r="L1082" s="1">
        <f>[1]Residential!H$224</f>
        <v>26.457586286007434</v>
      </c>
      <c r="N1082" s="1"/>
    </row>
    <row r="1083" spans="2:14" x14ac:dyDescent="0.35">
      <c r="B1083" s="5" t="str">
        <f t="shared" si="1202"/>
        <v>SPS1</v>
      </c>
      <c r="C1083" s="5" t="str">
        <f t="shared" si="1203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22">SUM(G1084:G1085)</f>
        <v>10.604175161449239</v>
      </c>
      <c r="H1083" s="1">
        <f t="shared" si="1222"/>
        <v>8.124141848449522</v>
      </c>
      <c r="I1083" s="1">
        <f t="shared" si="1222"/>
        <v>10.907391190992428</v>
      </c>
      <c r="J1083" s="1">
        <f t="shared" si="1222"/>
        <v>13.150630222958998</v>
      </c>
      <c r="K1083" s="1">
        <f t="shared" si="1222"/>
        <v>15.807184323766014</v>
      </c>
      <c r="L1083" s="1">
        <f t="shared" ref="L1083" si="1223">SUM(L1084:L1085)</f>
        <v>17.121713021726347</v>
      </c>
      <c r="N1083" s="1"/>
    </row>
    <row r="1084" spans="2:14" x14ac:dyDescent="0.35">
      <c r="B1084" s="5" t="str">
        <f t="shared" si="1202"/>
        <v>SPS1</v>
      </c>
      <c r="C1084" s="5" t="str">
        <f t="shared" si="1203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[1]Residential!F$231-J1058</f>
        <v>1.7469647775289701</v>
      </c>
      <c r="K1084" s="1">
        <f>[1]Residential!G$231-K1058</f>
        <v>1.5824143070066989</v>
      </c>
      <c r="L1084" s="1">
        <f>[1]Residential!H$231-L1058</f>
        <v>1.3798291311617539</v>
      </c>
      <c r="N1084" s="1"/>
    </row>
    <row r="1085" spans="2:14" x14ac:dyDescent="0.35">
      <c r="B1085" s="5" t="str">
        <f t="shared" si="1202"/>
        <v>SPS1</v>
      </c>
      <c r="C1085" s="5" t="str">
        <f t="shared" si="1203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[1]Residential!F$233-J1059</f>
        <v>11.403665445430029</v>
      </c>
      <c r="K1085" s="1">
        <f>[1]Residential!G$233-K1059</f>
        <v>14.224770016759315</v>
      </c>
      <c r="L1085" s="1">
        <f>[1]Residential!H$233-L1059</f>
        <v>15.741883890564594</v>
      </c>
      <c r="N1085" s="1"/>
    </row>
    <row r="1086" spans="2:14" x14ac:dyDescent="0.35">
      <c r="B1086" s="5" t="str">
        <f t="shared" si="1202"/>
        <v>SPS1</v>
      </c>
      <c r="C1086" s="5" t="str">
        <f t="shared" si="1203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24">G1087</f>
        <v>5.5418339964880516</v>
      </c>
      <c r="H1086" s="1">
        <f t="shared" si="1224"/>
        <v>4.5163214769155218</v>
      </c>
      <c r="I1086" s="1">
        <f t="shared" si="1224"/>
        <v>1.9156966048350057</v>
      </c>
      <c r="J1086" s="1">
        <f t="shared" si="1224"/>
        <v>1.2597309284848475</v>
      </c>
      <c r="K1086" s="1">
        <f t="shared" si="1224"/>
        <v>0.45236276881813797</v>
      </c>
      <c r="L1086" s="1">
        <f t="shared" si="1224"/>
        <v>2.8683652084208699E-2</v>
      </c>
      <c r="N1086" s="1"/>
    </row>
    <row r="1087" spans="2:14" x14ac:dyDescent="0.35">
      <c r="B1087" s="5" t="str">
        <f t="shared" si="1202"/>
        <v>SPS1</v>
      </c>
      <c r="C1087" s="5" t="str">
        <f t="shared" si="1203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[1]Residential!F$234-J1061</f>
        <v>1.2597309284848475</v>
      </c>
      <c r="K1087" s="1">
        <f>[1]Residential!G$234-K1061</f>
        <v>0.45236276881813797</v>
      </c>
      <c r="L1087" s="1">
        <f>[1]Residential!H$234-L1061</f>
        <v>2.8683652084208699E-2</v>
      </c>
      <c r="N1087" s="1"/>
    </row>
    <row r="1088" spans="2:14" x14ac:dyDescent="0.35">
      <c r="B1088" s="5" t="str">
        <f t="shared" si="1202"/>
        <v>SPS1</v>
      </c>
      <c r="C1088" s="5" t="str">
        <f t="shared" si="1203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25">SUM(G1089:G1090)</f>
        <v>5.5409727631509256</v>
      </c>
      <c r="H1088" s="1">
        <f t="shared" si="1225"/>
        <v>6.0507108951267794</v>
      </c>
      <c r="I1088" s="1">
        <f t="shared" si="1225"/>
        <v>4.8935167287481898</v>
      </c>
      <c r="J1088" s="1">
        <f t="shared" si="1225"/>
        <v>4.5359362020358915</v>
      </c>
      <c r="K1088" s="1">
        <f t="shared" si="1225"/>
        <v>4.2420063390282943</v>
      </c>
      <c r="L1088" s="1">
        <f t="shared" ref="L1088" si="1226">SUM(L1089:L1090)</f>
        <v>3.9494747334468503</v>
      </c>
      <c r="N1088" s="1"/>
    </row>
    <row r="1089" spans="2:14" x14ac:dyDescent="0.35">
      <c r="B1089" s="5" t="str">
        <f t="shared" si="1202"/>
        <v>SPS1</v>
      </c>
      <c r="C1089" s="5" t="str">
        <f t="shared" si="1203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[1]Residential!F$235-J1063</f>
        <v>1.7739119548462661</v>
      </c>
      <c r="K1089" s="1">
        <f>[1]Residential!G$235-K1063</f>
        <v>0.76875074992374604</v>
      </c>
      <c r="L1089" s="1">
        <f>[1]Residential!H$235-L1063</f>
        <v>0.33171285181909838</v>
      </c>
      <c r="N1089" s="1"/>
    </row>
    <row r="1090" spans="2:14" x14ac:dyDescent="0.35">
      <c r="B1090" s="5" t="str">
        <f t="shared" si="1202"/>
        <v>SPS1</v>
      </c>
      <c r="C1090" s="5" t="str">
        <f t="shared" si="1203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[1]Residential!F$236-J1064</f>
        <v>2.7620242471896255</v>
      </c>
      <c r="K1090" s="1">
        <f>[1]Residential!G$236-K1064</f>
        <v>3.4732555891045482</v>
      </c>
      <c r="L1090" s="1">
        <f>[1]Residential!H$236-L1064</f>
        <v>3.6177618816277519</v>
      </c>
      <c r="N1090" s="1"/>
    </row>
    <row r="1091" spans="2:14" x14ac:dyDescent="0.35">
      <c r="B1091" s="5" t="str">
        <f t="shared" si="1202"/>
        <v>SPS1</v>
      </c>
      <c r="C1091" s="5" t="str">
        <f t="shared" si="1203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2"/>
        <v>SPS1</v>
      </c>
      <c r="C1092" s="5" t="str">
        <f t="shared" si="1203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2"/>
        <v>SPS1</v>
      </c>
      <c r="C1093" s="5" t="str">
        <f t="shared" si="1203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27">SUM(G1094,G1098)</f>
        <v>1.463377197543414</v>
      </c>
      <c r="H1093" s="1">
        <f t="shared" si="1227"/>
        <v>0.9609287319997426</v>
      </c>
      <c r="I1093" s="1">
        <f t="shared" si="1227"/>
        <v>2.00535513675249</v>
      </c>
      <c r="J1093" s="1">
        <f t="shared" si="1227"/>
        <v>2.4435288875866803</v>
      </c>
      <c r="K1093" s="1">
        <f t="shared" si="1227"/>
        <v>2.8240688503110452</v>
      </c>
      <c r="L1093" s="1">
        <f t="shared" ref="L1093" si="1228">SUM(L1094,L1098)</f>
        <v>2.8217936638731373</v>
      </c>
      <c r="N1093" s="1"/>
    </row>
    <row r="1094" spans="2:14" x14ac:dyDescent="0.35">
      <c r="B1094" s="5" t="str">
        <f t="shared" si="1202"/>
        <v>SPS1</v>
      </c>
      <c r="C1094" s="5" t="str">
        <f t="shared" si="1203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[1]Residential!F$238-J1068</f>
        <v>0</v>
      </c>
      <c r="K1094" s="1">
        <f>[1]Residential!G$238-K1068</f>
        <v>0</v>
      </c>
      <c r="L1094" s="1">
        <f>[1]Residential!H$238-L1068</f>
        <v>0</v>
      </c>
      <c r="N1094" s="1"/>
    </row>
    <row r="1095" spans="2:14" x14ac:dyDescent="0.35">
      <c r="B1095" s="5" t="str">
        <f t="shared" si="1202"/>
        <v>SPS1</v>
      </c>
      <c r="C1095" s="5" t="str">
        <f t="shared" si="1203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29">IFERROR(G$1094/G$1043,0)*G1044</f>
        <v>1.423618331711219E-3</v>
      </c>
      <c r="H1095" s="1">
        <f t="shared" si="1229"/>
        <v>0</v>
      </c>
      <c r="I1095" s="1">
        <f t="shared" si="1229"/>
        <v>0</v>
      </c>
      <c r="J1095" s="1">
        <f t="shared" si="1229"/>
        <v>0</v>
      </c>
      <c r="K1095" s="1">
        <f t="shared" si="1229"/>
        <v>0</v>
      </c>
      <c r="L1095" s="1">
        <f t="shared" ref="L1095" si="1230">IFERROR(L$1094/L$1043,0)*L1044</f>
        <v>0</v>
      </c>
      <c r="N1095" s="1"/>
    </row>
    <row r="1096" spans="2:14" x14ac:dyDescent="0.35">
      <c r="B1096" s="5" t="str">
        <f t="shared" si="1202"/>
        <v>SPS1</v>
      </c>
      <c r="C1096" s="5" t="str">
        <f t="shared" si="1203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9"/>
        <v>0</v>
      </c>
      <c r="H1096" s="1">
        <f t="shared" si="1229"/>
        <v>0</v>
      </c>
      <c r="I1096" s="1">
        <f t="shared" si="1229"/>
        <v>0</v>
      </c>
      <c r="J1096" s="1">
        <f t="shared" si="1229"/>
        <v>0</v>
      </c>
      <c r="K1096" s="1">
        <f t="shared" si="1229"/>
        <v>0</v>
      </c>
      <c r="L1096" s="1">
        <f t="shared" ref="L1096" si="1231">IFERROR(L$1094/L$1043,0)*L1045</f>
        <v>0</v>
      </c>
      <c r="N1096" s="1"/>
    </row>
    <row r="1097" spans="2:14" x14ac:dyDescent="0.35">
      <c r="B1097" s="5" t="str">
        <f t="shared" si="1202"/>
        <v>SPS1</v>
      </c>
      <c r="C1097" s="5" t="str">
        <f t="shared" si="1203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9"/>
        <v>0</v>
      </c>
      <c r="H1097" s="1">
        <f t="shared" si="1229"/>
        <v>0</v>
      </c>
      <c r="I1097" s="1">
        <f t="shared" si="1229"/>
        <v>0</v>
      </c>
      <c r="J1097" s="1">
        <f t="shared" si="1229"/>
        <v>0</v>
      </c>
      <c r="K1097" s="1">
        <f t="shared" si="1229"/>
        <v>0</v>
      </c>
      <c r="L1097" s="1">
        <f t="shared" ref="L1097" si="1232">IFERROR(L$1094/L$1043,0)*L1046</f>
        <v>0</v>
      </c>
      <c r="N1097" s="1"/>
    </row>
    <row r="1098" spans="2:14" x14ac:dyDescent="0.35">
      <c r="B1098" s="5" t="str">
        <f t="shared" si="1202"/>
        <v>SPS1</v>
      </c>
      <c r="C1098" s="5" t="str">
        <f t="shared" si="1203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[1]Residential!F$239-J1072</f>
        <v>2.4435288875866803</v>
      </c>
      <c r="K1098" s="1">
        <f>[1]Residential!G$239-K1072</f>
        <v>2.8240688503110452</v>
      </c>
      <c r="L1098" s="1">
        <f>[1]Residential!H$239-L1072</f>
        <v>2.8217936638731373</v>
      </c>
      <c r="N1098" s="1"/>
    </row>
    <row r="1099" spans="2:14" x14ac:dyDescent="0.35">
      <c r="B1099" s="5" t="str">
        <f t="shared" si="1202"/>
        <v>SPS1</v>
      </c>
      <c r="C1099" s="5" t="str">
        <f t="shared" si="1203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33">G1100</f>
        <v>0.59724721008108794</v>
      </c>
      <c r="H1099" s="1">
        <f t="shared" si="1233"/>
        <v>1.0153907950684786</v>
      </c>
      <c r="I1099" s="1">
        <f t="shared" si="1233"/>
        <v>0.86068834829869001</v>
      </c>
      <c r="J1099" s="1">
        <f t="shared" si="1233"/>
        <v>0.70786483046414705</v>
      </c>
      <c r="K1099" s="1">
        <f t="shared" si="1233"/>
        <v>0.54819034495352037</v>
      </c>
      <c r="L1099" s="1">
        <f t="shared" si="1233"/>
        <v>0.25105959691366087</v>
      </c>
      <c r="N1099" s="1"/>
    </row>
    <row r="1100" spans="2:14" x14ac:dyDescent="0.35">
      <c r="B1100" s="5" t="str">
        <f t="shared" si="1202"/>
        <v>SPS1</v>
      </c>
      <c r="C1100" s="5" t="str">
        <f t="shared" si="1203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[1]Residential!F$240-J1074</f>
        <v>0.70786483046414705</v>
      </c>
      <c r="K1100" s="1">
        <f>[1]Residential!G$240-K1074</f>
        <v>0.54819034495352037</v>
      </c>
      <c r="L1100" s="1">
        <f>[1]Residential!H$240-L1074</f>
        <v>0.25105959691366087</v>
      </c>
      <c r="N1100" s="1"/>
    </row>
    <row r="1101" spans="2:14" x14ac:dyDescent="0.35">
      <c r="B1101" s="5" t="str">
        <f t="shared" si="1202"/>
        <v>SPS1</v>
      </c>
      <c r="C1101" s="5" t="str">
        <f t="shared" si="1203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34">G1102</f>
        <v>0.19483852693978543</v>
      </c>
      <c r="H1101" s="1">
        <f t="shared" ref="H1101" si="1235">H1102</f>
        <v>3.6707341930770188E-2</v>
      </c>
      <c r="I1101" s="1">
        <f t="shared" ref="I1101" si="1236">I1102</f>
        <v>3.2923923915890885E-2</v>
      </c>
      <c r="J1101" s="1">
        <f t="shared" ref="J1101" si="1237">J1102</f>
        <v>2.768293103589857E-2</v>
      </c>
      <c r="K1101" s="1">
        <f t="shared" ref="K1101:L1101" si="1238">K1102</f>
        <v>2.1782261091958965E-2</v>
      </c>
      <c r="L1101" s="1">
        <f t="shared" si="1238"/>
        <v>8.2672420806987855E-3</v>
      </c>
      <c r="N1101" s="1"/>
    </row>
    <row r="1102" spans="2:14" x14ac:dyDescent="0.35">
      <c r="B1102" s="5" t="str">
        <f t="shared" si="1202"/>
        <v>SPS1</v>
      </c>
      <c r="C1102" s="5" t="str">
        <f t="shared" si="1203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[1]Residential!F$241-J1076</f>
        <v>2.768293103589857E-2</v>
      </c>
      <c r="K1102" s="1">
        <f>[1]Residential!G$241-K1076</f>
        <v>2.1782261091958965E-2</v>
      </c>
      <c r="L1102" s="1">
        <f>[1]Residential!H$241-L1076</f>
        <v>8.2672420806987855E-3</v>
      </c>
      <c r="N1102" s="1"/>
    </row>
    <row r="1103" spans="2:14" x14ac:dyDescent="0.35">
      <c r="B1103" s="5" t="str">
        <f t="shared" si="1202"/>
        <v>SPS1</v>
      </c>
      <c r="C1103" s="5" t="str">
        <f t="shared" si="1203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39">G1104</f>
        <v>1.9867383755897492</v>
      </c>
      <c r="H1103" s="1">
        <f t="shared" ref="H1103" si="1240">H1104</f>
        <v>1.0124041724445625</v>
      </c>
      <c r="I1103" s="1">
        <f t="shared" ref="I1103" si="1241">I1104</f>
        <v>1.4702698119522439</v>
      </c>
      <c r="J1103" s="1">
        <f t="shared" ref="J1103" si="1242">J1104</f>
        <v>1.7315490246136502</v>
      </c>
      <c r="K1103" s="1">
        <f t="shared" ref="K1103:L1103" si="1243">K1104</f>
        <v>2.0217939996363272</v>
      </c>
      <c r="L1103" s="1">
        <f t="shared" si="1243"/>
        <v>2.2765943758825351</v>
      </c>
      <c r="N1103" s="1"/>
    </row>
    <row r="1104" spans="2:14" x14ac:dyDescent="0.35">
      <c r="B1104" s="5" t="str">
        <f t="shared" si="1202"/>
        <v>SPS1</v>
      </c>
      <c r="C1104" s="5" t="str">
        <f t="shared" si="1203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[1]Residential!F$242-J1078</f>
        <v>1.7315490246136502</v>
      </c>
      <c r="K1104" s="1">
        <f>[1]Residential!G$242-K1078</f>
        <v>2.0217939996363272</v>
      </c>
      <c r="L1104" s="1">
        <f>[1]Residential!H$242-L1078</f>
        <v>2.2765943758825351</v>
      </c>
      <c r="N1104" s="1"/>
    </row>
    <row r="1105" spans="2:14" x14ac:dyDescent="0.35">
      <c r="B1105" s="5" t="str">
        <f t="shared" si="1202"/>
        <v>SPS1</v>
      </c>
      <c r="C1105" s="5" t="str">
        <f t="shared" si="1203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4">G1106</f>
        <v>0</v>
      </c>
      <c r="H1105" s="1">
        <f t="shared" ref="H1105" si="1245">H1106</f>
        <v>0</v>
      </c>
      <c r="I1105" s="1">
        <f t="shared" ref="I1105" si="1246">I1106</f>
        <v>0</v>
      </c>
      <c r="J1105" s="1">
        <f t="shared" ref="J1105" si="1247">J1106</f>
        <v>0</v>
      </c>
      <c r="K1105" s="1">
        <f t="shared" ref="K1105:L1105" si="1248">K1106</f>
        <v>0</v>
      </c>
      <c r="L1105" s="1">
        <f t="shared" si="1248"/>
        <v>0</v>
      </c>
      <c r="N1105" s="1"/>
    </row>
    <row r="1106" spans="2:14" x14ac:dyDescent="0.35">
      <c r="B1106" s="5" t="str">
        <f t="shared" si="1202"/>
        <v>SPS1</v>
      </c>
      <c r="C1106" s="5" t="str">
        <f t="shared" si="1203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N1106" s="1"/>
    </row>
    <row r="1107" spans="2:14" x14ac:dyDescent="0.35">
      <c r="B1107" s="5" t="str">
        <f t="shared" si="1202"/>
        <v>SPS1</v>
      </c>
      <c r="C1107" s="5" t="str">
        <f t="shared" si="1203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N1107" s="1"/>
    </row>
    <row r="1108" spans="2:14" x14ac:dyDescent="0.35">
      <c r="B1108" s="5" t="str">
        <f t="shared" ref="B1108:B1135" si="1249">B1107</f>
        <v>SPS1</v>
      </c>
      <c r="C1108" s="5" t="str">
        <f t="shared" ref="C1108:C1135" si="1250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51">IFERROR(G1058/G975,"-")</f>
        <v>0.95</v>
      </c>
      <c r="H1109" s="4">
        <f t="shared" si="1251"/>
        <v>0.91787084734418256</v>
      </c>
      <c r="I1109" s="4">
        <f t="shared" si="1251"/>
        <v>0.92086320470649341</v>
      </c>
      <c r="J1109" s="4">
        <f t="shared" si="1251"/>
        <v>0.93963946714600088</v>
      </c>
      <c r="K1109" s="4">
        <f t="shared" si="1251"/>
        <v>0.94424678188836941</v>
      </c>
      <c r="L1109" s="4">
        <f t="shared" ref="L1109" si="1252">IFERROR(L1058/L975,"-")</f>
        <v>0.94659813048320396</v>
      </c>
      <c r="N1109" s="1"/>
    </row>
    <row r="1110" spans="2:14" x14ac:dyDescent="0.35">
      <c r="B1110" s="5" t="str">
        <f t="shared" si="1249"/>
        <v>SPS1</v>
      </c>
      <c r="C1110" s="5" t="str">
        <f t="shared" si="1250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1"/>
        <v>3.2533333333333325</v>
      </c>
      <c r="H1110" s="4">
        <f t="shared" si="1251"/>
        <v>2.9970855095199793</v>
      </c>
      <c r="I1110" s="4">
        <f t="shared" si="1251"/>
        <v>3.3288760736558261</v>
      </c>
      <c r="J1110" s="4">
        <f t="shared" si="1251"/>
        <v>3.5145267140544982</v>
      </c>
      <c r="K1110" s="4">
        <f t="shared" si="1251"/>
        <v>3.7110852749154928</v>
      </c>
      <c r="L1110" s="4">
        <f t="shared" ref="L1110" si="1253">IFERROR(L1059/L976,"-")</f>
        <v>4.1055192069799213</v>
      </c>
      <c r="N1110" s="1"/>
    </row>
    <row r="1111" spans="2:14" x14ac:dyDescent="0.35">
      <c r="B1111" s="5" t="str">
        <f t="shared" si="1249"/>
        <v>SPS1</v>
      </c>
      <c r="C1111" s="5" t="str">
        <f t="shared" si="1250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54">IFERROR(G1061/G985,"-")</f>
        <v>0.89583333333333404</v>
      </c>
      <c r="H1111" s="4">
        <f t="shared" si="1254"/>
        <v>0.85419766303333644</v>
      </c>
      <c r="I1111" s="4">
        <f t="shared" si="1254"/>
        <v>0.86992866209334496</v>
      </c>
      <c r="J1111" s="4">
        <f t="shared" si="1254"/>
        <v>0.87026688738579361</v>
      </c>
      <c r="K1111" s="4">
        <f t="shared" si="1254"/>
        <v>0.87138130588772322</v>
      </c>
      <c r="L1111" s="4">
        <f t="shared" ref="L1111" si="1255">IFERROR(L1061/L985,"-")</f>
        <v>0.86904314549188788</v>
      </c>
      <c r="N1111" s="1"/>
    </row>
    <row r="1112" spans="2:14" x14ac:dyDescent="0.35">
      <c r="B1112" s="5" t="str">
        <f t="shared" si="1249"/>
        <v>SPS1</v>
      </c>
      <c r="C1112" s="5" t="str">
        <f t="shared" si="1250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56">IFERROR(G1063/G998,"-")</f>
        <v>0.95000000000000018</v>
      </c>
      <c r="H1112" s="4">
        <f t="shared" si="1256"/>
        <v>0.93417786919014778</v>
      </c>
      <c r="I1112" s="4">
        <f t="shared" si="1256"/>
        <v>0.93423885523527017</v>
      </c>
      <c r="J1112" s="4">
        <f t="shared" si="1256"/>
        <v>0.9336622466420339</v>
      </c>
      <c r="K1112" s="4">
        <f t="shared" si="1256"/>
        <v>0.9314008611574176</v>
      </c>
      <c r="L1112" s="4">
        <f t="shared" ref="L1112" si="1257">IFERROR(L1063/L998,"-")</f>
        <v>0.93993335894225605</v>
      </c>
      <c r="N1112" s="1"/>
    </row>
    <row r="1113" spans="2:14" x14ac:dyDescent="0.35">
      <c r="B1113" s="5" t="str">
        <f t="shared" si="1249"/>
        <v>SPS1</v>
      </c>
      <c r="C1113" s="5" t="str">
        <f t="shared" si="1250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8">IFERROR(G1064/G999,"-")</f>
        <v>-</v>
      </c>
      <c r="H1113" s="4">
        <f t="shared" si="1258"/>
        <v>1.8585625307370026</v>
      </c>
      <c r="I1113" s="4">
        <f t="shared" si="1258"/>
        <v>1.9395418352123379</v>
      </c>
      <c r="J1113" s="4">
        <f t="shared" si="1258"/>
        <v>1.9822346106917414</v>
      </c>
      <c r="K1113" s="4">
        <f t="shared" si="1258"/>
        <v>2.0265481216207295</v>
      </c>
      <c r="L1113" s="4">
        <f t="shared" ref="L1113" si="1259">IFERROR(L1064/L999,"-")</f>
        <v>2.1281003217532972</v>
      </c>
      <c r="N1113" s="1"/>
    </row>
    <row r="1114" spans="2:14" x14ac:dyDescent="0.35">
      <c r="B1114" s="5" t="str">
        <f t="shared" si="1249"/>
        <v>SPS1</v>
      </c>
      <c r="C1114" s="5" t="str">
        <f t="shared" si="1250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60">IFERROR(G1066/G1017,"-")</f>
        <v>0.71999999999999986</v>
      </c>
      <c r="H1114" s="4">
        <f t="shared" si="1260"/>
        <v>0.7992014124572161</v>
      </c>
      <c r="I1114" s="4" t="str">
        <f t="shared" si="1260"/>
        <v>-</v>
      </c>
      <c r="J1114" s="4" t="str">
        <f t="shared" si="1260"/>
        <v>-</v>
      </c>
      <c r="K1114" s="4" t="str">
        <f t="shared" si="1260"/>
        <v>-</v>
      </c>
      <c r="L1114" s="4" t="str">
        <f t="shared" ref="L1114" si="1261">IFERROR(L1066/L1017,"-")</f>
        <v>-</v>
      </c>
      <c r="N1114" s="1"/>
    </row>
    <row r="1115" spans="2:14" x14ac:dyDescent="0.35">
      <c r="B1115" s="5" t="str">
        <f t="shared" si="1249"/>
        <v>SPS1</v>
      </c>
      <c r="C1115" s="5" t="str">
        <f t="shared" si="1250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9"/>
        <v>SPS1</v>
      </c>
      <c r="C1116" s="5" t="str">
        <f t="shared" si="1250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9"/>
        <v>SPS1</v>
      </c>
      <c r="C1117" s="5" t="str">
        <f t="shared" si="1250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9"/>
        <v>SPS1</v>
      </c>
      <c r="C1118" s="5" t="str">
        <f t="shared" si="1250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9"/>
        <v>SPS1</v>
      </c>
      <c r="C1119" s="5" t="str">
        <f t="shared" si="1250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62">IFERROR(G1074/G1022,"-")</f>
        <v>0.72000000000000031</v>
      </c>
      <c r="H1119" s="4">
        <f t="shared" si="1262"/>
        <v>0.71781109116459219</v>
      </c>
      <c r="I1119" s="4">
        <f t="shared" si="1262"/>
        <v>0.72316973922794325</v>
      </c>
      <c r="J1119" s="4">
        <f t="shared" si="1262"/>
        <v>0.72424768718690802</v>
      </c>
      <c r="K1119" s="4">
        <f t="shared" si="1262"/>
        <v>0.72698935591669833</v>
      </c>
      <c r="L1119" s="4">
        <f t="shared" ref="L1119" si="1263">IFERROR(L1074/L1022,"-")</f>
        <v>0.75393544539123525</v>
      </c>
      <c r="N1119" s="1"/>
    </row>
    <row r="1120" spans="2:14" x14ac:dyDescent="0.35">
      <c r="B1120" s="5" t="str">
        <f t="shared" si="1249"/>
        <v>SPS1</v>
      </c>
      <c r="C1120" s="5" t="str">
        <f t="shared" si="1250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64">IFERROR(G1076/G1027,"-")</f>
        <v>0.89999999999999991</v>
      </c>
      <c r="H1120" s="4">
        <f t="shared" si="1264"/>
        <v>0.72755601949087845</v>
      </c>
      <c r="I1120" s="4">
        <f t="shared" si="1264"/>
        <v>0.72759261119483265</v>
      </c>
      <c r="J1120" s="4">
        <f t="shared" si="1264"/>
        <v>0.72759346250501855</v>
      </c>
      <c r="K1120" s="4">
        <f t="shared" si="1264"/>
        <v>0.72759206510713392</v>
      </c>
      <c r="L1120" s="4">
        <f t="shared" ref="L1120" si="1265">IFERROR(L1076/L1027,"-")</f>
        <v>0.74574901781645864</v>
      </c>
      <c r="N1120" s="1"/>
    </row>
    <row r="1121" spans="2:14" x14ac:dyDescent="0.35">
      <c r="B1121" s="5" t="str">
        <f t="shared" si="1249"/>
        <v>SPS1</v>
      </c>
      <c r="C1121" s="5" t="str">
        <f t="shared" si="1250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9"/>
        <v>SPS1</v>
      </c>
      <c r="C1122" s="5" t="str">
        <f t="shared" si="1250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6">IFERROR(G1080/G1039,"-")</f>
        <v>-</v>
      </c>
      <c r="H1122" s="4" t="str">
        <f t="shared" si="1266"/>
        <v>-</v>
      </c>
      <c r="I1122" s="4" t="str">
        <f t="shared" si="1266"/>
        <v>-</v>
      </c>
      <c r="J1122" s="4" t="str">
        <f t="shared" si="1266"/>
        <v>-</v>
      </c>
      <c r="K1122" s="4" t="str">
        <f t="shared" si="1266"/>
        <v>-</v>
      </c>
      <c r="L1122" s="4" t="str">
        <f t="shared" ref="L1122" si="1267">IFERROR(L1080/L1039,"-")</f>
        <v>-</v>
      </c>
      <c r="N1122" s="1"/>
    </row>
    <row r="1123" spans="2:14" x14ac:dyDescent="0.35">
      <c r="B1123" s="5" t="str">
        <f t="shared" si="1249"/>
        <v>SPS1</v>
      </c>
      <c r="C1123" s="5" t="str">
        <f t="shared" si="1250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8">IFERROR(G1084/G978,"-")</f>
        <v>0.79199999999999893</v>
      </c>
      <c r="H1123" s="4">
        <f t="shared" si="1268"/>
        <v>0.46572224291230924</v>
      </c>
      <c r="I1123" s="4">
        <f t="shared" si="1268"/>
        <v>0.48665298823441172</v>
      </c>
      <c r="J1123" s="4">
        <f t="shared" si="1268"/>
        <v>0.49721137373785856</v>
      </c>
      <c r="K1123" s="4">
        <f t="shared" si="1268"/>
        <v>0.50560717940479782</v>
      </c>
      <c r="L1123" s="4">
        <f t="shared" ref="L1123" si="1269">IFERROR(L1084/L978,"-")</f>
        <v>0.52043514953397396</v>
      </c>
      <c r="N1123" s="1"/>
    </row>
    <row r="1124" spans="2:14" x14ac:dyDescent="0.35">
      <c r="B1124" s="5" t="str">
        <f t="shared" si="1249"/>
        <v>SPS1</v>
      </c>
      <c r="C1124" s="5" t="str">
        <f t="shared" si="1250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68"/>
        <v>2.8259999999999987</v>
      </c>
      <c r="H1124" s="4">
        <f t="shared" si="1268"/>
        <v>1.8931008236249185</v>
      </c>
      <c r="I1124" s="4">
        <f t="shared" si="1268"/>
        <v>2.1445795883334213</v>
      </c>
      <c r="J1124" s="4">
        <f t="shared" si="1268"/>
        <v>2.3016127383896063</v>
      </c>
      <c r="K1124" s="4">
        <f t="shared" si="1268"/>
        <v>2.4525813892380968</v>
      </c>
      <c r="L1124" s="4">
        <f t="shared" ref="L1124" si="1270">IFERROR(L1085/L979,"-")</f>
        <v>2.7683207520826083</v>
      </c>
      <c r="N1124" s="1"/>
    </row>
    <row r="1125" spans="2:14" x14ac:dyDescent="0.35">
      <c r="B1125" s="5" t="str">
        <f t="shared" si="1249"/>
        <v>SPS1</v>
      </c>
      <c r="C1125" s="5" t="str">
        <f t="shared" si="1250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71">IFERROR(G1087/G991,"-")</f>
        <v>0.71458333333333279</v>
      </c>
      <c r="H1125" s="4">
        <f t="shared" si="1271"/>
        <v>0.50261318322596238</v>
      </c>
      <c r="I1125" s="4">
        <f t="shared" si="1271"/>
        <v>0.53996894934137185</v>
      </c>
      <c r="J1125" s="4">
        <f t="shared" si="1271"/>
        <v>0.55185404714094577</v>
      </c>
      <c r="K1125" s="4">
        <f t="shared" si="1271"/>
        <v>0.55992049978324598</v>
      </c>
      <c r="L1125" s="4">
        <f t="shared" ref="L1125" si="1272">IFERROR(L1087/L991,"-")</f>
        <v>0.58844247231109148</v>
      </c>
      <c r="N1125" s="1"/>
    </row>
    <row r="1126" spans="2:14" x14ac:dyDescent="0.35">
      <c r="B1126" s="5" t="str">
        <f t="shared" si="1249"/>
        <v>SPS1</v>
      </c>
      <c r="C1126" s="5" t="str">
        <f t="shared" si="1250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73">IFERROR(G1089/G1007,"-")</f>
        <v>0.754</v>
      </c>
      <c r="H1126" s="4">
        <f t="shared" si="1273"/>
        <v>0.52749652833694005</v>
      </c>
      <c r="I1126" s="4">
        <f t="shared" si="1273"/>
        <v>0.55134383753420202</v>
      </c>
      <c r="J1126" s="4">
        <f t="shared" si="1273"/>
        <v>0.55243791600803016</v>
      </c>
      <c r="K1126" s="4">
        <f t="shared" si="1273"/>
        <v>0.55237205024417924</v>
      </c>
      <c r="L1126" s="4">
        <f t="shared" ref="L1126" si="1274">IFERROR(L1089/L1007,"-")</f>
        <v>0.55193510350916908</v>
      </c>
      <c r="N1126" s="1"/>
    </row>
    <row r="1127" spans="2:14" x14ac:dyDescent="0.35">
      <c r="B1127" s="5" t="str">
        <f t="shared" si="1249"/>
        <v>SPS1</v>
      </c>
      <c r="C1127" s="5" t="str">
        <f t="shared" si="1250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5">IFERROR(G1090/G1008,"-")</f>
        <v>-</v>
      </c>
      <c r="H1127" s="4">
        <f t="shared" si="1275"/>
        <v>2.01807290632031</v>
      </c>
      <c r="I1127" s="4">
        <f t="shared" si="1275"/>
        <v>2.3052428016494804</v>
      </c>
      <c r="J1127" s="4">
        <f t="shared" si="1275"/>
        <v>2.4746007617706307</v>
      </c>
      <c r="K1127" s="4">
        <f t="shared" si="1275"/>
        <v>2.6528895577786131</v>
      </c>
      <c r="L1127" s="4">
        <f t="shared" ref="L1127" si="1276">IFERROR(L1090/L1008,"-")</f>
        <v>3.2189096784324462</v>
      </c>
      <c r="N1127" s="1"/>
    </row>
    <row r="1128" spans="2:14" x14ac:dyDescent="0.35">
      <c r="B1128" s="5" t="str">
        <f t="shared" si="1249"/>
        <v>SPS1</v>
      </c>
      <c r="C1128" s="5" t="str">
        <f t="shared" si="1250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9"/>
        <v>SPS1</v>
      </c>
      <c r="C1129" s="5" t="str">
        <f t="shared" si="1250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9"/>
        <v>SPS1</v>
      </c>
      <c r="C1130" s="5" t="str">
        <f t="shared" si="1250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9"/>
        <v>SPS1</v>
      </c>
      <c r="C1131" s="5" t="str">
        <f t="shared" si="1250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9"/>
        <v>SPS1</v>
      </c>
      <c r="C1132" s="5" t="str">
        <f t="shared" si="1250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77">IFERROR(G1100/G1024,"-")</f>
        <v>0.49999999999999972</v>
      </c>
      <c r="H1132" s="4">
        <f t="shared" si="1277"/>
        <v>0.4329642158784216</v>
      </c>
      <c r="I1132" s="4">
        <f t="shared" si="1277"/>
        <v>0.44495718908674675</v>
      </c>
      <c r="J1132" s="4">
        <f t="shared" si="1277"/>
        <v>0.45335681271924083</v>
      </c>
      <c r="K1132" s="4">
        <f t="shared" si="1277"/>
        <v>0.46327977868223785</v>
      </c>
      <c r="L1132" s="4">
        <f t="shared" ref="L1132" si="1278">IFERROR(L1100/L1024,"-")</f>
        <v>0.49532375061951733</v>
      </c>
      <c r="N1132" s="1"/>
    </row>
    <row r="1133" spans="2:14" x14ac:dyDescent="0.35">
      <c r="B1133" s="5" t="str">
        <f t="shared" si="1249"/>
        <v>SPS1</v>
      </c>
      <c r="C1133" s="5" t="str">
        <f t="shared" si="1250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79">IFERROR(G1102/G1029,"-")</f>
        <v>0.62499999999999978</v>
      </c>
      <c r="H1133" s="4">
        <f t="shared" si="1279"/>
        <v>0.44132025812096853</v>
      </c>
      <c r="I1133" s="4">
        <f t="shared" si="1279"/>
        <v>0.44489490325723069</v>
      </c>
      <c r="J1133" s="4">
        <f t="shared" si="1279"/>
        <v>0.45012008093707678</v>
      </c>
      <c r="K1133" s="4">
        <f t="shared" si="1279"/>
        <v>0.4601628403835526</v>
      </c>
      <c r="L1133" s="4">
        <f t="shared" ref="L1133" si="1280">IFERROR(L1102/L1029,"-")</f>
        <v>0.49709828977903431</v>
      </c>
      <c r="N1133" s="1"/>
    </row>
    <row r="1134" spans="2:14" x14ac:dyDescent="0.35">
      <c r="B1134" s="5" t="str">
        <f t="shared" si="1249"/>
        <v>SPS1</v>
      </c>
      <c r="C1134" s="5" t="str">
        <f t="shared" si="1250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9"/>
        <v>SPS1</v>
      </c>
      <c r="C1135" s="5" t="str">
        <f t="shared" si="1250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1">IFERROR(G1106/G1041,"-")</f>
        <v>-</v>
      </c>
      <c r="H1135" s="4" t="str">
        <f t="shared" si="1281"/>
        <v>-</v>
      </c>
      <c r="I1135" s="4" t="str">
        <f t="shared" si="1281"/>
        <v>-</v>
      </c>
      <c r="J1135" s="4" t="str">
        <f t="shared" si="1281"/>
        <v>-</v>
      </c>
      <c r="K1135" s="4" t="str">
        <f t="shared" si="1281"/>
        <v>-</v>
      </c>
      <c r="L1135" s="4" t="str">
        <f t="shared" ref="L1135" si="1282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3">F1137+F1152+F1157+F1180+F1203</f>
        <v>141.18542921400319</v>
      </c>
      <c r="G1136" s="3">
        <f t="shared" si="1283"/>
        <v>135.64945888743546</v>
      </c>
      <c r="H1136" s="3">
        <f t="shared" si="1283"/>
        <v>121.92214798980926</v>
      </c>
      <c r="I1136" s="3">
        <f t="shared" si="1283"/>
        <v>101.63670188429464</v>
      </c>
      <c r="J1136" s="3">
        <f t="shared" si="1283"/>
        <v>64.3417519919889</v>
      </c>
      <c r="K1136" s="3">
        <f t="shared" si="1283"/>
        <v>54.357141073321927</v>
      </c>
      <c r="L1136" s="3">
        <f t="shared" ref="L1136" si="1284">L1137+L1152+L1157+L1180+L1203</f>
        <v>38.775074665798812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85">SUM(G1138:G1151)</f>
        <v>1.7816624523083531</v>
      </c>
      <c r="H1137" s="1">
        <f t="shared" si="1285"/>
        <v>4.4196917102718807</v>
      </c>
      <c r="I1137" s="1">
        <f t="shared" si="1285"/>
        <v>10.613739580981326</v>
      </c>
      <c r="J1137" s="1">
        <f t="shared" si="1285"/>
        <v>29.720229316291242</v>
      </c>
      <c r="K1137" s="1">
        <f t="shared" si="1285"/>
        <v>36.187332934857523</v>
      </c>
      <c r="L1137" s="1">
        <f t="shared" ref="L1137" si="1286">SUM(L1138:L1151)</f>
        <v>38.774846979471825</v>
      </c>
      <c r="N1137" s="1"/>
    </row>
    <row r="1138" spans="2:14" x14ac:dyDescent="0.35">
      <c r="B1138" s="5" t="str">
        <f t="shared" ref="B1138:B1217" si="1287">B1137</f>
        <v>SPS1</v>
      </c>
      <c r="C1138" s="5" t="str">
        <f t="shared" ref="C1138:C1217" si="1288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N1138" s="1"/>
    </row>
    <row r="1139" spans="2:14" x14ac:dyDescent="0.35">
      <c r="B1139" s="5" t="str">
        <f t="shared" si="1287"/>
        <v>SPS1</v>
      </c>
      <c r="C1139" s="5" t="str">
        <f t="shared" si="1288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4.8242953892902321E-3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0.47899267212466501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1.1355301292710691</v>
      </c>
      <c r="N1139" s="1"/>
    </row>
    <row r="1140" spans="2:14" x14ac:dyDescent="0.35">
      <c r="B1140" s="5" t="str">
        <f t="shared" si="1287"/>
        <v>SPS1</v>
      </c>
      <c r="C1140" s="5" t="str">
        <f t="shared" si="1288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8.9409485276378451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10.761418804088194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10.509681961257714</v>
      </c>
      <c r="N1140" s="1"/>
    </row>
    <row r="1141" spans="2:14" x14ac:dyDescent="0.35">
      <c r="B1141" s="5" t="str">
        <f t="shared" si="1287"/>
        <v>SPS1</v>
      </c>
      <c r="C1141" s="5" t="str">
        <f t="shared" si="1288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10.369244112830968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12.129027795869716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10.880788246823123</v>
      </c>
      <c r="N1141" s="1"/>
    </row>
    <row r="1142" spans="2:14" x14ac:dyDescent="0.35">
      <c r="B1142" s="5" t="str">
        <f t="shared" si="1287"/>
        <v>SPS1</v>
      </c>
      <c r="C1142" s="5" t="str">
        <f t="shared" si="1288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9.3937576403489906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12.025361310737834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15.39141820660957</v>
      </c>
      <c r="N1142" s="1"/>
    </row>
    <row r="1143" spans="2:14" x14ac:dyDescent="0.35">
      <c r="B1143" s="5" t="str">
        <f t="shared" si="1287"/>
        <v>SPS1</v>
      </c>
      <c r="C1143" s="5" t="str">
        <f t="shared" si="1288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3.5608681321911849E-4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3.4403040116076135E-4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0</v>
      </c>
      <c r="N1143" s="1"/>
    </row>
    <row r="1144" spans="2:14" x14ac:dyDescent="0.35">
      <c r="B1144" s="5" t="str">
        <f t="shared" si="1287"/>
        <v>SPS1</v>
      </c>
      <c r="C1144" s="5" t="str">
        <f t="shared" si="1288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3.189376412889763E-3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1.3914529554259418E-3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0</v>
      </c>
      <c r="N1144" s="1"/>
    </row>
    <row r="1145" spans="2:14" x14ac:dyDescent="0.35">
      <c r="B1145" s="5" t="str">
        <f t="shared" si="1287"/>
        <v>SPS1</v>
      </c>
      <c r="C1145" s="5" t="str">
        <f t="shared" si="1288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0.12975542312276669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1.7412720226708197E-2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</v>
      </c>
      <c r="N1145" s="1"/>
    </row>
    <row r="1146" spans="2:14" x14ac:dyDescent="0.35">
      <c r="B1146" s="5" t="str">
        <f t="shared" si="1287"/>
        <v>SPS1</v>
      </c>
      <c r="C1146" s="5" t="str">
        <f t="shared" si="1288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6.6759484689290416E-3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1.3046112110385165E-3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0</v>
      </c>
      <c r="N1146" s="1"/>
    </row>
    <row r="1147" spans="2:14" x14ac:dyDescent="0.35">
      <c r="B1147" s="5" t="str">
        <f t="shared" ref="B1147:B1151" si="1289">B1146</f>
        <v>SPS1</v>
      </c>
      <c r="C1147" s="5" t="str">
        <f t="shared" ref="C1147:C1151" si="1290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3.7636497345967904E-4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3.6984030614789016E-4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0</v>
      </c>
      <c r="N1147" s="1"/>
    </row>
    <row r="1148" spans="2:14" x14ac:dyDescent="0.35">
      <c r="B1148" s="5" t="str">
        <f t="shared" si="1289"/>
        <v>SPS1</v>
      </c>
      <c r="C1148" s="5" t="str">
        <f t="shared" si="1290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2.3253360135796646E-3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2.0934891169701337E-3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0</v>
      </c>
      <c r="N1148" s="1"/>
    </row>
    <row r="1149" spans="2:14" x14ac:dyDescent="0.35">
      <c r="B1149" s="5" t="str">
        <f t="shared" si="1289"/>
        <v>SPS1</v>
      </c>
      <c r="C1149" s="5" t="str">
        <f t="shared" si="1290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0.77052868425991738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0.40977995944382983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0</v>
      </c>
      <c r="N1149" s="1"/>
    </row>
    <row r="1150" spans="2:14" x14ac:dyDescent="0.35">
      <c r="B1150" s="5" t="str">
        <f t="shared" si="1289"/>
        <v>SPS1</v>
      </c>
      <c r="C1150" s="5" t="str">
        <f t="shared" si="1290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2.7880210184305651E-3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1.5925738794131661E-3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</v>
      </c>
      <c r="N1150" s="1"/>
    </row>
    <row r="1151" spans="2:14" x14ac:dyDescent="0.35">
      <c r="B1151" s="5" t="str">
        <f t="shared" si="1289"/>
        <v>SPS1</v>
      </c>
      <c r="C1151" s="5" t="str">
        <f t="shared" si="1290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[1]Transport!F$32</f>
        <v>9.5459499000953033E-2</v>
      </c>
      <c r="K1151" s="1">
        <f>[1]Transport!G$32</f>
        <v>0.35824367449641348</v>
      </c>
      <c r="L1151" s="1">
        <f>[1]Transport!H$32</f>
        <v>0.85742843551034753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291">SUM(G1153:G1156)</f>
        <v>2.084786597883327E-3</v>
      </c>
      <c r="H1152" s="1">
        <f t="shared" si="1291"/>
        <v>2.0697649180767431E-3</v>
      </c>
      <c r="I1152" s="1">
        <f t="shared" si="1291"/>
        <v>0</v>
      </c>
      <c r="J1152" s="1">
        <f t="shared" si="1291"/>
        <v>0</v>
      </c>
      <c r="K1152" s="1">
        <f t="shared" si="1291"/>
        <v>4.3250463966633539E-5</v>
      </c>
      <c r="L1152" s="1">
        <f t="shared" ref="L1152" si="1292">SUM(L1153:L1156)</f>
        <v>4.2808035949593983E-5</v>
      </c>
      <c r="N1152" s="1"/>
    </row>
    <row r="1153" spans="2:14" x14ac:dyDescent="0.35">
      <c r="B1153" s="5" t="str">
        <f t="shared" si="1287"/>
        <v>SPS1</v>
      </c>
      <c r="C1153" s="5" t="str">
        <f t="shared" si="1288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0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8.0226128644511646E-6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5.6020825898551132E-6</v>
      </c>
      <c r="N1153" s="1"/>
    </row>
    <row r="1154" spans="2:14" x14ac:dyDescent="0.35">
      <c r="B1154" s="5" t="str">
        <f t="shared" si="1287"/>
        <v>SPS1</v>
      </c>
      <c r="C1154" s="5" t="str">
        <f t="shared" si="1288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0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1.1643651734116511E-5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1.1575853497444842E-5</v>
      </c>
      <c r="N1154" s="1"/>
    </row>
    <row r="1155" spans="2:14" x14ac:dyDescent="0.35">
      <c r="B1155" s="5" t="str">
        <f t="shared" si="1287"/>
        <v>SPS1</v>
      </c>
      <c r="C1155" s="5" t="str">
        <f t="shared" si="1288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0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1.2305959383607144E-5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1.3720299766354855E-5</v>
      </c>
      <c r="N1155" s="1"/>
    </row>
    <row r="1156" spans="2:14" x14ac:dyDescent="0.35">
      <c r="B1156" s="5" t="str">
        <f t="shared" si="1287"/>
        <v>SPS1</v>
      </c>
      <c r="C1156" s="5" t="str">
        <f t="shared" si="1288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0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1.1278239984458722E-5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1.1909800095939174E-5</v>
      </c>
      <c r="N1156" s="1"/>
    </row>
    <row r="1157" spans="2:14" x14ac:dyDescent="0.35">
      <c r="B1157" s="5" t="str">
        <f t="shared" si="1287"/>
        <v>SPS1</v>
      </c>
      <c r="C1157" s="5" t="str">
        <f t="shared" si="1288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293">SUM(G1162:G1179)</f>
        <v>75.416834962720941</v>
      </c>
      <c r="H1157" s="1">
        <f t="shared" si="1293"/>
        <v>71.174426700801234</v>
      </c>
      <c r="I1157" s="1">
        <f t="shared" si="1293"/>
        <v>58.111806157882086</v>
      </c>
      <c r="J1157" s="1">
        <f t="shared" si="1293"/>
        <v>26.77946908830101</v>
      </c>
      <c r="K1157" s="1">
        <f t="shared" si="1293"/>
        <v>14.779956277287836</v>
      </c>
      <c r="L1157" s="1">
        <f t="shared" ref="L1157" si="1294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288"/>
        <v>CH</v>
      </c>
      <c r="D1158" t="s">
        <v>1258</v>
      </c>
      <c r="E1158" t="str">
        <f>E1157</f>
        <v>PJ/yr.</v>
      </c>
      <c r="F1158" s="1">
        <f t="shared" ref="F1158:J1158" si="1295">IF(F1157-F1159&lt;0,0,F1157-F1159)</f>
        <v>72.210676560264602</v>
      </c>
      <c r="G1158" s="1">
        <f t="shared" si="1295"/>
        <v>71.288506733575403</v>
      </c>
      <c r="H1158" s="1">
        <f t="shared" si="1295"/>
        <v>66.445250104571244</v>
      </c>
      <c r="I1158" s="1">
        <f t="shared" si="1295"/>
        <v>54.93063948396415</v>
      </c>
      <c r="J1158" s="1">
        <f t="shared" si="1295"/>
        <v>24.666236150523879</v>
      </c>
      <c r="K1158" s="1">
        <f>IF(K1157-K1159&lt;0,0,K1157-K1159)</f>
        <v>10.641294127941077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296">B1158</f>
        <v>SPS1</v>
      </c>
      <c r="C1159" s="5" t="str">
        <f t="shared" si="1288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297">SUM(G1160:G1161)</f>
        <v>4.1283282291455414</v>
      </c>
      <c r="H1159" s="1">
        <f t="shared" ref="H1159" si="1298">SUM(H1160:H1161)</f>
        <v>4.7291765962299932</v>
      </c>
      <c r="I1159" s="1">
        <f t="shared" ref="I1159" si="1299">SUM(I1160:I1161)</f>
        <v>3.1811666739179385</v>
      </c>
      <c r="J1159" s="1">
        <f t="shared" ref="J1159" si="1300">SUM(J1160:J1161)</f>
        <v>2.1132329377771311</v>
      </c>
      <c r="K1159" s="1">
        <f t="shared" ref="K1159" si="1301">SUM(K1160:K1161)</f>
        <v>4.1386621493467599</v>
      </c>
      <c r="L1159" s="1">
        <f>IFERROR(SUM(L1160:L1161),0)</f>
        <v>0</v>
      </c>
      <c r="N1159" s="1"/>
    </row>
    <row r="1160" spans="2:14" x14ac:dyDescent="0.35">
      <c r="B1160" s="5" t="str">
        <f t="shared" si="1296"/>
        <v>SPS1</v>
      </c>
      <c r="C1160" s="5" t="str">
        <f t="shared" si="1288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[1]Transport!F$25/SUM([1]Transport!F$21,[1]Transport!F$25)*J1157*(J$35+J$600)/(J$35+J$600+J$39)</f>
        <v>2.1132329377771311</v>
      </c>
      <c r="K1160" s="1">
        <f>[1]Transport!G$25/SUM([1]Transport!G$21,[1]Transport!G$25)*K1157*(K$35+K$600)/(K$35+K$600+K$39)</f>
        <v>4.1386621493467599</v>
      </c>
      <c r="L1160" s="1">
        <f>IFERROR([1]Transport!H$25/SUM([1]Transport!H$21,[1]Transport!H$25)*L1157*(L$35+L$600)/(L$35+L$600+L$39),0)</f>
        <v>0</v>
      </c>
      <c r="N1160" s="1"/>
    </row>
    <row r="1161" spans="2:14" x14ac:dyDescent="0.35">
      <c r="B1161" s="5" t="str">
        <f t="shared" si="1296"/>
        <v>SPS1</v>
      </c>
      <c r="C1161" s="5" t="str">
        <f t="shared" si="1288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IFERROR((L$39+L$719)/([1]Transport!H$21+[1]Transport!H$25)*L1157,0)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N1162" s="1"/>
    </row>
    <row r="1163" spans="2:14" x14ac:dyDescent="0.35">
      <c r="B1163" s="5" t="str">
        <f t="shared" si="1287"/>
        <v>SPS1</v>
      </c>
      <c r="C1163" s="5" t="str">
        <f t="shared" si="1288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1.2508650286207927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0.76692846768534351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N1163" s="1"/>
    </row>
    <row r="1164" spans="2:14" x14ac:dyDescent="0.35">
      <c r="B1164" s="5" t="str">
        <f t="shared" si="1287"/>
        <v>SPS1</v>
      </c>
      <c r="C1164" s="5" t="str">
        <f t="shared" si="1288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0.90381260722292511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0.23045500605080865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N1164" s="1"/>
    </row>
    <row r="1165" spans="2:14" x14ac:dyDescent="0.35">
      <c r="B1165" s="5" t="str">
        <f t="shared" si="1287"/>
        <v>SPS1</v>
      </c>
      <c r="C1165" s="5" t="str">
        <f t="shared" si="1288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0.18246858216999517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1.3300376533076658E-3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N1165" s="1"/>
    </row>
    <row r="1166" spans="2:14" x14ac:dyDescent="0.35">
      <c r="B1166" s="5" t="str">
        <f t="shared" si="1287"/>
        <v>SPS1</v>
      </c>
      <c r="C1166" s="5" t="str">
        <f t="shared" si="1288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1.8166846678556999E-2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1.4403704333232855E-3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N1166" s="1"/>
    </row>
    <row r="1167" spans="2:14" x14ac:dyDescent="0.35">
      <c r="B1167" s="5" t="str">
        <f t="shared" si="1287"/>
        <v>SPS1</v>
      </c>
      <c r="C1167" s="5" t="str">
        <f t="shared" si="1288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N1167" s="1"/>
    </row>
    <row r="1168" spans="2:14" x14ac:dyDescent="0.35">
      <c r="B1168" s="5" t="str">
        <f t="shared" si="1287"/>
        <v>SPS1</v>
      </c>
      <c r="C1168" s="5" t="str">
        <f t="shared" si="1288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0.55058705336265124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7.5083451876476137E-2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N1168" s="1"/>
    </row>
    <row r="1169" spans="2:18" x14ac:dyDescent="0.35">
      <c r="B1169" s="5" t="str">
        <f t="shared" si="1287"/>
        <v>SPS1</v>
      </c>
      <c r="C1169" s="5" t="str">
        <f t="shared" si="1288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0.1772404939010907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8.6453673311116461E-3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N1169" s="1"/>
    </row>
    <row r="1170" spans="2:18" x14ac:dyDescent="0.35">
      <c r="B1170" s="5" t="str">
        <f t="shared" si="1287"/>
        <v>SPS1</v>
      </c>
      <c r="C1170" s="5" t="str">
        <f t="shared" si="1288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1.6816200415187954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0.13245951528555222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N1170" s="1"/>
    </row>
    <row r="1171" spans="2:18" x14ac:dyDescent="0.35">
      <c r="B1171" s="5" t="str">
        <f t="shared" si="1287"/>
        <v>SPS1</v>
      </c>
      <c r="C1171" s="5" t="str">
        <f t="shared" si="1288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21.372010623602591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13.498790036058901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N1171" s="1"/>
    </row>
    <row r="1172" spans="2:18" x14ac:dyDescent="0.35">
      <c r="B1172" s="5" t="str">
        <f t="shared" si="1287"/>
        <v>SPS1</v>
      </c>
      <c r="C1172" s="5" t="str">
        <f t="shared" si="1288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2.9496366515358971E-3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1.1000246763825908E-3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N1172" s="1"/>
    </row>
    <row r="1173" spans="2:18" x14ac:dyDescent="0.35">
      <c r="B1173" s="5" t="str">
        <f t="shared" si="1287"/>
        <v>SPS1</v>
      </c>
      <c r="C1173" s="5" t="str">
        <f t="shared" si="1288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3.1071424203858691E-3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1.1429350404217353E-3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N1173" s="1"/>
    </row>
    <row r="1174" spans="2:18" x14ac:dyDescent="0.35">
      <c r="B1174" s="5" t="str">
        <f t="shared" si="1287"/>
        <v>SPS1</v>
      </c>
      <c r="C1174" s="5" t="str">
        <f t="shared" si="1288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3.7352115366631757E-3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1.3216728967537844E-3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N1174" s="1"/>
    </row>
    <row r="1175" spans="2:18" x14ac:dyDescent="0.35">
      <c r="B1175" s="5" t="str">
        <f t="shared" si="1287"/>
        <v>SPS1</v>
      </c>
      <c r="C1175" s="5" t="str">
        <f t="shared" si="1288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5.4497038489057584E-3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2.1337889952267402E-3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N1175" s="1"/>
    </row>
    <row r="1176" spans="2:18" x14ac:dyDescent="0.35">
      <c r="B1176" s="5" t="str">
        <f t="shared" si="1287"/>
        <v>SPS1</v>
      </c>
      <c r="C1176" s="5" t="str">
        <f t="shared" si="1288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2.6350513051134651E-3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1.6261251371132734E-3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0</v>
      </c>
      <c r="N1176" s="1"/>
    </row>
    <row r="1177" spans="2:18" x14ac:dyDescent="0.35">
      <c r="B1177" s="5" t="str">
        <f t="shared" si="1287"/>
        <v>SPS1</v>
      </c>
      <c r="C1177" s="5" t="str">
        <f t="shared" si="1288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1.9200110949141154E-2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5.5526517454544374E-3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0</v>
      </c>
      <c r="N1177" s="1"/>
    </row>
    <row r="1178" spans="2:18" x14ac:dyDescent="0.35">
      <c r="B1178" s="5" t="str">
        <f t="shared" si="1287"/>
        <v>SPS1</v>
      </c>
      <c r="C1178" s="5" t="str">
        <f t="shared" si="1288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0.57311450723082324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4.7764171910292252E-2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</v>
      </c>
      <c r="N1178" s="1"/>
    </row>
    <row r="1179" spans="2:18" x14ac:dyDescent="0.35">
      <c r="B1179" s="5" t="str">
        <f t="shared" si="1287"/>
        <v>SPS1</v>
      </c>
      <c r="C1179" s="5" t="str">
        <f t="shared" si="1288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3.2506447281039415E-2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4.182654511365601E-3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0</v>
      </c>
      <c r="N1179" s="1"/>
    </row>
    <row r="1180" spans="2:18" x14ac:dyDescent="0.35">
      <c r="B1180" s="5" t="str">
        <f t="shared" si="1287"/>
        <v>SPS1</v>
      </c>
      <c r="C1180" s="5" t="str">
        <f t="shared" si="1288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02">SUM(G1185:G1202)</f>
        <v>58.378358000258949</v>
      </c>
      <c r="H1180" s="1">
        <f t="shared" si="1302"/>
        <v>46.231681586929085</v>
      </c>
      <c r="I1180" s="1">
        <f t="shared" si="1302"/>
        <v>32.909896195746612</v>
      </c>
      <c r="J1180" s="1">
        <f t="shared" si="1302"/>
        <v>7.8409459398531487</v>
      </c>
      <c r="K1180" s="1">
        <f t="shared" si="1302"/>
        <v>3.3890959313875366</v>
      </c>
      <c r="L1180" s="1">
        <f t="shared" ref="L1180" si="1303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04">IF(G1180-G1182&lt;0,0,G1180-G1182)</f>
        <v>56.856977021932373</v>
      </c>
      <c r="H1181" s="1">
        <f t="shared" si="1304"/>
        <v>44.776311733881165</v>
      </c>
      <c r="I1181" s="1">
        <f t="shared" si="1304"/>
        <v>31.622856484505597</v>
      </c>
      <c r="J1181" s="1">
        <f t="shared" si="1304"/>
        <v>7.4907590852424413</v>
      </c>
      <c r="K1181" s="1">
        <f t="shared" si="1304"/>
        <v>3.2747757513534479</v>
      </c>
      <c r="L1181" s="1">
        <f t="shared" si="1304"/>
        <v>0</v>
      </c>
      <c r="N1181" s="1"/>
    </row>
    <row r="1182" spans="2:18" x14ac:dyDescent="0.35">
      <c r="B1182" s="5" t="str">
        <f t="shared" ref="B1182:B1184" si="1305">B1181</f>
        <v>SPS1</v>
      </c>
      <c r="C1182" s="5" t="str">
        <f t="shared" ref="C1182:C1184" si="1306">C1181</f>
        <v>CH</v>
      </c>
      <c r="D1182" t="s">
        <v>1282</v>
      </c>
      <c r="E1182" t="str">
        <f t="shared" ref="E1182:E1184" si="1307">E1181</f>
        <v>PJ/yr.</v>
      </c>
      <c r="F1182" s="1">
        <f>SUM(F1183:F1184)</f>
        <v>1.5414193611789275</v>
      </c>
      <c r="G1182" s="1">
        <f t="shared" ref="G1182" si="1308">SUM(G1183:G1184)</f>
        <v>1.5213809783265775</v>
      </c>
      <c r="H1182" s="1">
        <f t="shared" ref="H1182" si="1309">SUM(H1183:H1184)</f>
        <v>1.4553698530479189</v>
      </c>
      <c r="I1182" s="1">
        <f t="shared" ref="I1182" si="1310">SUM(I1183:I1184)</f>
        <v>1.2870397112410159</v>
      </c>
      <c r="J1182" s="1">
        <f t="shared" ref="J1182" si="1311">SUM(J1183:J1184)</f>
        <v>0.35018685461070703</v>
      </c>
      <c r="K1182" s="1">
        <f t="shared" ref="K1182:L1182" si="1312">SUM(K1183:K1184)</f>
        <v>0.11432018003408885</v>
      </c>
      <c r="L1182" s="1">
        <f t="shared" si="1312"/>
        <v>0</v>
      </c>
      <c r="N1182" s="1"/>
    </row>
    <row r="1183" spans="2:18" x14ac:dyDescent="0.35">
      <c r="B1183" s="5" t="str">
        <f t="shared" si="1305"/>
        <v>SPS1</v>
      </c>
      <c r="C1183" s="5" t="str">
        <f t="shared" si="1306"/>
        <v>CH</v>
      </c>
      <c r="D1183" t="s">
        <v>1283</v>
      </c>
      <c r="E1183" t="str">
        <f t="shared" si="1307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[1]Transport!F$26/SUM([1]Transport!F$22,[1]Transport!F$26)*J1180*(J$34+J$582)/(J$34+J$582+J$38)</f>
        <v>0.35018685461070703</v>
      </c>
      <c r="K1183" s="1">
        <f>[1]Transport!G$26/SUM([1]Transport!G$22,[1]Transport!G$26)*K1180*(K$34+K$582)/(K$34+K$582+K$38)</f>
        <v>0.11432018003408885</v>
      </c>
      <c r="L1183" s="1">
        <f>[1]Transport!H$26/SUM([1]Transport!H$22,[1]Transport!H$26)*L1180*(L$34+L$582)/(L$34+L$582+L$38)</f>
        <v>0</v>
      </c>
      <c r="N1183" s="1"/>
    </row>
    <row r="1184" spans="2:18" x14ac:dyDescent="0.35">
      <c r="B1184" s="5" t="str">
        <f t="shared" si="1305"/>
        <v>SPS1</v>
      </c>
      <c r="C1184" s="5" t="str">
        <f t="shared" si="1306"/>
        <v>CH</v>
      </c>
      <c r="D1184" t="s">
        <v>1284</v>
      </c>
      <c r="E1184" t="str">
        <f t="shared" si="1307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N1185" s="1"/>
    </row>
    <row r="1186" spans="2:18" x14ac:dyDescent="0.35">
      <c r="B1186" s="5" t="str">
        <f t="shared" si="1287"/>
        <v>SPS1</v>
      </c>
      <c r="C1186" s="5" t="str">
        <f t="shared" si="1288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0.88432325252476962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0.72968284113444393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N1186" s="1"/>
      <c r="R1186" s="1"/>
    </row>
    <row r="1187" spans="2:18" x14ac:dyDescent="0.35">
      <c r="B1187" s="5" t="str">
        <f t="shared" si="1287"/>
        <v>SPS1</v>
      </c>
      <c r="C1187" s="5" t="str">
        <f t="shared" si="1288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3.2857442873157479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1.5177665817605606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N1187" s="1"/>
    </row>
    <row r="1188" spans="2:18" x14ac:dyDescent="0.35">
      <c r="B1188" s="5" t="str">
        <f t="shared" si="1287"/>
        <v>SPS1</v>
      </c>
      <c r="C1188" s="5" t="str">
        <f t="shared" si="1288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8.5346374107916293E-3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1.3704989078429089E-3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N1188" s="1"/>
    </row>
    <row r="1189" spans="2:18" x14ac:dyDescent="0.35">
      <c r="B1189" s="5" t="str">
        <f t="shared" si="1287"/>
        <v>SPS1</v>
      </c>
      <c r="C1189" s="5" t="str">
        <f t="shared" si="1288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1.4915202634472057E-2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1.4666144354375263E-3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N1189" s="1"/>
    </row>
    <row r="1190" spans="2:18" x14ac:dyDescent="0.35">
      <c r="B1190" s="5" t="str">
        <f t="shared" si="1287"/>
        <v>SPS1</v>
      </c>
      <c r="C1190" s="5" t="str">
        <f t="shared" si="1288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N1190" s="1"/>
    </row>
    <row r="1191" spans="2:18" x14ac:dyDescent="0.35">
      <c r="B1191" s="5" t="str">
        <f t="shared" si="1287"/>
        <v>SPS1</v>
      </c>
      <c r="C1191" s="5" t="str">
        <f t="shared" si="1288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3.0564204258059758E-3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1.207895045806856E-3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N1191" s="1"/>
    </row>
    <row r="1192" spans="2:18" x14ac:dyDescent="0.35">
      <c r="B1192" s="5" t="str">
        <f t="shared" si="1287"/>
        <v>SPS1</v>
      </c>
      <c r="C1192" s="5" t="str">
        <f t="shared" si="1288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2.4318595544721634E-2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1.7742467880134342E-3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N1192" s="1"/>
    </row>
    <row r="1193" spans="2:18" x14ac:dyDescent="0.35">
      <c r="B1193" s="5" t="str">
        <f t="shared" si="1287"/>
        <v>SPS1</v>
      </c>
      <c r="C1193" s="5" t="str">
        <f t="shared" si="1288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0.14141981478682544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1.7254236311992045E-3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N1193" s="1"/>
    </row>
    <row r="1194" spans="2:18" x14ac:dyDescent="0.35">
      <c r="B1194" s="5" t="str">
        <f t="shared" si="1287"/>
        <v>SPS1</v>
      </c>
      <c r="C1194" s="5" t="str">
        <f t="shared" si="1288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7.9614744097023862E-2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9.4977088442002599E-4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N1194" s="1"/>
    </row>
    <row r="1195" spans="2:18" x14ac:dyDescent="0.35">
      <c r="B1195" s="5" t="str">
        <f t="shared" si="1287"/>
        <v>SPS1</v>
      </c>
      <c r="C1195" s="5" t="str">
        <f t="shared" si="1288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2.281108416374673E-3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8.4447756182493981E-4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N1195" s="1"/>
    </row>
    <row r="1196" spans="2:18" x14ac:dyDescent="0.35">
      <c r="B1196" s="5" t="str">
        <f t="shared" si="1287"/>
        <v>SPS1</v>
      </c>
      <c r="C1196" s="5" t="str">
        <f t="shared" si="1288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2.947906939459437E-3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1.1725176931262936E-3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N1196" s="1"/>
    </row>
    <row r="1197" spans="2:18" x14ac:dyDescent="0.35">
      <c r="B1197" s="5" t="str">
        <f t="shared" si="1287"/>
        <v>SPS1</v>
      </c>
      <c r="C1197" s="5" t="str">
        <f t="shared" si="1288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3.3735933225124345E-3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1.2684597385910002E-3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N1197" s="1"/>
    </row>
    <row r="1198" spans="2:18" x14ac:dyDescent="0.35">
      <c r="B1198" s="5" t="str">
        <f t="shared" si="1287"/>
        <v>SPS1</v>
      </c>
      <c r="C1198" s="5" t="str">
        <f t="shared" si="1288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1.4127677463345362E-3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4.5093540850498539E-4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N1198" s="1"/>
    </row>
    <row r="1199" spans="2:18" x14ac:dyDescent="0.35">
      <c r="B1199" s="5" t="str">
        <f t="shared" si="1287"/>
        <v>SPS1</v>
      </c>
      <c r="C1199" s="5" t="str">
        <f t="shared" si="1288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2.7282284749612644E-3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1.7239818532627377E-3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0</v>
      </c>
      <c r="N1199" s="1"/>
    </row>
    <row r="1200" spans="2:18" x14ac:dyDescent="0.35">
      <c r="B1200" s="5" t="str">
        <f t="shared" si="1287"/>
        <v>SPS1</v>
      </c>
      <c r="C1200" s="5" t="str">
        <f t="shared" si="1288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1.3792418232636602E-2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9.1085719276736803E-3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0</v>
      </c>
      <c r="N1200" s="1"/>
    </row>
    <row r="1201" spans="2:14" x14ac:dyDescent="0.35">
      <c r="B1201" s="5" t="str">
        <f t="shared" si="1287"/>
        <v>SPS1</v>
      </c>
      <c r="C1201" s="5" t="str">
        <f t="shared" si="1288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3.3590977289644695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1.1133641384865576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0</v>
      </c>
      <c r="N1201" s="1"/>
    </row>
    <row r="1202" spans="2:14" x14ac:dyDescent="0.35">
      <c r="B1202" s="5" t="str">
        <f t="shared" si="1287"/>
        <v>SPS1</v>
      </c>
      <c r="C1202" s="5" t="str">
        <f t="shared" si="1288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1.3385233016240962E-2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5.2189761302718508E-3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0</v>
      </c>
      <c r="N1202" s="1"/>
    </row>
    <row r="1203" spans="2:14" x14ac:dyDescent="0.35">
      <c r="B1203" s="5" t="str">
        <f t="shared" si="1287"/>
        <v>SPS1</v>
      </c>
      <c r="C1203" s="5" t="str">
        <f t="shared" si="1288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13">SUM(G1208:G1212)</f>
        <v>7.0518685549337407E-2</v>
      </c>
      <c r="H1203" s="1">
        <f t="shared" si="1313"/>
        <v>9.427822688898338E-2</v>
      </c>
      <c r="I1203" s="1">
        <f t="shared" si="1313"/>
        <v>1.2599496846059347E-3</v>
      </c>
      <c r="J1203" s="1">
        <f t="shared" si="1313"/>
        <v>1.1076475435013748E-3</v>
      </c>
      <c r="K1203" s="1">
        <f t="shared" si="1313"/>
        <v>7.1267932506010993E-4</v>
      </c>
      <c r="L1203" s="1">
        <f t="shared" ref="L1203" si="1314">SUM(L1208:L1212)</f>
        <v>1.8487829103448693E-4</v>
      </c>
      <c r="N1203" s="1"/>
    </row>
    <row r="1204" spans="2:14" x14ac:dyDescent="0.35">
      <c r="B1204" s="5" t="str">
        <f t="shared" si="1287"/>
        <v>SPS1</v>
      </c>
      <c r="C1204" s="5" t="str">
        <f t="shared" si="1288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15">IF(G1203-G1205&lt;0,0,G1203-G1205)</f>
        <v>6.3624745543905667E-2</v>
      </c>
      <c r="H1204" s="1">
        <f t="shared" si="1315"/>
        <v>8.5359488408772818E-2</v>
      </c>
      <c r="I1204" s="1">
        <f t="shared" si="1315"/>
        <v>1.0514738859614394E-3</v>
      </c>
      <c r="J1204" s="1">
        <f t="shared" si="1315"/>
        <v>0</v>
      </c>
      <c r="K1204" s="1">
        <f t="shared" si="1315"/>
        <v>6.8020002184787946E-4</v>
      </c>
      <c r="L1204" s="1">
        <f t="shared" si="1315"/>
        <v>1.6350897083364902E-4</v>
      </c>
      <c r="N1204" s="1"/>
    </row>
    <row r="1205" spans="2:14" x14ac:dyDescent="0.35">
      <c r="B1205" s="5" t="str">
        <f t="shared" si="1287"/>
        <v>SPS1</v>
      </c>
      <c r="C1205" s="5" t="str">
        <f t="shared" si="1288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16">SUM(G1206:G1207)</f>
        <v>6.8939400054317344E-3</v>
      </c>
      <c r="H1205" s="1">
        <f t="shared" ref="H1205" si="1317">SUM(H1206:H1207)</f>
        <v>8.918738480210563E-3</v>
      </c>
      <c r="I1205" s="1">
        <f t="shared" ref="I1205" si="1318">SUM(I1206:I1207)</f>
        <v>2.0847579864449528E-4</v>
      </c>
      <c r="J1205" s="1">
        <f t="shared" ref="J1205" si="1319">SUM(J1206:J1207)</f>
        <v>0.38719282410753486</v>
      </c>
      <c r="K1205" s="1">
        <f t="shared" ref="K1205:L1205" si="1320">SUM(K1206:K1207)</f>
        <v>3.2479303212230469E-5</v>
      </c>
      <c r="L1205" s="1">
        <f t="shared" si="1320"/>
        <v>2.1369320200837912E-5</v>
      </c>
      <c r="N1205" s="1"/>
    </row>
    <row r="1206" spans="2:14" x14ac:dyDescent="0.35">
      <c r="B1206" s="5" t="str">
        <f t="shared" si="1287"/>
        <v>SPS1</v>
      </c>
      <c r="C1206" s="5" t="str">
        <f t="shared" si="1288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[1]Transport!F$27/SUM([1]Transport!F$24,[1]Transport!F$27)*J1203*(J$47+J$614)/(J$47+J$614+J$49)</f>
        <v>2.3130179775826499E-4</v>
      </c>
      <c r="K1206" s="1">
        <f>[1]Transport!G$27/SUM([1]Transport!G$24,[1]Transport!G$27)*K1203*(K$47+K$614)/(K$47+K$614+K$49)</f>
        <v>3.2479303212230469E-5</v>
      </c>
      <c r="L1206" s="1">
        <f>[1]Transport!H$27/SUM([1]Transport!H$24,[1]Transport!H$27)*L1203*(L$47+L$614)/(L$47+L$614+L$49)</f>
        <v>2.1369320200837912E-5</v>
      </c>
      <c r="N1206" s="1"/>
    </row>
    <row r="1207" spans="2:14" x14ac:dyDescent="0.35">
      <c r="B1207" s="5" t="str">
        <f t="shared" si="1287"/>
        <v>SPS1</v>
      </c>
      <c r="C1207" s="5" t="str">
        <f t="shared" si="1288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(J$49+J$716)/([1]Transport!F$24+[1]Transport!F$27)*J1203</f>
        <v>0.3869615223097766</v>
      </c>
      <c r="K1207" s="1">
        <f>(K$49+K$716)/([1]Transport!G$24+[1]Transport!G$27)*K1203</f>
        <v>0</v>
      </c>
      <c r="L1207" s="1">
        <f>(L$49+L$716)/([1]Transport!H$24+[1]Transport!H$27)*L1203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N1208" s="1"/>
    </row>
    <row r="1209" spans="2:14" x14ac:dyDescent="0.35">
      <c r="B1209" s="5" t="str">
        <f t="shared" si="1287"/>
        <v>SPS1</v>
      </c>
      <c r="C1209" s="5" t="str">
        <f t="shared" si="1288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1.3159663317700122E-4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7.1828284685852262E-5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1.8404588417577933E-5</v>
      </c>
      <c r="N1209" s="1"/>
    </row>
    <row r="1210" spans="2:14" x14ac:dyDescent="0.35">
      <c r="B1210" s="5" t="str">
        <f t="shared" si="1287"/>
        <v>SPS1</v>
      </c>
      <c r="C1210" s="5" t="str">
        <f t="shared" si="1288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2.7374575732121555E-4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1.7795015891568914E-4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4.5810139558222343E-5</v>
      </c>
      <c r="N1210" s="1"/>
    </row>
    <row r="1211" spans="2:14" x14ac:dyDescent="0.35">
      <c r="B1211" s="5" t="str">
        <f t="shared" si="1287"/>
        <v>SPS1</v>
      </c>
      <c r="C1211" s="5" t="str">
        <f t="shared" si="1288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4.0096304651443971E-4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2.4921770771522722E-4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6.5104161947117546E-5</v>
      </c>
      <c r="N1211" s="1"/>
    </row>
    <row r="1212" spans="2:14" x14ac:dyDescent="0.35">
      <c r="B1212" s="5" t="str">
        <f t="shared" si="1287"/>
        <v>SPS1</v>
      </c>
      <c r="C1212" s="5" t="str">
        <f t="shared" si="1288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3.0134210648871836E-4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2.1368317374334135E-4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5.5559401111569118E-5</v>
      </c>
      <c r="N1212" s="1"/>
    </row>
    <row r="1213" spans="2:14" x14ac:dyDescent="0.35">
      <c r="B1213" s="5" t="str">
        <f t="shared" si="1287"/>
        <v>SPS1</v>
      </c>
      <c r="C1213" s="5" t="str">
        <f t="shared" si="1288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21">SUM(G1214:G1263)</f>
        <v>55.671233697921771</v>
      </c>
      <c r="H1213" s="3">
        <f t="shared" si="1321"/>
        <v>58.440137973640191</v>
      </c>
      <c r="I1213" s="3">
        <f t="shared" si="1321"/>
        <v>62.339388675934003</v>
      </c>
      <c r="J1213" s="3">
        <f t="shared" si="1321"/>
        <v>62.608774806842263</v>
      </c>
      <c r="K1213" s="3">
        <f t="shared" si="1321"/>
        <v>62.344578895628281</v>
      </c>
      <c r="L1213" s="3">
        <f t="shared" ref="L1213" si="1322">SUM(L1214:L1263)</f>
        <v>61.150557879284882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N1214" s="1"/>
    </row>
    <row r="1215" spans="2:14" x14ac:dyDescent="0.35">
      <c r="B1215" s="5" t="str">
        <f t="shared" si="1287"/>
        <v>SPS1</v>
      </c>
      <c r="C1215" s="5" t="str">
        <f t="shared" si="1288"/>
        <v>CH</v>
      </c>
      <c r="D1215" t="s">
        <v>1134</v>
      </c>
      <c r="E1215" t="str">
        <f t="shared" ref="E1215:E1263" si="1323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8.8414006861665985E-3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0.95492179090519169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2.4477308998589935</v>
      </c>
      <c r="N1215" s="1"/>
    </row>
    <row r="1216" spans="2:14" x14ac:dyDescent="0.35">
      <c r="B1216" s="5" t="str">
        <f t="shared" si="1287"/>
        <v>SPS1</v>
      </c>
      <c r="C1216" s="5" t="str">
        <f t="shared" si="1288"/>
        <v>CH</v>
      </c>
      <c r="D1216" t="s">
        <v>1135</v>
      </c>
      <c r="E1216" t="str">
        <f t="shared" si="1323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13.651879356161295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16.92061472057598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18.048268715483449</v>
      </c>
      <c r="N1216" s="1"/>
    </row>
    <row r="1217" spans="2:14" x14ac:dyDescent="0.35">
      <c r="B1217" s="5" t="str">
        <f t="shared" si="1287"/>
        <v>SPS1</v>
      </c>
      <c r="C1217" s="5" t="str">
        <f t="shared" si="1288"/>
        <v>CH</v>
      </c>
      <c r="D1217" t="s">
        <v>1136</v>
      </c>
      <c r="E1217" t="str">
        <f t="shared" si="1323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14.431746603650968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17.295114168973186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17.078138191703456</v>
      </c>
      <c r="N1217" s="1"/>
    </row>
    <row r="1218" spans="2:14" x14ac:dyDescent="0.35">
      <c r="B1218" s="5" t="str">
        <f t="shared" ref="B1218:B1264" si="1324">B1217</f>
        <v>SPS1</v>
      </c>
      <c r="C1218" s="5" t="str">
        <f t="shared" ref="C1218:C1264" si="1325">C1217</f>
        <v>CH</v>
      </c>
      <c r="D1218" t="s">
        <v>1137</v>
      </c>
      <c r="E1218" t="str">
        <f t="shared" si="1323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12.636098596614076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16.664933606336373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23.576283595445851</v>
      </c>
      <c r="N1218" s="1"/>
    </row>
    <row r="1219" spans="2:14" x14ac:dyDescent="0.35">
      <c r="B1219" s="5" t="str">
        <f t="shared" si="1324"/>
        <v>SPS1</v>
      </c>
      <c r="C1219" s="5" t="str">
        <f t="shared" si="1325"/>
        <v>CH</v>
      </c>
      <c r="D1219" t="s">
        <v>1138</v>
      </c>
      <c r="E1219" t="str">
        <f t="shared" si="1323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2.6103096557301385E-3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1.8907054435816754E-3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0</v>
      </c>
      <c r="N1219" s="1"/>
    </row>
    <row r="1220" spans="2:14" x14ac:dyDescent="0.35">
      <c r="B1220" s="5" t="str">
        <f t="shared" si="1324"/>
        <v>SPS1</v>
      </c>
      <c r="C1220" s="5" t="str">
        <f t="shared" si="1325"/>
        <v>CH</v>
      </c>
      <c r="D1220" t="s">
        <v>1139</v>
      </c>
      <c r="E1220" t="str">
        <f t="shared" si="1323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1.6772132128139709E-2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5.7413257887908133E-3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0</v>
      </c>
      <c r="N1220" s="1"/>
    </row>
    <row r="1221" spans="2:14" x14ac:dyDescent="0.35">
      <c r="B1221" s="5" t="str">
        <f t="shared" si="1324"/>
        <v>SPS1</v>
      </c>
      <c r="C1221" s="5" t="str">
        <f t="shared" si="1325"/>
        <v>CH</v>
      </c>
      <c r="D1221" t="s">
        <v>1140</v>
      </c>
      <c r="E1221" t="str">
        <f t="shared" si="1323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0.52168698808028569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5.5594289205478771E-2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</v>
      </c>
      <c r="N1221" s="1"/>
    </row>
    <row r="1222" spans="2:14" x14ac:dyDescent="0.35">
      <c r="B1222" s="5" t="str">
        <f t="shared" si="1324"/>
        <v>SPS1</v>
      </c>
      <c r="C1222" s="5" t="str">
        <f t="shared" si="1325"/>
        <v>CH</v>
      </c>
      <c r="D1222" t="s">
        <v>1141</v>
      </c>
      <c r="E1222" t="str">
        <f t="shared" si="1323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2.702404038177094E-2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4.1782059891933756E-3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0</v>
      </c>
      <c r="N1222" s="1"/>
    </row>
    <row r="1223" spans="2:14" x14ac:dyDescent="0.35">
      <c r="B1223" s="5" t="str">
        <f t="shared" si="1324"/>
        <v>SPS1</v>
      </c>
      <c r="C1223" s="5" t="str">
        <f t="shared" si="1325"/>
        <v>CH</v>
      </c>
      <c r="D1223" t="s">
        <v>1142</v>
      </c>
      <c r="E1223" t="str">
        <f t="shared" si="1323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2.7561954033648354E-3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2.0402730260582775E-3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0</v>
      </c>
      <c r="N1223" s="1"/>
    </row>
    <row r="1224" spans="2:14" x14ac:dyDescent="0.35">
      <c r="B1224" s="5" t="str">
        <f t="shared" si="1324"/>
        <v>SPS1</v>
      </c>
      <c r="C1224" s="5" t="str">
        <f t="shared" si="1325"/>
        <v>CH</v>
      </c>
      <c r="D1224" t="s">
        <v>1143</v>
      </c>
      <c r="E1224" t="str">
        <f t="shared" si="1323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1.2202989921169924E-2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9.2632654137570266E-3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0</v>
      </c>
      <c r="N1224" s="1"/>
    </row>
    <row r="1225" spans="2:14" x14ac:dyDescent="0.35">
      <c r="B1225" s="5" t="str">
        <f t="shared" si="1324"/>
        <v>SPS1</v>
      </c>
      <c r="C1225" s="5" t="str">
        <f t="shared" si="1325"/>
        <v>CH</v>
      </c>
      <c r="D1225" t="s">
        <v>1144</v>
      </c>
      <c r="E1225" t="str">
        <f t="shared" si="1323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3.1020520734831902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1.3197536034972346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0</v>
      </c>
      <c r="N1225" s="1"/>
    </row>
    <row r="1226" spans="2:14" x14ac:dyDescent="0.35">
      <c r="B1226" s="5" t="str">
        <f t="shared" si="1324"/>
        <v>SPS1</v>
      </c>
      <c r="C1226" s="5" t="str">
        <f t="shared" si="1325"/>
        <v>CH</v>
      </c>
      <c r="D1226" t="s">
        <v>1145</v>
      </c>
      <c r="E1226" t="str">
        <f t="shared" si="1323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1.1210850093386519E-2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5.214051872081754E-3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0</v>
      </c>
      <c r="N1226" s="1"/>
    </row>
    <row r="1227" spans="2:14" x14ac:dyDescent="0.35">
      <c r="B1227" s="5" t="str">
        <f t="shared" si="1324"/>
        <v>SPS1</v>
      </c>
      <c r="C1227" s="5" t="str">
        <f t="shared" si="1325"/>
        <v>CH</v>
      </c>
      <c r="D1227" t="s">
        <v>1146</v>
      </c>
      <c r="E1227" t="str">
        <f t="shared" si="1323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0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9.3436526995446333E-6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7.4154139801224899E-6</v>
      </c>
      <c r="N1227" s="1"/>
    </row>
    <row r="1228" spans="2:14" x14ac:dyDescent="0.35">
      <c r="B1228" s="5" t="str">
        <f t="shared" si="1324"/>
        <v>SPS1</v>
      </c>
      <c r="C1228" s="5" t="str">
        <f t="shared" si="1325"/>
        <v>CH</v>
      </c>
      <c r="D1228" t="s">
        <v>1147</v>
      </c>
      <c r="E1228" t="str">
        <f t="shared" si="1323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0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1.1178035258696782E-5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1.2521785728265652E-5</v>
      </c>
      <c r="N1228" s="1"/>
    </row>
    <row r="1229" spans="2:14" x14ac:dyDescent="0.35">
      <c r="B1229" s="5" t="str">
        <f t="shared" si="1324"/>
        <v>SPS1</v>
      </c>
      <c r="C1229" s="5" t="str">
        <f t="shared" si="1325"/>
        <v>CH</v>
      </c>
      <c r="D1229" t="s">
        <v>1148</v>
      </c>
      <c r="E1229" t="str">
        <f t="shared" si="1323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0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1.1043319406748222E-5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1.392841026849901E-5</v>
      </c>
      <c r="N1229" s="1"/>
    </row>
    <row r="1230" spans="2:14" x14ac:dyDescent="0.35">
      <c r="B1230" s="5" t="str">
        <f t="shared" si="1324"/>
        <v>SPS1</v>
      </c>
      <c r="C1230" s="5" t="str">
        <f t="shared" si="1325"/>
        <v>CH</v>
      </c>
      <c r="D1230" t="s">
        <v>1149</v>
      </c>
      <c r="E1230" t="str">
        <f t="shared" si="1323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0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1.0137803025489383E-5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1.2017565706681598E-5</v>
      </c>
      <c r="N1230" s="1"/>
    </row>
    <row r="1231" spans="2:14" x14ac:dyDescent="0.35">
      <c r="B1231" s="5" t="str">
        <f t="shared" si="1324"/>
        <v>SPS1</v>
      </c>
      <c r="C1231" s="5" t="str">
        <f t="shared" si="1325"/>
        <v>CH</v>
      </c>
      <c r="D1231" t="s">
        <v>1233</v>
      </c>
      <c r="E1231" t="str">
        <f t="shared" si="1323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N1231" s="1"/>
    </row>
    <row r="1232" spans="2:14" x14ac:dyDescent="0.35">
      <c r="B1232" s="5" t="str">
        <f t="shared" si="1324"/>
        <v>SPS1</v>
      </c>
      <c r="C1232" s="5" t="str">
        <f t="shared" si="1325"/>
        <v>CH</v>
      </c>
      <c r="D1232" t="s">
        <v>1150</v>
      </c>
      <c r="E1232" t="str">
        <f t="shared" si="1323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1.1201257637017406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0.6905266361416017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N1232" s="1"/>
    </row>
    <row r="1233" spans="2:14" x14ac:dyDescent="0.35">
      <c r="B1233" s="5" t="str">
        <f t="shared" si="1324"/>
        <v>SPS1</v>
      </c>
      <c r="C1233" s="5" t="str">
        <f t="shared" si="1325"/>
        <v>CH</v>
      </c>
      <c r="D1233" t="s">
        <v>1151</v>
      </c>
      <c r="E1233" t="str">
        <f t="shared" si="1323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1.3959803544637508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0.25338726012091356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N1233" s="1"/>
    </row>
    <row r="1234" spans="2:14" x14ac:dyDescent="0.35">
      <c r="B1234" s="5" t="str">
        <f t="shared" si="1324"/>
        <v>SPS1</v>
      </c>
      <c r="C1234" s="5" t="str">
        <f t="shared" si="1325"/>
        <v>CH</v>
      </c>
      <c r="D1234" t="s">
        <v>1152</v>
      </c>
      <c r="E1234" t="str">
        <f t="shared" si="1323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0.46248439681989717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9.8468198656549472E-4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N1234" s="1"/>
    </row>
    <row r="1235" spans="2:14" x14ac:dyDescent="0.35">
      <c r="B1235" s="5" t="str">
        <f t="shared" si="1324"/>
        <v>SPS1</v>
      </c>
      <c r="C1235" s="5" t="str">
        <f t="shared" si="1325"/>
        <v>CH</v>
      </c>
      <c r="D1235" t="s">
        <v>1153</v>
      </c>
      <c r="E1235" t="str">
        <f t="shared" si="1323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2.7528350940741211E-2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1.0115089548939147E-3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N1235" s="1"/>
    </row>
    <row r="1236" spans="2:14" x14ac:dyDescent="0.35">
      <c r="B1236" s="5" t="str">
        <f t="shared" si="1324"/>
        <v>SPS1</v>
      </c>
      <c r="C1236" s="5" t="str">
        <f t="shared" si="1325"/>
        <v>CH</v>
      </c>
      <c r="D1236" t="s">
        <v>1154</v>
      </c>
      <c r="E1236" t="str">
        <f t="shared" si="1323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N1236" s="1"/>
    </row>
    <row r="1237" spans="2:14" x14ac:dyDescent="0.35">
      <c r="B1237" s="5" t="str">
        <f t="shared" si="1324"/>
        <v>SPS1</v>
      </c>
      <c r="C1237" s="5" t="str">
        <f t="shared" si="1325"/>
        <v>CH</v>
      </c>
      <c r="D1237" t="s">
        <v>1155</v>
      </c>
      <c r="E1237" t="str">
        <f t="shared" si="1323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0.33006105364083427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4.4998677763318347E-2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N1237" s="1"/>
    </row>
    <row r="1238" spans="2:14" x14ac:dyDescent="0.35">
      <c r="B1238" s="5" t="str">
        <f t="shared" si="1324"/>
        <v>SPS1</v>
      </c>
      <c r="C1238" s="5" t="str">
        <f t="shared" si="1325"/>
        <v>CH</v>
      </c>
      <c r="D1238" t="s">
        <v>1156</v>
      </c>
      <c r="E1238" t="str">
        <f t="shared" si="1323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0.10607439671583752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4.3103903094567188E-3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N1238" s="1"/>
    </row>
    <row r="1239" spans="2:14" x14ac:dyDescent="0.35">
      <c r="B1239" s="5" t="str">
        <f t="shared" si="1324"/>
        <v>SPS1</v>
      </c>
      <c r="C1239" s="5" t="str">
        <f t="shared" si="1325"/>
        <v>CH</v>
      </c>
      <c r="D1239" t="s">
        <v>1157</v>
      </c>
      <c r="E1239" t="str">
        <f t="shared" si="1323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0.83457246830186949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6.3675966227627875E-2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N1239" s="1"/>
    </row>
    <row r="1240" spans="2:14" x14ac:dyDescent="0.35">
      <c r="B1240" s="5" t="str">
        <f t="shared" si="1324"/>
        <v>SPS1</v>
      </c>
      <c r="C1240" s="5" t="str">
        <f t="shared" si="1325"/>
        <v>CH</v>
      </c>
      <c r="D1240" t="s">
        <v>1158</v>
      </c>
      <c r="E1240" t="str">
        <f t="shared" si="1323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9.6000041831645255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6.1567526502218506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N1240" s="1"/>
    </row>
    <row r="1241" spans="2:14" x14ac:dyDescent="0.35">
      <c r="B1241" s="5" t="str">
        <f t="shared" si="1324"/>
        <v>SPS1</v>
      </c>
      <c r="C1241" s="5" t="str">
        <f t="shared" si="1325"/>
        <v>CH</v>
      </c>
      <c r="D1241" t="s">
        <v>1159</v>
      </c>
      <c r="E1241" t="str">
        <f t="shared" si="1323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1.7343655311408222E-3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6.6448198836862606E-4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N1241" s="1"/>
    </row>
    <row r="1242" spans="2:14" x14ac:dyDescent="0.35">
      <c r="B1242" s="5" t="str">
        <f t="shared" si="1324"/>
        <v>SPS1</v>
      </c>
      <c r="C1242" s="5" t="str">
        <f t="shared" si="1325"/>
        <v>CH</v>
      </c>
      <c r="D1242" t="s">
        <v>1160</v>
      </c>
      <c r="E1242" t="str">
        <f t="shared" si="1323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1.4779035968188223E-3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5.5923884370636648E-4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N1242" s="1"/>
    </row>
    <row r="1243" spans="2:14" x14ac:dyDescent="0.35">
      <c r="B1243" s="5" t="str">
        <f t="shared" si="1324"/>
        <v>SPS1</v>
      </c>
      <c r="C1243" s="5" t="str">
        <f t="shared" si="1325"/>
        <v>CH</v>
      </c>
      <c r="D1243" t="s">
        <v>1161</v>
      </c>
      <c r="E1243" t="str">
        <f t="shared" si="1323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1.6490620633273741E-3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6.0193087336844677E-4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N1243" s="1"/>
    </row>
    <row r="1244" spans="2:14" x14ac:dyDescent="0.35">
      <c r="B1244" s="5" t="str">
        <f t="shared" si="1324"/>
        <v>SPS1</v>
      </c>
      <c r="C1244" s="5" t="str">
        <f t="shared" si="1325"/>
        <v>CH</v>
      </c>
      <c r="D1244" t="s">
        <v>1162</v>
      </c>
      <c r="E1244" t="str">
        <f t="shared" si="1323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2.4438687141799466E-3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9.8258384884607804E-4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N1244" s="1"/>
    </row>
    <row r="1245" spans="2:14" x14ac:dyDescent="0.35">
      <c r="B1245" s="5" t="str">
        <f t="shared" si="1324"/>
        <v>SPS1</v>
      </c>
      <c r="C1245" s="5" t="str">
        <f t="shared" si="1325"/>
        <v>CH</v>
      </c>
      <c r="D1245" t="s">
        <v>1235</v>
      </c>
      <c r="E1245" t="str">
        <f t="shared" si="1323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N1245" s="1"/>
    </row>
    <row r="1246" spans="2:14" x14ac:dyDescent="0.35">
      <c r="B1246" s="5" t="str">
        <f t="shared" si="1324"/>
        <v>SPS1</v>
      </c>
      <c r="C1246" s="5" t="str">
        <f t="shared" si="1325"/>
        <v>CH</v>
      </c>
      <c r="D1246" t="s">
        <v>1163</v>
      </c>
      <c r="E1246" t="str">
        <f t="shared" si="1323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0.85138390866603886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0.67433718152554056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N1246" s="1"/>
    </row>
    <row r="1247" spans="2:14" x14ac:dyDescent="0.35">
      <c r="B1247" s="5" t="str">
        <f t="shared" si="1324"/>
        <v>SPS1</v>
      </c>
      <c r="C1247" s="5" t="str">
        <f t="shared" si="1325"/>
        <v>CH</v>
      </c>
      <c r="D1247" t="s">
        <v>1164</v>
      </c>
      <c r="E1247" t="str">
        <f t="shared" si="1323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3.2733594310116159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1.2052018770877468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N1247" s="1"/>
    </row>
    <row r="1248" spans="2:14" x14ac:dyDescent="0.35">
      <c r="B1248" s="5" t="str">
        <f t="shared" si="1324"/>
        <v>SPS1</v>
      </c>
      <c r="C1248" s="5" t="str">
        <f t="shared" si="1325"/>
        <v>CH</v>
      </c>
      <c r="D1248" t="s">
        <v>1165</v>
      </c>
      <c r="E1248" t="str">
        <f t="shared" si="1323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1.12069457010813E-2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9.7372874160758403E-4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N1248" s="1"/>
    </row>
    <row r="1249" spans="2:14" x14ac:dyDescent="0.35">
      <c r="B1249" s="5" t="str">
        <f t="shared" si="1324"/>
        <v>SPS1</v>
      </c>
      <c r="C1249" s="5" t="str">
        <f t="shared" si="1325"/>
        <v>CH</v>
      </c>
      <c r="D1249" t="s">
        <v>1166</v>
      </c>
      <c r="E1249" t="str">
        <f t="shared" si="1323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2.2075327449232473E-2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1.0291290291747238E-3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N1249" s="1"/>
    </row>
    <row r="1250" spans="2:14" x14ac:dyDescent="0.35">
      <c r="B1250" s="5" t="str">
        <f t="shared" si="1324"/>
        <v>SPS1</v>
      </c>
      <c r="C1250" s="5" t="str">
        <f t="shared" si="1325"/>
        <v>CH</v>
      </c>
      <c r="D1250" t="s">
        <v>1167</v>
      </c>
      <c r="E1250" t="str">
        <f t="shared" si="1323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N1250" s="1"/>
    </row>
    <row r="1251" spans="2:14" x14ac:dyDescent="0.35">
      <c r="B1251" s="5" t="str">
        <f t="shared" si="1324"/>
        <v>SPS1</v>
      </c>
      <c r="C1251" s="5" t="str">
        <f t="shared" si="1325"/>
        <v>CH</v>
      </c>
      <c r="D1251" t="s">
        <v>1168</v>
      </c>
      <c r="E1251" t="str">
        <f t="shared" si="1323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2.2775108710977291E-3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7.9229723147117976E-4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N1251" s="1"/>
    </row>
    <row r="1252" spans="2:14" x14ac:dyDescent="0.35">
      <c r="B1252" s="5" t="str">
        <f t="shared" si="1324"/>
        <v>SPS1</v>
      </c>
      <c r="C1252" s="5" t="str">
        <f t="shared" si="1325"/>
        <v>CH</v>
      </c>
      <c r="D1252" t="s">
        <v>1169</v>
      </c>
      <c r="E1252" t="str">
        <f t="shared" si="1323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1.9315108821673314E-2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9.3019052368594932E-4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N1252" s="1"/>
    </row>
    <row r="1253" spans="2:14" x14ac:dyDescent="0.35">
      <c r="B1253" s="5" t="str">
        <f t="shared" si="1324"/>
        <v>SPS1</v>
      </c>
      <c r="C1253" s="5" t="str">
        <f t="shared" si="1325"/>
        <v>CH</v>
      </c>
      <c r="D1253" t="s">
        <v>1170</v>
      </c>
      <c r="E1253" t="str">
        <f t="shared" si="1323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8.3305506216955455E-2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8.2581238435902279E-4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N1253" s="1"/>
    </row>
    <row r="1254" spans="2:14" x14ac:dyDescent="0.35">
      <c r="B1254" s="5" t="str">
        <f t="shared" si="1324"/>
        <v>SPS1</v>
      </c>
      <c r="C1254" s="5" t="str">
        <f t="shared" si="1325"/>
        <v>CH</v>
      </c>
      <c r="D1254" t="s">
        <v>1171</v>
      </c>
      <c r="E1254" t="str">
        <f t="shared" si="1323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3.1167485988151285E-2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4.2259888071289378E-4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N1254" s="1"/>
    </row>
    <row r="1255" spans="2:14" x14ac:dyDescent="0.35">
      <c r="B1255" s="5" t="str">
        <f t="shared" si="1324"/>
        <v>SPS1</v>
      </c>
      <c r="C1255" s="5" t="str">
        <f t="shared" si="1325"/>
        <v>CH</v>
      </c>
      <c r="D1255" t="s">
        <v>1172</v>
      </c>
      <c r="E1255" t="str">
        <f t="shared" si="1323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1.4219094958038262E-3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5.3881081840616036E-4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N1255" s="1"/>
    </row>
    <row r="1256" spans="2:14" x14ac:dyDescent="0.35">
      <c r="B1256" s="5" t="str">
        <f t="shared" si="1324"/>
        <v>SPS1</v>
      </c>
      <c r="C1256" s="5" t="str">
        <f t="shared" si="1325"/>
        <v>CH</v>
      </c>
      <c r="D1256" t="s">
        <v>1173</v>
      </c>
      <c r="E1256" t="str">
        <f t="shared" si="1323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1.4929130412397156E-3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6.0692718040627493E-4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N1256" s="1"/>
    </row>
    <row r="1257" spans="2:14" x14ac:dyDescent="0.35">
      <c r="B1257" s="5" t="str">
        <f t="shared" si="1324"/>
        <v>SPS1</v>
      </c>
      <c r="C1257" s="5" t="str">
        <f t="shared" si="1325"/>
        <v>CH</v>
      </c>
      <c r="D1257" t="s">
        <v>1174</v>
      </c>
      <c r="E1257" t="str">
        <f t="shared" si="1323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1.587277192177669E-3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6.1108432325901213E-4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N1257" s="1"/>
    </row>
    <row r="1258" spans="2:14" x14ac:dyDescent="0.35">
      <c r="B1258" s="5" t="str">
        <f t="shared" si="1324"/>
        <v>SPS1</v>
      </c>
      <c r="C1258" s="5" t="str">
        <f t="shared" si="1325"/>
        <v>CH</v>
      </c>
      <c r="D1258" t="s">
        <v>1175</v>
      </c>
      <c r="E1258" t="str">
        <f t="shared" si="1323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6.2063746214566001E-4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2.0481933125127025E-4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N1258" s="1"/>
    </row>
    <row r="1259" spans="2:14" x14ac:dyDescent="0.35">
      <c r="B1259" s="5" t="str">
        <f t="shared" si="1324"/>
        <v>SPS1</v>
      </c>
      <c r="C1259" s="5" t="str">
        <f t="shared" si="1325"/>
        <v>CH</v>
      </c>
      <c r="D1259" t="s">
        <v>1176</v>
      </c>
      <c r="E1259" t="str">
        <f t="shared" si="1323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N1259" s="1"/>
    </row>
    <row r="1260" spans="2:14" x14ac:dyDescent="0.35">
      <c r="B1260" s="5" t="str">
        <f t="shared" si="1324"/>
        <v>SPS1</v>
      </c>
      <c r="C1260" s="5" t="str">
        <f t="shared" si="1325"/>
        <v>CH</v>
      </c>
      <c r="D1260" t="s">
        <v>1177</v>
      </c>
      <c r="E1260" t="str">
        <f t="shared" si="1323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7.9045267038051149E-5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4.3429583433221223E-5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1.1251774235492842E-5</v>
      </c>
      <c r="N1260" s="1"/>
    </row>
    <row r="1261" spans="2:14" x14ac:dyDescent="0.35">
      <c r="B1261" s="5" t="str">
        <f t="shared" si="1324"/>
        <v>SPS1</v>
      </c>
      <c r="C1261" s="5" t="str">
        <f t="shared" si="1325"/>
        <v>CH</v>
      </c>
      <c r="D1261" t="s">
        <v>1178</v>
      </c>
      <c r="E1261" t="str">
        <f t="shared" si="1323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1.3213602774774538E-4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8.6311861662928597E-5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2.2416201311611546E-5</v>
      </c>
      <c r="N1261" s="1"/>
    </row>
    <row r="1262" spans="2:14" x14ac:dyDescent="0.35">
      <c r="B1262" s="5" t="str">
        <f t="shared" si="1324"/>
        <v>SPS1</v>
      </c>
      <c r="C1262" s="5" t="str">
        <f t="shared" si="1325"/>
        <v>CH</v>
      </c>
      <c r="D1262" t="s">
        <v>1179</v>
      </c>
      <c r="E1262" t="str">
        <f t="shared" si="1323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1.9004521093342815E-4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1.1640391425666947E-4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3.0584255567036159E-5</v>
      </c>
      <c r="N1262" s="1"/>
    </row>
    <row r="1263" spans="2:14" x14ac:dyDescent="0.35">
      <c r="B1263" s="5" t="str">
        <f t="shared" si="1324"/>
        <v>SPS1</v>
      </c>
      <c r="C1263" s="5" t="str">
        <f t="shared" si="1325"/>
        <v>CH</v>
      </c>
      <c r="D1263" t="s">
        <v>1180</v>
      </c>
      <c r="E1263" t="str">
        <f t="shared" si="1323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1.419145051249572E-4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1.0057609351316106E-4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2.6341386328893857E-5</v>
      </c>
      <c r="N1263" s="1"/>
    </row>
    <row r="1264" spans="2:14" x14ac:dyDescent="0.35">
      <c r="B1264" s="5" t="str">
        <f t="shared" si="1324"/>
        <v>SPS1</v>
      </c>
      <c r="C1264" s="5" t="str">
        <f t="shared" si="1325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6">IFERROR(F1214/F1138,"-")</f>
        <v>0.88951199431361339</v>
      </c>
      <c r="G1265" s="1">
        <f t="shared" si="1326"/>
        <v>0.95694536964701904</v>
      </c>
      <c r="H1265" s="1">
        <f t="shared" si="1326"/>
        <v>1.058095432647125</v>
      </c>
      <c r="I1265" s="1">
        <f t="shared" si="1326"/>
        <v>1.2266788709806389</v>
      </c>
      <c r="J1265" s="1" t="str">
        <f t="shared" si="1326"/>
        <v>-</v>
      </c>
      <c r="K1265" s="1" t="str">
        <f t="shared" si="1326"/>
        <v>-</v>
      </c>
      <c r="L1265" s="1" t="str">
        <f t="shared" ref="L1265" si="1327">IFERROR(L1214/L1138,"-")</f>
        <v>-</v>
      </c>
      <c r="N1265" s="1"/>
    </row>
    <row r="1266" spans="2:14" x14ac:dyDescent="0.35">
      <c r="B1266" s="5" t="str">
        <f t="shared" ref="B1266:B1314" si="1328">B1265</f>
        <v>SPS1</v>
      </c>
      <c r="C1266" s="5" t="str">
        <f t="shared" ref="C1266:C1314" si="1329">C1265</f>
        <v>CH</v>
      </c>
      <c r="D1266" t="s">
        <v>1182</v>
      </c>
      <c r="E1266" t="str">
        <f t="shared" ref="E1266:E1314" si="1330">E1265</f>
        <v>km/MJ</v>
      </c>
      <c r="F1266" s="1">
        <f t="shared" si="1326"/>
        <v>1.8116719735064508</v>
      </c>
      <c r="G1266" s="1">
        <f t="shared" si="1326"/>
        <v>1.8116719735064477</v>
      </c>
      <c r="H1266" s="1">
        <f t="shared" si="1326"/>
        <v>1.8116719735064557</v>
      </c>
      <c r="I1266" s="1">
        <f t="shared" si="1326"/>
        <v>1.8116719735064502</v>
      </c>
      <c r="J1266" s="1">
        <f t="shared" si="1326"/>
        <v>1.8326822826384555</v>
      </c>
      <c r="K1266" s="1">
        <f t="shared" si="1326"/>
        <v>1.9936041749228661</v>
      </c>
      <c r="L1266" s="1">
        <f t="shared" ref="L1266" si="1331">IFERROR(L1215/L1139,"-")</f>
        <v>2.1555842832900129</v>
      </c>
      <c r="N1266" s="1"/>
    </row>
    <row r="1267" spans="2:14" x14ac:dyDescent="0.35">
      <c r="B1267" s="5" t="str">
        <f t="shared" si="1328"/>
        <v>SPS1</v>
      </c>
      <c r="C1267" s="5" t="str">
        <f t="shared" si="1329"/>
        <v>CH</v>
      </c>
      <c r="D1267" t="s">
        <v>1183</v>
      </c>
      <c r="E1267" t="str">
        <f t="shared" si="1330"/>
        <v>km/MJ</v>
      </c>
      <c r="F1267" s="1">
        <f t="shared" si="1326"/>
        <v>1.4637982671179686</v>
      </c>
      <c r="G1267" s="1">
        <f t="shared" si="1326"/>
        <v>1.4637982671179719</v>
      </c>
      <c r="H1267" s="1">
        <f t="shared" si="1326"/>
        <v>1.4637982671179723</v>
      </c>
      <c r="I1267" s="1">
        <f t="shared" si="1326"/>
        <v>1.4637982671179701</v>
      </c>
      <c r="J1267" s="1">
        <f t="shared" si="1326"/>
        <v>1.5268938540425816</v>
      </c>
      <c r="K1267" s="1">
        <f t="shared" si="1326"/>
        <v>1.5723405090551765</v>
      </c>
      <c r="L1267" s="1">
        <f t="shared" ref="L1267" si="1332">IFERROR(L1216/L1140,"-")</f>
        <v>1.7172992277040873</v>
      </c>
      <c r="N1267" s="1"/>
    </row>
    <row r="1268" spans="2:14" x14ac:dyDescent="0.35">
      <c r="B1268" s="5" t="str">
        <f t="shared" si="1328"/>
        <v>SPS1</v>
      </c>
      <c r="C1268" s="5" t="str">
        <f t="shared" si="1329"/>
        <v>CH</v>
      </c>
      <c r="D1268" t="s">
        <v>1184</v>
      </c>
      <c r="E1268" t="str">
        <f t="shared" si="1330"/>
        <v>km/MJ</v>
      </c>
      <c r="F1268" s="1">
        <f t="shared" si="1326"/>
        <v>1.3374527251491997</v>
      </c>
      <c r="G1268" s="1">
        <f t="shared" si="1326"/>
        <v>1.3374527251491997</v>
      </c>
      <c r="H1268" s="1">
        <f t="shared" si="1326"/>
        <v>1.3374527251491994</v>
      </c>
      <c r="I1268" s="1">
        <f t="shared" si="1326"/>
        <v>1.3374527251492005</v>
      </c>
      <c r="J1268" s="1">
        <f t="shared" si="1326"/>
        <v>1.3917838606763084</v>
      </c>
      <c r="K1268" s="1">
        <f t="shared" si="1326"/>
        <v>1.4259274906487287</v>
      </c>
      <c r="L1268" s="1">
        <f t="shared" ref="L1268" si="1333">IFERROR(L1217/L1141,"-")</f>
        <v>1.5695681052050416</v>
      </c>
      <c r="N1268" s="1"/>
    </row>
    <row r="1269" spans="2:14" x14ac:dyDescent="0.35">
      <c r="B1269" s="5" t="str">
        <f t="shared" si="1328"/>
        <v>SPS1</v>
      </c>
      <c r="C1269" s="5" t="str">
        <f t="shared" si="1329"/>
        <v>CH</v>
      </c>
      <c r="D1269" t="s">
        <v>1185</v>
      </c>
      <c r="E1269" t="str">
        <f t="shared" si="1330"/>
        <v>km/MJ</v>
      </c>
      <c r="F1269" s="1">
        <f t="shared" si="1326"/>
        <v>1.2949729235430796</v>
      </c>
      <c r="G1269" s="1">
        <f t="shared" si="1326"/>
        <v>1.29497292354308</v>
      </c>
      <c r="H1269" s="1">
        <f t="shared" si="1326"/>
        <v>1.2949729235430789</v>
      </c>
      <c r="I1269" s="1">
        <f t="shared" si="1326"/>
        <v>1.2949729235430807</v>
      </c>
      <c r="J1269" s="1">
        <f t="shared" si="1326"/>
        <v>1.3451591025020981</v>
      </c>
      <c r="K1269" s="1">
        <f t="shared" si="1326"/>
        <v>1.385815625469458</v>
      </c>
      <c r="L1269" s="1">
        <f t="shared" ref="L1269" si="1334">IFERROR(L1218/L1142,"-")</f>
        <v>1.5317811054813284</v>
      </c>
      <c r="N1269" s="1"/>
    </row>
    <row r="1270" spans="2:14" x14ac:dyDescent="0.35">
      <c r="B1270" s="5" t="str">
        <f t="shared" si="1328"/>
        <v>SPS1</v>
      </c>
      <c r="C1270" s="5" t="str">
        <f t="shared" si="1329"/>
        <v>CH</v>
      </c>
      <c r="D1270" t="s">
        <v>1186</v>
      </c>
      <c r="E1270" t="str">
        <f t="shared" si="1330"/>
        <v>km/MJ</v>
      </c>
      <c r="F1270" s="1">
        <f t="shared" ref="F1270:K1273" si="1335">IFERROR(F1219/SUM(F1143,F1176),"-")</f>
        <v>0.71120026375852141</v>
      </c>
      <c r="G1270" s="1">
        <f t="shared" si="1335"/>
        <v>0.76022175673932502</v>
      </c>
      <c r="H1270" s="1">
        <f t="shared" si="1335"/>
        <v>0.77198803772901758</v>
      </c>
      <c r="I1270" s="1">
        <f t="shared" si="1335"/>
        <v>0.81213367381447732</v>
      </c>
      <c r="J1270" s="1">
        <f t="shared" si="1335"/>
        <v>0.87268108407687339</v>
      </c>
      <c r="K1270" s="1">
        <f t="shared" si="1335"/>
        <v>0.95967318663481671</v>
      </c>
      <c r="L1270" s="1" t="str">
        <f t="shared" ref="L1270" si="1336">IFERROR(L1219/SUM(L1143,L1176),"-")</f>
        <v>-</v>
      </c>
      <c r="N1270" s="1"/>
    </row>
    <row r="1271" spans="2:14" x14ac:dyDescent="0.35">
      <c r="B1271" s="5" t="str">
        <f t="shared" si="1328"/>
        <v>SPS1</v>
      </c>
      <c r="C1271" s="5" t="str">
        <f t="shared" si="1329"/>
        <v>CH</v>
      </c>
      <c r="D1271" t="s">
        <v>1187</v>
      </c>
      <c r="E1271" t="str">
        <f t="shared" si="1330"/>
        <v>km/MJ</v>
      </c>
      <c r="F1271" s="1">
        <f t="shared" si="1335"/>
        <v>0.62745760072630241</v>
      </c>
      <c r="G1271" s="1">
        <f t="shared" si="1335"/>
        <v>0.63280898736947677</v>
      </c>
      <c r="H1271" s="1">
        <f t="shared" si="1335"/>
        <v>0.63573890220170359</v>
      </c>
      <c r="I1271" s="1">
        <f t="shared" si="1335"/>
        <v>0.68362485527302319</v>
      </c>
      <c r="J1271" s="1">
        <f t="shared" si="1335"/>
        <v>0.74910746534476857</v>
      </c>
      <c r="K1271" s="1">
        <f t="shared" si="1335"/>
        <v>0.82679136276025955</v>
      </c>
      <c r="L1271" s="1" t="str">
        <f t="shared" ref="L1271" si="1337">IFERROR(L1220/SUM(L1144,L1177),"-")</f>
        <v>-</v>
      </c>
      <c r="N1271" s="1"/>
    </row>
    <row r="1272" spans="2:14" x14ac:dyDescent="0.35">
      <c r="B1272" s="5" t="str">
        <f t="shared" si="1328"/>
        <v>SPS1</v>
      </c>
      <c r="C1272" s="5" t="str">
        <f t="shared" si="1329"/>
        <v>CH</v>
      </c>
      <c r="D1272" t="s">
        <v>1188</v>
      </c>
      <c r="E1272" t="str">
        <f t="shared" si="1330"/>
        <v>km/MJ</v>
      </c>
      <c r="F1272" s="1">
        <f t="shared" si="1335"/>
        <v>0.54553536017737791</v>
      </c>
      <c r="G1272" s="1">
        <f t="shared" si="1335"/>
        <v>0.60404378441704509</v>
      </c>
      <c r="H1272" s="1">
        <f t="shared" si="1335"/>
        <v>0.61793143467963407</v>
      </c>
      <c r="I1272" s="1">
        <f t="shared" si="1335"/>
        <v>0.66532028848613167</v>
      </c>
      <c r="J1272" s="1">
        <f t="shared" si="1335"/>
        <v>0.74222408094459635</v>
      </c>
      <c r="K1272" s="1">
        <f t="shared" si="1335"/>
        <v>0.85297545468447233</v>
      </c>
      <c r="L1272" s="1" t="str">
        <f t="shared" ref="L1272" si="1338">IFERROR(L1221/SUM(L1145,L1178),"-")</f>
        <v>-</v>
      </c>
      <c r="N1272" s="1"/>
    </row>
    <row r="1273" spans="2:14" x14ac:dyDescent="0.35">
      <c r="B1273" s="5" t="str">
        <f t="shared" si="1328"/>
        <v>SPS1</v>
      </c>
      <c r="C1273" s="5" t="str">
        <f t="shared" si="1329"/>
        <v>CH</v>
      </c>
      <c r="D1273" t="s">
        <v>1189</v>
      </c>
      <c r="E1273" t="str">
        <f t="shared" si="1330"/>
        <v>km/MJ</v>
      </c>
      <c r="F1273" s="1">
        <f t="shared" si="1335"/>
        <v>0.51975568473665923</v>
      </c>
      <c r="G1273" s="1">
        <f t="shared" si="1335"/>
        <v>0.57147545637761188</v>
      </c>
      <c r="H1273" s="1">
        <f t="shared" si="1335"/>
        <v>0.56057431006191583</v>
      </c>
      <c r="I1273" s="1">
        <f t="shared" si="1335"/>
        <v>0.62533498316693026</v>
      </c>
      <c r="J1273" s="1">
        <f t="shared" si="1335"/>
        <v>0.6896985205860644</v>
      </c>
      <c r="K1273" s="1">
        <f t="shared" si="1335"/>
        <v>0.76143678847810425</v>
      </c>
      <c r="L1273" s="1" t="str">
        <f t="shared" ref="L1273" si="1339">IFERROR(L1222/SUM(L1146,L1179),"-")</f>
        <v>-</v>
      </c>
      <c r="N1273" s="1"/>
    </row>
    <row r="1274" spans="2:14" x14ac:dyDescent="0.35">
      <c r="B1274" s="5" t="str">
        <f t="shared" si="1328"/>
        <v>SPS1</v>
      </c>
      <c r="C1274" s="5" t="str">
        <f t="shared" si="1329"/>
        <v>CH</v>
      </c>
      <c r="D1274" t="s">
        <v>1190</v>
      </c>
      <c r="E1274" t="str">
        <f t="shared" si="1330"/>
        <v>km/MJ</v>
      </c>
      <c r="F1274" s="1">
        <f t="shared" ref="F1274:K1277" si="1340">IFERROR(F1223/SUM(F1147,F1199),"-")</f>
        <v>0.72840569582556958</v>
      </c>
      <c r="G1274" s="1">
        <f t="shared" si="1340"/>
        <v>0.77360418910789108</v>
      </c>
      <c r="H1274" s="1">
        <f t="shared" si="1340"/>
        <v>0.78619359265083666</v>
      </c>
      <c r="I1274" s="1">
        <f t="shared" si="1340"/>
        <v>0.8264714253676283</v>
      </c>
      <c r="J1274" s="1">
        <f t="shared" si="1340"/>
        <v>0.88777981695693198</v>
      </c>
      <c r="K1274" s="1">
        <f t="shared" si="1340"/>
        <v>0.97442517593403277</v>
      </c>
      <c r="L1274" s="1" t="str">
        <f t="shared" ref="L1274" si="1341">IFERROR(L1223/SUM(L1147,L1199),"-")</f>
        <v>-</v>
      </c>
      <c r="N1274" s="1"/>
    </row>
    <row r="1275" spans="2:14" x14ac:dyDescent="0.35">
      <c r="B1275" s="5" t="str">
        <f t="shared" si="1328"/>
        <v>SPS1</v>
      </c>
      <c r="C1275" s="5" t="str">
        <f t="shared" si="1329"/>
        <v>CH</v>
      </c>
      <c r="D1275" t="s">
        <v>1191</v>
      </c>
      <c r="E1275" t="str">
        <f t="shared" si="1330"/>
        <v>km/MJ</v>
      </c>
      <c r="F1275" s="1">
        <f t="shared" si="1340"/>
        <v>0.31875878620678361</v>
      </c>
      <c r="G1275" s="1">
        <f t="shared" si="1340"/>
        <v>0.64079072368253576</v>
      </c>
      <c r="H1275" s="1">
        <f t="shared" si="1340"/>
        <v>0.65200594559306213</v>
      </c>
      <c r="I1275" s="1">
        <f t="shared" si="1340"/>
        <v>0.69286617102083814</v>
      </c>
      <c r="J1275" s="1">
        <f t="shared" si="1340"/>
        <v>0.75711477757731938</v>
      </c>
      <c r="K1275" s="1">
        <f t="shared" si="1340"/>
        <v>0.8269250968049483</v>
      </c>
      <c r="L1275" s="1" t="str">
        <f t="shared" ref="L1275" si="1342">IFERROR(L1224/SUM(L1148,L1200),"-")</f>
        <v>-</v>
      </c>
      <c r="N1275" s="1"/>
    </row>
    <row r="1276" spans="2:14" x14ac:dyDescent="0.35">
      <c r="B1276" s="5" t="str">
        <f t="shared" si="1328"/>
        <v>SPS1</v>
      </c>
      <c r="C1276" s="5" t="str">
        <f t="shared" si="1329"/>
        <v>CH</v>
      </c>
      <c r="D1276" t="s">
        <v>1192</v>
      </c>
      <c r="E1276" t="str">
        <f t="shared" si="1330"/>
        <v>km/MJ</v>
      </c>
      <c r="F1276" s="1">
        <f t="shared" si="1340"/>
        <v>0.54821884681205502</v>
      </c>
      <c r="G1276" s="1">
        <f t="shared" si="1340"/>
        <v>0.61224059353664451</v>
      </c>
      <c r="H1276" s="1">
        <f t="shared" si="1340"/>
        <v>0.6262620546969565</v>
      </c>
      <c r="I1276" s="1">
        <f t="shared" si="1340"/>
        <v>0.673740109568987</v>
      </c>
      <c r="J1276" s="1">
        <f t="shared" si="1340"/>
        <v>0.75117014545175942</v>
      </c>
      <c r="K1276" s="1">
        <f t="shared" si="1340"/>
        <v>0.86646667593071791</v>
      </c>
      <c r="L1276" s="1" t="str">
        <f t="shared" ref="L1276" si="1343">IFERROR(L1225/SUM(L1149,L1201),"-")</f>
        <v>-</v>
      </c>
      <c r="N1276" s="1"/>
    </row>
    <row r="1277" spans="2:14" x14ac:dyDescent="0.35">
      <c r="B1277" s="5" t="str">
        <f t="shared" si="1328"/>
        <v>SPS1</v>
      </c>
      <c r="C1277" s="5" t="str">
        <f t="shared" si="1329"/>
        <v>CH</v>
      </c>
      <c r="D1277" t="s">
        <v>1193</v>
      </c>
      <c r="E1277" t="str">
        <f t="shared" si="1330"/>
        <v>km/MJ</v>
      </c>
      <c r="F1277" s="1">
        <f t="shared" si="1340"/>
        <v>0.52693204984736663</v>
      </c>
      <c r="G1277" s="1">
        <f t="shared" si="1340"/>
        <v>0.57888590795951911</v>
      </c>
      <c r="H1277" s="1">
        <f t="shared" si="1340"/>
        <v>0.55429940484772644</v>
      </c>
      <c r="I1277" s="1">
        <f t="shared" si="1340"/>
        <v>0.63285468044693827</v>
      </c>
      <c r="J1277" s="1">
        <f t="shared" si="1340"/>
        <v>0.69317220080468533</v>
      </c>
      <c r="K1277" s="1">
        <f t="shared" si="1340"/>
        <v>0.76547215606846353</v>
      </c>
      <c r="L1277" s="1" t="str">
        <f t="shared" ref="L1277" si="1344">IFERROR(L1226/SUM(L1150,L1202),"-")</f>
        <v>-</v>
      </c>
      <c r="N1277" s="1"/>
    </row>
    <row r="1278" spans="2:14" x14ac:dyDescent="0.35">
      <c r="B1278" s="5" t="str">
        <f t="shared" si="1328"/>
        <v>SPS1</v>
      </c>
      <c r="C1278" s="5" t="str">
        <f t="shared" si="1329"/>
        <v>CH</v>
      </c>
      <c r="D1278" t="s">
        <v>1194</v>
      </c>
      <c r="E1278" t="str">
        <f t="shared" si="1330"/>
        <v>km/MJ</v>
      </c>
      <c r="F1278" s="1" t="str">
        <f>IFERROR(F1227/F1153,"-")</f>
        <v>-</v>
      </c>
      <c r="G1278" s="1">
        <f t="shared" ref="G1278:K1278" si="1345">IFERROR(G1227/G1153,"-")</f>
        <v>1.0965696656165205</v>
      </c>
      <c r="H1278" s="1">
        <f t="shared" si="1345"/>
        <v>1.0965696656165207</v>
      </c>
      <c r="I1278" s="1" t="str">
        <f t="shared" si="1345"/>
        <v>-</v>
      </c>
      <c r="J1278" s="1" t="str">
        <f t="shared" si="1345"/>
        <v>-</v>
      </c>
      <c r="K1278" s="1">
        <f t="shared" si="1345"/>
        <v>1.1646645372790081</v>
      </c>
      <c r="L1278" s="1">
        <f t="shared" ref="L1278" si="1346">IFERROR(L1227/L1153,"-")</f>
        <v>1.3236887998672429</v>
      </c>
      <c r="N1278" s="1"/>
    </row>
    <row r="1279" spans="2:14" x14ac:dyDescent="0.35">
      <c r="B1279" s="5" t="str">
        <f t="shared" si="1328"/>
        <v>SPS1</v>
      </c>
      <c r="C1279" s="5" t="str">
        <f t="shared" si="1329"/>
        <v>CH</v>
      </c>
      <c r="D1279" t="s">
        <v>1195</v>
      </c>
      <c r="E1279" t="str">
        <f t="shared" si="1330"/>
        <v>km/MJ</v>
      </c>
      <c r="F1279" s="1">
        <f t="shared" ref="F1279:K1279" si="1347">IFERROR(F1228/F1154,"-")</f>
        <v>0.89149519806162081</v>
      </c>
      <c r="G1279" s="1">
        <f t="shared" si="1347"/>
        <v>0.89149519806162192</v>
      </c>
      <c r="H1279" s="1">
        <f t="shared" si="1347"/>
        <v>0.89149519806162014</v>
      </c>
      <c r="I1279" s="1" t="str">
        <f t="shared" si="1347"/>
        <v>-</v>
      </c>
      <c r="J1279" s="1" t="str">
        <f t="shared" si="1347"/>
        <v>-</v>
      </c>
      <c r="K1279" s="1">
        <f t="shared" si="1347"/>
        <v>0.96001113000868554</v>
      </c>
      <c r="L1279" s="1">
        <f t="shared" ref="L1279" si="1348">IFERROR(L1228/L1154,"-")</f>
        <v>1.0817159815498363</v>
      </c>
      <c r="N1279" s="1"/>
    </row>
    <row r="1280" spans="2:14" x14ac:dyDescent="0.35">
      <c r="B1280" s="5" t="str">
        <f t="shared" si="1328"/>
        <v>SPS1</v>
      </c>
      <c r="C1280" s="5" t="str">
        <f t="shared" si="1329"/>
        <v>CH</v>
      </c>
      <c r="D1280" t="s">
        <v>1196</v>
      </c>
      <c r="E1280" t="str">
        <f t="shared" si="1330"/>
        <v>km/MJ</v>
      </c>
      <c r="F1280" s="1">
        <f t="shared" ref="F1280:K1280" si="1349">IFERROR(F1229/F1155,"-")</f>
        <v>0.83000507256490563</v>
      </c>
      <c r="G1280" s="1">
        <f t="shared" si="1349"/>
        <v>0.83000507256490508</v>
      </c>
      <c r="H1280" s="1">
        <f t="shared" si="1349"/>
        <v>0.8300050725649053</v>
      </c>
      <c r="I1280" s="1" t="str">
        <f t="shared" si="1349"/>
        <v>-</v>
      </c>
      <c r="J1280" s="1" t="str">
        <f t="shared" si="1349"/>
        <v>-</v>
      </c>
      <c r="K1280" s="1">
        <f t="shared" si="1349"/>
        <v>0.89739605523638455</v>
      </c>
      <c r="L1280" s="1">
        <f t="shared" ref="L1280" si="1350">IFERROR(L1229/L1155,"-")</f>
        <v>1.0151680725412784</v>
      </c>
      <c r="N1280" s="1"/>
    </row>
    <row r="1281" spans="2:14" x14ac:dyDescent="0.35">
      <c r="B1281" s="5" t="str">
        <f t="shared" si="1328"/>
        <v>SPS1</v>
      </c>
      <c r="C1281" s="5" t="str">
        <f t="shared" si="1329"/>
        <v>CH</v>
      </c>
      <c r="D1281" t="s">
        <v>1197</v>
      </c>
      <c r="E1281" t="str">
        <f t="shared" si="1330"/>
        <v>km/MJ</v>
      </c>
      <c r="F1281" s="1" t="str">
        <f t="shared" ref="F1281:K1281" si="1351">IFERROR(F1230/F1156,"-")</f>
        <v>-</v>
      </c>
      <c r="G1281" s="1">
        <f t="shared" si="1351"/>
        <v>0.83675282096654169</v>
      </c>
      <c r="H1281" s="1">
        <f t="shared" si="1351"/>
        <v>0.83675282096654202</v>
      </c>
      <c r="I1281" s="1" t="str">
        <f t="shared" si="1351"/>
        <v>-</v>
      </c>
      <c r="J1281" s="1" t="str">
        <f t="shared" si="1351"/>
        <v>-</v>
      </c>
      <c r="K1281" s="1">
        <f t="shared" si="1351"/>
        <v>0.89888165524577879</v>
      </c>
      <c r="L1281" s="1">
        <f t="shared" ref="L1281" si="1352">IFERROR(L1230/L1156,"-")</f>
        <v>1.0090484819118977</v>
      </c>
      <c r="N1281" s="1"/>
    </row>
    <row r="1282" spans="2:14" x14ac:dyDescent="0.35">
      <c r="B1282" s="5" t="str">
        <f t="shared" si="1328"/>
        <v>SPS1</v>
      </c>
      <c r="C1282" s="5" t="str">
        <f t="shared" si="1329"/>
        <v>CH</v>
      </c>
      <c r="D1282" t="s">
        <v>1232</v>
      </c>
      <c r="E1282" t="str">
        <f t="shared" si="1330"/>
        <v>km/MJ</v>
      </c>
      <c r="F1282" s="1">
        <f t="shared" ref="F1282:K1295" si="1353">IFERROR(F1231/F1162,"-")</f>
        <v>0.49379534694678257</v>
      </c>
      <c r="G1282" s="1">
        <f t="shared" si="1353"/>
        <v>0.50503220860251374</v>
      </c>
      <c r="H1282" s="1">
        <f t="shared" si="1353"/>
        <v>0.52188750108610926</v>
      </c>
      <c r="I1282" s="1">
        <f t="shared" si="1353"/>
        <v>0.54997965522543657</v>
      </c>
      <c r="J1282" s="1" t="str">
        <f t="shared" si="1353"/>
        <v>-</v>
      </c>
      <c r="K1282" s="1" t="str">
        <f t="shared" si="1353"/>
        <v>-</v>
      </c>
      <c r="L1282" s="1" t="str">
        <f t="shared" ref="L1282" si="1354">IFERROR(L1231/L1162,"-")</f>
        <v>-</v>
      </c>
      <c r="N1282" s="1"/>
    </row>
    <row r="1283" spans="2:14" x14ac:dyDescent="0.35">
      <c r="B1283" s="5" t="str">
        <f t="shared" si="1328"/>
        <v>SPS1</v>
      </c>
      <c r="C1283" s="5" t="str">
        <f t="shared" si="1329"/>
        <v>CH</v>
      </c>
      <c r="D1283" t="s">
        <v>1198</v>
      </c>
      <c r="E1283" t="str">
        <f t="shared" si="1330"/>
        <v>km/MJ</v>
      </c>
      <c r="F1283" s="1">
        <f t="shared" si="1353"/>
        <v>1.1286887382757667</v>
      </c>
      <c r="G1283" s="1">
        <f t="shared" si="1353"/>
        <v>1.2248217301701574</v>
      </c>
      <c r="H1283" s="1">
        <f t="shared" si="1353"/>
        <v>1.1637676029692949</v>
      </c>
      <c r="I1283" s="1">
        <f t="shared" si="1353"/>
        <v>0.88989605679762085</v>
      </c>
      <c r="J1283" s="1">
        <f t="shared" si="1353"/>
        <v>0.89548091766287075</v>
      </c>
      <c r="K1283" s="1">
        <f t="shared" si="1353"/>
        <v>0.90037945549950815</v>
      </c>
      <c r="L1283" s="1" t="str">
        <f t="shared" ref="L1283" si="1355">IFERROR(L1232/L1163,"-")</f>
        <v>-</v>
      </c>
      <c r="N1283" s="1"/>
    </row>
    <row r="1284" spans="2:14" x14ac:dyDescent="0.35">
      <c r="B1284" s="5" t="str">
        <f t="shared" si="1328"/>
        <v>SPS1</v>
      </c>
      <c r="C1284" s="5" t="str">
        <f t="shared" si="1329"/>
        <v>CH</v>
      </c>
      <c r="D1284" t="s">
        <v>1199</v>
      </c>
      <c r="E1284" t="str">
        <f t="shared" si="1330"/>
        <v>km/MJ</v>
      </c>
      <c r="F1284" s="1">
        <f t="shared" si="1353"/>
        <v>1.5474523106370901</v>
      </c>
      <c r="G1284" s="1">
        <f t="shared" si="1353"/>
        <v>2.2178870816408365</v>
      </c>
      <c r="H1284" s="1">
        <f t="shared" si="1353"/>
        <v>1.9669768595973727</v>
      </c>
      <c r="I1284" s="1">
        <f t="shared" si="1353"/>
        <v>1.5959967050783677</v>
      </c>
      <c r="J1284" s="1">
        <f t="shared" si="1353"/>
        <v>1.5445462292820538</v>
      </c>
      <c r="K1284" s="1">
        <f t="shared" si="1353"/>
        <v>1.0995085958994053</v>
      </c>
      <c r="L1284" s="1" t="str">
        <f t="shared" ref="L1284" si="1356">IFERROR(L1233/L1164,"-")</f>
        <v>-</v>
      </c>
      <c r="N1284" s="1"/>
    </row>
    <row r="1285" spans="2:14" x14ac:dyDescent="0.35">
      <c r="B1285" s="5" t="str">
        <f t="shared" si="1328"/>
        <v>SPS1</v>
      </c>
      <c r="C1285" s="5" t="str">
        <f t="shared" si="1329"/>
        <v>CH</v>
      </c>
      <c r="D1285" t="s">
        <v>1200</v>
      </c>
      <c r="E1285" t="str">
        <f t="shared" si="1330"/>
        <v>km/MJ</v>
      </c>
      <c r="F1285" s="1">
        <f t="shared" si="1353"/>
        <v>1.8804652031587012</v>
      </c>
      <c r="G1285" s="1">
        <f t="shared" si="1353"/>
        <v>2.4682963610763711</v>
      </c>
      <c r="H1285" s="1">
        <f t="shared" si="1353"/>
        <v>2.4637296147754926</v>
      </c>
      <c r="I1285" s="1">
        <f t="shared" si="1353"/>
        <v>2.4860853390047217</v>
      </c>
      <c r="J1285" s="1">
        <f t="shared" si="1353"/>
        <v>2.5345974157295079</v>
      </c>
      <c r="K1285" s="1">
        <f t="shared" si="1353"/>
        <v>0.74034143628692961</v>
      </c>
      <c r="L1285" s="1" t="str">
        <f t="shared" ref="L1285" si="1357">IFERROR(L1234/L1165,"-")</f>
        <v>-</v>
      </c>
      <c r="N1285" s="1"/>
    </row>
    <row r="1286" spans="2:14" x14ac:dyDescent="0.35">
      <c r="B1286" s="5" t="str">
        <f t="shared" si="1328"/>
        <v>SPS1</v>
      </c>
      <c r="C1286" s="5" t="str">
        <f t="shared" si="1329"/>
        <v>CH</v>
      </c>
      <c r="D1286" t="s">
        <v>1201</v>
      </c>
      <c r="E1286" t="str">
        <f t="shared" si="1330"/>
        <v>km/MJ</v>
      </c>
      <c r="F1286" s="1">
        <f t="shared" si="1353"/>
        <v>1.123299989751694</v>
      </c>
      <c r="G1286" s="1">
        <f t="shared" si="1353"/>
        <v>1.3326385970402808</v>
      </c>
      <c r="H1286" s="1">
        <f t="shared" si="1353"/>
        <v>1.3279819527749028</v>
      </c>
      <c r="I1286" s="1">
        <f t="shared" si="1353"/>
        <v>1.3359086371333018</v>
      </c>
      <c r="J1286" s="1">
        <f t="shared" si="1353"/>
        <v>1.5153070550891994</v>
      </c>
      <c r="K1286" s="1">
        <f t="shared" si="1353"/>
        <v>0.70225612210056076</v>
      </c>
      <c r="L1286" s="1" t="str">
        <f t="shared" ref="L1286" si="1358">IFERROR(L1235/L1166,"-")</f>
        <v>-</v>
      </c>
      <c r="N1286" s="1"/>
    </row>
    <row r="1287" spans="2:14" x14ac:dyDescent="0.35">
      <c r="B1287" s="5" t="str">
        <f t="shared" si="1328"/>
        <v>SPS1</v>
      </c>
      <c r="C1287" s="5" t="str">
        <f t="shared" si="1329"/>
        <v>CH</v>
      </c>
      <c r="D1287" t="s">
        <v>1202</v>
      </c>
      <c r="E1287" t="str">
        <f t="shared" si="1330"/>
        <v>km/MJ</v>
      </c>
      <c r="F1287" s="1">
        <f t="shared" si="1353"/>
        <v>0.28603940550919488</v>
      </c>
      <c r="G1287" s="1">
        <f t="shared" si="1353"/>
        <v>0.29254854993039747</v>
      </c>
      <c r="H1287" s="1">
        <f t="shared" si="1353"/>
        <v>0.30231226656220067</v>
      </c>
      <c r="I1287" s="1">
        <f t="shared" si="1353"/>
        <v>0.31858512761520602</v>
      </c>
      <c r="J1287" s="1" t="str">
        <f t="shared" si="1353"/>
        <v>-</v>
      </c>
      <c r="K1287" s="1" t="str">
        <f t="shared" si="1353"/>
        <v>-</v>
      </c>
      <c r="L1287" s="1" t="str">
        <f t="shared" ref="L1287" si="1359">IFERROR(L1236/L1167,"-")</f>
        <v>-</v>
      </c>
      <c r="N1287" s="1"/>
    </row>
    <row r="1288" spans="2:14" x14ac:dyDescent="0.35">
      <c r="B1288" s="5" t="str">
        <f t="shared" si="1328"/>
        <v>SPS1</v>
      </c>
      <c r="C1288" s="5" t="str">
        <f t="shared" si="1329"/>
        <v>CH</v>
      </c>
      <c r="D1288" t="s">
        <v>1203</v>
      </c>
      <c r="E1288" t="str">
        <f t="shared" si="1330"/>
        <v>km/MJ</v>
      </c>
      <c r="F1288" s="1">
        <f t="shared" si="1353"/>
        <v>0.68205399616056994</v>
      </c>
      <c r="G1288" s="1">
        <f t="shared" si="1353"/>
        <v>0.67433392723903074</v>
      </c>
      <c r="H1288" s="1">
        <f t="shared" si="1353"/>
        <v>0.62329799733689129</v>
      </c>
      <c r="I1288" s="1">
        <f t="shared" si="1353"/>
        <v>0.62281544989245519</v>
      </c>
      <c r="J1288" s="1">
        <f t="shared" si="1353"/>
        <v>0.59947114924882794</v>
      </c>
      <c r="K1288" s="1">
        <f t="shared" si="1353"/>
        <v>0.59931551678455208</v>
      </c>
      <c r="L1288" s="1" t="str">
        <f t="shared" ref="L1288" si="1360">IFERROR(L1237/L1168,"-")</f>
        <v>-</v>
      </c>
      <c r="N1288" s="1"/>
    </row>
    <row r="1289" spans="2:14" x14ac:dyDescent="0.35">
      <c r="B1289" s="5" t="str">
        <f t="shared" si="1328"/>
        <v>SPS1</v>
      </c>
      <c r="C1289" s="5" t="str">
        <f t="shared" si="1329"/>
        <v>CH</v>
      </c>
      <c r="D1289" t="s">
        <v>1204</v>
      </c>
      <c r="E1289" t="str">
        <f t="shared" si="1330"/>
        <v>km/MJ</v>
      </c>
      <c r="F1289" s="1">
        <f t="shared" si="1353"/>
        <v>0.60190719997139985</v>
      </c>
      <c r="G1289" s="1">
        <f t="shared" si="1353"/>
        <v>0.60445979248390957</v>
      </c>
      <c r="H1289" s="1">
        <f t="shared" si="1353"/>
        <v>0.60798702603277344</v>
      </c>
      <c r="I1289" s="1">
        <f t="shared" si="1353"/>
        <v>0.60907746592716894</v>
      </c>
      <c r="J1289" s="1">
        <f t="shared" si="1353"/>
        <v>0.59847721240853957</v>
      </c>
      <c r="K1289" s="1">
        <f t="shared" si="1353"/>
        <v>0.49857804120654714</v>
      </c>
      <c r="L1289" s="1" t="str">
        <f t="shared" ref="L1289" si="1361">IFERROR(L1238/L1169,"-")</f>
        <v>-</v>
      </c>
      <c r="N1289" s="1"/>
    </row>
    <row r="1290" spans="2:14" x14ac:dyDescent="0.35">
      <c r="B1290" s="5" t="str">
        <f t="shared" si="1328"/>
        <v>SPS1</v>
      </c>
      <c r="C1290" s="5" t="str">
        <f t="shared" si="1329"/>
        <v>CH</v>
      </c>
      <c r="D1290" t="s">
        <v>1205</v>
      </c>
      <c r="E1290" t="str">
        <f t="shared" si="1330"/>
        <v>km/MJ</v>
      </c>
      <c r="F1290" s="1">
        <f t="shared" si="1353"/>
        <v>0.51517780948893244</v>
      </c>
      <c r="G1290" s="1">
        <f t="shared" si="1353"/>
        <v>0.51522685544915248</v>
      </c>
      <c r="H1290" s="1">
        <f t="shared" si="1353"/>
        <v>0.50970392873300729</v>
      </c>
      <c r="I1290" s="1">
        <f t="shared" si="1353"/>
        <v>0.51187943371356404</v>
      </c>
      <c r="J1290" s="1">
        <f t="shared" si="1353"/>
        <v>0.49629074802659068</v>
      </c>
      <c r="K1290" s="1">
        <f t="shared" si="1353"/>
        <v>0.48072021168397872</v>
      </c>
      <c r="L1290" s="1" t="str">
        <f t="shared" ref="L1290" si="1362">IFERROR(L1239/L1170,"-")</f>
        <v>-</v>
      </c>
      <c r="N1290" s="1"/>
    </row>
    <row r="1291" spans="2:14" x14ac:dyDescent="0.35">
      <c r="B1291" s="5" t="str">
        <f t="shared" si="1328"/>
        <v>SPS1</v>
      </c>
      <c r="C1291" s="5" t="str">
        <f t="shared" si="1329"/>
        <v>CH</v>
      </c>
      <c r="D1291" t="s">
        <v>1206</v>
      </c>
      <c r="E1291" t="str">
        <f t="shared" si="1330"/>
        <v>km/MJ</v>
      </c>
      <c r="F1291" s="1">
        <f t="shared" si="1353"/>
        <v>0.43335331759564327</v>
      </c>
      <c r="G1291" s="1">
        <f t="shared" si="1353"/>
        <v>0.43329854811830182</v>
      </c>
      <c r="H1291" s="1">
        <f t="shared" si="1353"/>
        <v>0.43378697966240548</v>
      </c>
      <c r="I1291" s="1">
        <f t="shared" si="1353"/>
        <v>0.43689749158683866</v>
      </c>
      <c r="J1291" s="1">
        <f t="shared" si="1353"/>
        <v>0.44918582309530469</v>
      </c>
      <c r="K1291" s="1">
        <f t="shared" si="1353"/>
        <v>0.45609663042209764</v>
      </c>
      <c r="L1291" s="1" t="str">
        <f t="shared" ref="L1291" si="1363">IFERROR(L1240/L1171,"-")</f>
        <v>-</v>
      </c>
      <c r="N1291" s="1"/>
    </row>
    <row r="1292" spans="2:14" x14ac:dyDescent="0.35">
      <c r="B1292" s="5" t="str">
        <f t="shared" si="1328"/>
        <v>SPS1</v>
      </c>
      <c r="C1292" s="5" t="str">
        <f t="shared" si="1329"/>
        <v>CH</v>
      </c>
      <c r="D1292" t="s">
        <v>1207</v>
      </c>
      <c r="E1292" t="str">
        <f t="shared" si="1330"/>
        <v>km/MJ</v>
      </c>
      <c r="F1292" s="1" t="str">
        <f t="shared" si="1353"/>
        <v>-</v>
      </c>
      <c r="G1292" s="1">
        <f t="shared" si="1353"/>
        <v>0.51837627625535165</v>
      </c>
      <c r="H1292" s="1">
        <f t="shared" si="1353"/>
        <v>0.53766862422917461</v>
      </c>
      <c r="I1292" s="1">
        <f t="shared" si="1353"/>
        <v>0.5803518320486668</v>
      </c>
      <c r="J1292" s="1">
        <f t="shared" si="1353"/>
        <v>0.58799294151627979</v>
      </c>
      <c r="K1292" s="1">
        <f t="shared" si="1353"/>
        <v>0.60406098393516205</v>
      </c>
      <c r="L1292" s="1" t="str">
        <f t="shared" ref="L1292" si="1364">IFERROR(L1241/L1172,"-")</f>
        <v>-</v>
      </c>
      <c r="N1292" s="1"/>
    </row>
    <row r="1293" spans="2:14" x14ac:dyDescent="0.35">
      <c r="B1293" s="5" t="str">
        <f t="shared" si="1328"/>
        <v>SPS1</v>
      </c>
      <c r="C1293" s="5" t="str">
        <f t="shared" si="1329"/>
        <v>CH</v>
      </c>
      <c r="D1293" t="s">
        <v>1208</v>
      </c>
      <c r="E1293" t="str">
        <f t="shared" si="1330"/>
        <v>km/MJ</v>
      </c>
      <c r="F1293" s="1" t="str">
        <f t="shared" si="1353"/>
        <v>-</v>
      </c>
      <c r="G1293" s="1">
        <f t="shared" si="1353"/>
        <v>0.41733711223534986</v>
      </c>
      <c r="H1293" s="1">
        <f t="shared" si="1353"/>
        <v>0.43619234574394894</v>
      </c>
      <c r="I1293" s="1">
        <f t="shared" si="1353"/>
        <v>0.47114926595692685</v>
      </c>
      <c r="J1293" s="1">
        <f t="shared" si="1353"/>
        <v>0.47564720146792777</v>
      </c>
      <c r="K1293" s="1">
        <f t="shared" si="1353"/>
        <v>0.48930063733106927</v>
      </c>
      <c r="L1293" s="1" t="str">
        <f t="shared" ref="L1293" si="1365">IFERROR(L1242/L1173,"-")</f>
        <v>-</v>
      </c>
      <c r="N1293" s="1"/>
    </row>
    <row r="1294" spans="2:14" x14ac:dyDescent="0.35">
      <c r="B1294" s="5" t="str">
        <f t="shared" si="1328"/>
        <v>SPS1</v>
      </c>
      <c r="C1294" s="5" t="str">
        <f t="shared" si="1329"/>
        <v>CH</v>
      </c>
      <c r="D1294" t="s">
        <v>1209</v>
      </c>
      <c r="E1294" t="str">
        <f t="shared" si="1330"/>
        <v>km/MJ</v>
      </c>
      <c r="F1294" s="1" t="str">
        <f t="shared" si="1353"/>
        <v>-</v>
      </c>
      <c r="G1294" s="1">
        <f t="shared" si="1353"/>
        <v>0.38796990995538655</v>
      </c>
      <c r="H1294" s="1">
        <f t="shared" si="1353"/>
        <v>0.40454496251576683</v>
      </c>
      <c r="I1294" s="1">
        <f t="shared" si="1353"/>
        <v>0.43542054548371562</v>
      </c>
      <c r="J1294" s="1">
        <f t="shared" si="1353"/>
        <v>0.44149094292007673</v>
      </c>
      <c r="K1294" s="1">
        <f t="shared" si="1353"/>
        <v>0.4554310486708732</v>
      </c>
      <c r="L1294" s="1" t="str">
        <f t="shared" ref="L1294" si="1366">IFERROR(L1243/L1174,"-")</f>
        <v>-</v>
      </c>
      <c r="N1294" s="1"/>
    </row>
    <row r="1295" spans="2:14" x14ac:dyDescent="0.35">
      <c r="B1295" s="5" t="str">
        <f t="shared" si="1328"/>
        <v>SPS1</v>
      </c>
      <c r="C1295" s="5" t="str">
        <f t="shared" si="1329"/>
        <v>CH</v>
      </c>
      <c r="D1295" t="s">
        <v>1210</v>
      </c>
      <c r="E1295" t="str">
        <f t="shared" si="1330"/>
        <v>km/MJ</v>
      </c>
      <c r="F1295" s="1" t="str">
        <f t="shared" si="1353"/>
        <v>-</v>
      </c>
      <c r="G1295" s="1">
        <f t="shared" si="1353"/>
        <v>0.39332458747711346</v>
      </c>
      <c r="H1295" s="1">
        <f t="shared" si="1353"/>
        <v>0.40928568018043349</v>
      </c>
      <c r="I1295" s="1">
        <f t="shared" si="1353"/>
        <v>0.44424188066686016</v>
      </c>
      <c r="J1295" s="1">
        <f t="shared" si="1353"/>
        <v>0.44844064593907229</v>
      </c>
      <c r="K1295" s="1">
        <f t="shared" si="1353"/>
        <v>0.46048782285601159</v>
      </c>
      <c r="L1295" s="1" t="str">
        <f t="shared" ref="L1295" si="1367">IFERROR(L1244/L1175,"-")</f>
        <v>-</v>
      </c>
      <c r="N1295" s="1"/>
    </row>
    <row r="1296" spans="2:14" x14ac:dyDescent="0.35">
      <c r="B1296" s="5" t="str">
        <f t="shared" si="1328"/>
        <v>SPS1</v>
      </c>
      <c r="C1296" s="5" t="str">
        <f t="shared" si="1329"/>
        <v>CH</v>
      </c>
      <c r="D1296" t="s">
        <v>1234</v>
      </c>
      <c r="E1296" t="str">
        <f t="shared" si="1330"/>
        <v>km/MJ</v>
      </c>
      <c r="F1296" s="1" t="str">
        <f t="shared" ref="F1296:K1309" si="1368">IFERROR(F1245/F1185,"-")</f>
        <v>-</v>
      </c>
      <c r="G1296" s="1" t="str">
        <f t="shared" si="1368"/>
        <v>-</v>
      </c>
      <c r="H1296" s="1" t="str">
        <f t="shared" si="1368"/>
        <v>-</v>
      </c>
      <c r="I1296" s="1" t="str">
        <f t="shared" si="1368"/>
        <v>-</v>
      </c>
      <c r="J1296" s="1" t="str">
        <f t="shared" si="1368"/>
        <v>-</v>
      </c>
      <c r="K1296" s="1" t="str">
        <f t="shared" si="1368"/>
        <v>-</v>
      </c>
      <c r="L1296" s="1" t="str">
        <f t="shared" ref="L1296" si="1369">IFERROR(L1245/L1185,"-")</f>
        <v>-</v>
      </c>
      <c r="N1296" s="1"/>
    </row>
    <row r="1297" spans="2:14" x14ac:dyDescent="0.35">
      <c r="B1297" s="5" t="str">
        <f t="shared" si="1328"/>
        <v>SPS1</v>
      </c>
      <c r="C1297" s="5" t="str">
        <f t="shared" si="1329"/>
        <v>CH</v>
      </c>
      <c r="D1297" t="s">
        <v>1211</v>
      </c>
      <c r="E1297" t="str">
        <f t="shared" si="1330"/>
        <v>km/MJ</v>
      </c>
      <c r="F1297" s="1">
        <f t="shared" si="1368"/>
        <v>0.41824117647058801</v>
      </c>
      <c r="G1297" s="1">
        <f t="shared" si="1368"/>
        <v>1.6976494765847152</v>
      </c>
      <c r="H1297" s="1">
        <f t="shared" si="1368"/>
        <v>1.6953643552202713</v>
      </c>
      <c r="I1297" s="1">
        <f t="shared" si="1368"/>
        <v>1.6608898896013045</v>
      </c>
      <c r="J1297" s="1">
        <f t="shared" si="1368"/>
        <v>0.96275191931831716</v>
      </c>
      <c r="K1297" s="1">
        <f t="shared" si="1368"/>
        <v>0.9241510742902258</v>
      </c>
      <c r="L1297" s="1" t="str">
        <f t="shared" ref="L1297" si="1370">IFERROR(L1246/L1186,"-")</f>
        <v>-</v>
      </c>
      <c r="N1297" s="1"/>
    </row>
    <row r="1298" spans="2:14" x14ac:dyDescent="0.35">
      <c r="B1298" s="5" t="str">
        <f t="shared" si="1328"/>
        <v>SPS1</v>
      </c>
      <c r="C1298" s="5" t="str">
        <f t="shared" si="1329"/>
        <v>CH</v>
      </c>
      <c r="D1298" t="s">
        <v>1212</v>
      </c>
      <c r="E1298" t="str">
        <f t="shared" si="1330"/>
        <v>km/MJ</v>
      </c>
      <c r="F1298" s="1">
        <f t="shared" si="1368"/>
        <v>1.1861225080161868</v>
      </c>
      <c r="G1298" s="1">
        <f t="shared" si="1368"/>
        <v>2.6784498073457406</v>
      </c>
      <c r="H1298" s="1">
        <f t="shared" si="1368"/>
        <v>2.1970890759577211</v>
      </c>
      <c r="I1298" s="1">
        <f t="shared" si="1368"/>
        <v>1.0415195469753902</v>
      </c>
      <c r="J1298" s="1">
        <f t="shared" si="1368"/>
        <v>0.99623073032434617</v>
      </c>
      <c r="K1298" s="1">
        <f t="shared" si="1368"/>
        <v>0.79406273110174252</v>
      </c>
      <c r="L1298" s="1" t="str">
        <f t="shared" ref="L1298" si="1371">IFERROR(L1247/L1187,"-")</f>
        <v>-</v>
      </c>
      <c r="N1298" s="1"/>
    </row>
    <row r="1299" spans="2:14" x14ac:dyDescent="0.35">
      <c r="B1299" s="5" t="str">
        <f t="shared" si="1328"/>
        <v>SPS1</v>
      </c>
      <c r="C1299" s="5" t="str">
        <f t="shared" si="1329"/>
        <v>CH</v>
      </c>
      <c r="D1299" t="s">
        <v>1213</v>
      </c>
      <c r="E1299" t="str">
        <f t="shared" si="1330"/>
        <v>km/MJ</v>
      </c>
      <c r="F1299" s="1">
        <f t="shared" si="1368"/>
        <v>0.9191863157657213</v>
      </c>
      <c r="G1299" s="1">
        <f t="shared" si="1368"/>
        <v>1.2012590672444443</v>
      </c>
      <c r="H1299" s="1">
        <f t="shared" si="1368"/>
        <v>1.1979344397282075</v>
      </c>
      <c r="I1299" s="1">
        <f t="shared" si="1368"/>
        <v>1.2481766879431235</v>
      </c>
      <c r="J1299" s="1">
        <f t="shared" si="1368"/>
        <v>1.3131132773034586</v>
      </c>
      <c r="K1299" s="1">
        <f t="shared" si="1368"/>
        <v>0.71049216897237844</v>
      </c>
      <c r="L1299" s="1" t="str">
        <f t="shared" ref="L1299" si="1372">IFERROR(L1248/L1188,"-")</f>
        <v>-</v>
      </c>
      <c r="N1299" s="1"/>
    </row>
    <row r="1300" spans="2:14" x14ac:dyDescent="0.35">
      <c r="B1300" s="5" t="str">
        <f t="shared" si="1328"/>
        <v>SPS1</v>
      </c>
      <c r="C1300" s="5" t="str">
        <f t="shared" si="1329"/>
        <v>CH</v>
      </c>
      <c r="D1300" t="s">
        <v>1214</v>
      </c>
      <c r="E1300" t="str">
        <f t="shared" si="1330"/>
        <v>km/MJ</v>
      </c>
      <c r="F1300" s="1">
        <f t="shared" si="1368"/>
        <v>1.3447385131189982</v>
      </c>
      <c r="G1300" s="1">
        <f t="shared" si="1368"/>
        <v>1.5813257707260331</v>
      </c>
      <c r="H1300" s="1">
        <f t="shared" si="1368"/>
        <v>1.5870387725418167</v>
      </c>
      <c r="I1300" s="1">
        <f t="shared" si="1368"/>
        <v>1.6025706491645642</v>
      </c>
      <c r="J1300" s="1">
        <f t="shared" si="1368"/>
        <v>1.480055483672204</v>
      </c>
      <c r="K1300" s="1">
        <f t="shared" si="1368"/>
        <v>0.70170387274806134</v>
      </c>
      <c r="L1300" s="1" t="str">
        <f t="shared" ref="L1300" si="1373">IFERROR(L1249/L1189,"-")</f>
        <v>-</v>
      </c>
      <c r="N1300" s="1"/>
    </row>
    <row r="1301" spans="2:14" x14ac:dyDescent="0.35">
      <c r="B1301" s="5" t="str">
        <f t="shared" si="1328"/>
        <v>SPS1</v>
      </c>
      <c r="C1301" s="5" t="str">
        <f t="shared" si="1329"/>
        <v>CH</v>
      </c>
      <c r="D1301" t="s">
        <v>1215</v>
      </c>
      <c r="E1301" t="str">
        <f t="shared" si="1330"/>
        <v>km/MJ</v>
      </c>
      <c r="F1301" s="1">
        <f t="shared" si="1368"/>
        <v>0.33901850024085983</v>
      </c>
      <c r="G1301" s="1">
        <f t="shared" si="1368"/>
        <v>0.35391427166601075</v>
      </c>
      <c r="H1301" s="1">
        <f t="shared" si="1368"/>
        <v>0.37625792880373715</v>
      </c>
      <c r="I1301" s="1">
        <f t="shared" si="1368"/>
        <v>0.4134973573666148</v>
      </c>
      <c r="J1301" s="1" t="str">
        <f t="shared" si="1368"/>
        <v>-</v>
      </c>
      <c r="K1301" s="1" t="str">
        <f t="shared" si="1368"/>
        <v>-</v>
      </c>
      <c r="L1301" s="1" t="str">
        <f t="shared" ref="L1301" si="1374">IFERROR(L1250/L1190,"-")</f>
        <v>-</v>
      </c>
      <c r="N1301" s="1"/>
    </row>
    <row r="1302" spans="2:14" x14ac:dyDescent="0.35">
      <c r="B1302" s="5" t="str">
        <f t="shared" si="1328"/>
        <v>SPS1</v>
      </c>
      <c r="C1302" s="5" t="str">
        <f t="shared" si="1329"/>
        <v>CH</v>
      </c>
      <c r="D1302" t="s">
        <v>1216</v>
      </c>
      <c r="E1302" t="str">
        <f t="shared" si="1330"/>
        <v>km/MJ</v>
      </c>
      <c r="F1302" s="1">
        <f t="shared" si="1368"/>
        <v>0.74937658352289116</v>
      </c>
      <c r="G1302" s="1">
        <f t="shared" si="1368"/>
        <v>0.82451670133030042</v>
      </c>
      <c r="H1302" s="1">
        <f t="shared" si="1368"/>
        <v>0.81700025600574999</v>
      </c>
      <c r="I1302" s="1">
        <f t="shared" si="1368"/>
        <v>0.80123768175305476</v>
      </c>
      <c r="J1302" s="1">
        <f t="shared" si="1368"/>
        <v>0.74515627885098668</v>
      </c>
      <c r="K1302" s="1">
        <f t="shared" si="1368"/>
        <v>0.65593218071520187</v>
      </c>
      <c r="L1302" s="1" t="str">
        <f t="shared" ref="L1302" si="1375">IFERROR(L1251/L1191,"-")</f>
        <v>-</v>
      </c>
      <c r="N1302" s="1"/>
    </row>
    <row r="1303" spans="2:14" x14ac:dyDescent="0.35">
      <c r="B1303" s="5" t="str">
        <f t="shared" si="1328"/>
        <v>SPS1</v>
      </c>
      <c r="C1303" s="5" t="str">
        <f t="shared" si="1329"/>
        <v>CH</v>
      </c>
      <c r="D1303" t="s">
        <v>1217</v>
      </c>
      <c r="E1303" t="str">
        <f t="shared" si="1330"/>
        <v>km/MJ</v>
      </c>
      <c r="F1303" s="1">
        <f t="shared" si="1368"/>
        <v>0.70480060867609495</v>
      </c>
      <c r="G1303" s="1">
        <f t="shared" si="1368"/>
        <v>0.70457039146863976</v>
      </c>
      <c r="H1303" s="1">
        <f t="shared" si="1368"/>
        <v>0.72786180264077338</v>
      </c>
      <c r="I1303" s="1">
        <f t="shared" si="1368"/>
        <v>0.73339675072157673</v>
      </c>
      <c r="J1303" s="1">
        <f t="shared" si="1368"/>
        <v>0.79425264448981181</v>
      </c>
      <c r="K1303" s="1">
        <f t="shared" si="1368"/>
        <v>0.52427347197142349</v>
      </c>
      <c r="L1303" s="1" t="str">
        <f t="shared" ref="L1303" si="1376">IFERROR(L1252/L1192,"-")</f>
        <v>-</v>
      </c>
      <c r="N1303" s="1"/>
    </row>
    <row r="1304" spans="2:14" x14ac:dyDescent="0.35">
      <c r="B1304" s="5" t="str">
        <f t="shared" si="1328"/>
        <v>SPS1</v>
      </c>
      <c r="C1304" s="5" t="str">
        <f t="shared" si="1329"/>
        <v>CH</v>
      </c>
      <c r="D1304" t="s">
        <v>1218</v>
      </c>
      <c r="E1304" t="str">
        <f t="shared" si="1330"/>
        <v>km/MJ</v>
      </c>
      <c r="F1304" s="1">
        <f t="shared" si="1368"/>
        <v>0.53574007336887897</v>
      </c>
      <c r="G1304" s="1">
        <f t="shared" si="1368"/>
        <v>0.53243699148100498</v>
      </c>
      <c r="H1304" s="1">
        <f t="shared" si="1368"/>
        <v>0.53197342745035037</v>
      </c>
      <c r="I1304" s="1">
        <f t="shared" si="1368"/>
        <v>0.54119923593546837</v>
      </c>
      <c r="J1304" s="1">
        <f t="shared" si="1368"/>
        <v>0.58906530419750014</v>
      </c>
      <c r="K1304" s="1">
        <f t="shared" si="1368"/>
        <v>0.47861427734420586</v>
      </c>
      <c r="L1304" s="1" t="str">
        <f t="shared" ref="L1304" si="1377">IFERROR(L1253/L1193,"-")</f>
        <v>-</v>
      </c>
      <c r="N1304" s="1"/>
    </row>
    <row r="1305" spans="2:14" x14ac:dyDescent="0.35">
      <c r="B1305" s="5" t="str">
        <f t="shared" si="1328"/>
        <v>SPS1</v>
      </c>
      <c r="C1305" s="5" t="str">
        <f t="shared" si="1329"/>
        <v>CH</v>
      </c>
      <c r="D1305" t="s">
        <v>1219</v>
      </c>
      <c r="E1305" t="str">
        <f t="shared" si="1330"/>
        <v>km/MJ</v>
      </c>
      <c r="F1305" s="1">
        <f t="shared" si="1368"/>
        <v>0.46599933508579938</v>
      </c>
      <c r="G1305" s="1">
        <f t="shared" si="1368"/>
        <v>0.45573686750085596</v>
      </c>
      <c r="H1305" s="1">
        <f t="shared" si="1368"/>
        <v>0.45675927862065879</v>
      </c>
      <c r="I1305" s="1">
        <f t="shared" si="1368"/>
        <v>0.46314962588394176</v>
      </c>
      <c r="J1305" s="1">
        <f t="shared" si="1368"/>
        <v>0.39147881892540531</v>
      </c>
      <c r="K1305" s="1">
        <f t="shared" si="1368"/>
        <v>0.44494823714347925</v>
      </c>
      <c r="L1305" s="1" t="str">
        <f t="shared" ref="L1305" si="1378">IFERROR(L1254/L1194,"-")</f>
        <v>-</v>
      </c>
      <c r="N1305" s="1"/>
    </row>
    <row r="1306" spans="2:14" x14ac:dyDescent="0.35">
      <c r="B1306" s="5" t="str">
        <f t="shared" si="1328"/>
        <v>SPS1</v>
      </c>
      <c r="C1306" s="5" t="str">
        <f t="shared" si="1329"/>
        <v>CH</v>
      </c>
      <c r="D1306" t="s">
        <v>1220</v>
      </c>
      <c r="E1306" t="str">
        <f t="shared" si="1330"/>
        <v>km/MJ</v>
      </c>
      <c r="F1306" s="1" t="str">
        <f t="shared" si="1368"/>
        <v>-</v>
      </c>
      <c r="G1306" s="1">
        <f t="shared" si="1368"/>
        <v>0.56203544748554612</v>
      </c>
      <c r="H1306" s="1">
        <f t="shared" si="1368"/>
        <v>0.57936983979871881</v>
      </c>
      <c r="I1306" s="1">
        <f t="shared" si="1368"/>
        <v>0.61644180016803862</v>
      </c>
      <c r="J1306" s="1">
        <f t="shared" si="1368"/>
        <v>0.62334147978097543</v>
      </c>
      <c r="K1306" s="1">
        <f t="shared" si="1368"/>
        <v>0.63804042021172824</v>
      </c>
      <c r="L1306" s="1" t="str">
        <f t="shared" ref="L1306" si="1379">IFERROR(L1255/L1195,"-")</f>
        <v>-</v>
      </c>
      <c r="N1306" s="1"/>
    </row>
    <row r="1307" spans="2:14" x14ac:dyDescent="0.35">
      <c r="B1307" s="5" t="str">
        <f t="shared" si="1328"/>
        <v>SPS1</v>
      </c>
      <c r="C1307" s="5" t="str">
        <f t="shared" si="1329"/>
        <v>CH</v>
      </c>
      <c r="D1307" t="s">
        <v>1221</v>
      </c>
      <c r="E1307" t="str">
        <f t="shared" si="1330"/>
        <v>km/MJ</v>
      </c>
      <c r="F1307" s="1" t="str">
        <f t="shared" si="1368"/>
        <v>-</v>
      </c>
      <c r="G1307" s="1">
        <f t="shared" si="1368"/>
        <v>0.45210145766281479</v>
      </c>
      <c r="H1307" s="1">
        <f t="shared" si="1368"/>
        <v>0.46902015587313245</v>
      </c>
      <c r="I1307" s="1">
        <f t="shared" si="1368"/>
        <v>0.50294272244607874</v>
      </c>
      <c r="J1307" s="1">
        <f t="shared" si="1368"/>
        <v>0.50643153664595453</v>
      </c>
      <c r="K1307" s="1">
        <f t="shared" si="1368"/>
        <v>0.51762731084084534</v>
      </c>
      <c r="L1307" s="1" t="str">
        <f t="shared" ref="L1307" si="1380">IFERROR(L1256/L1196,"-")</f>
        <v>-</v>
      </c>
      <c r="N1307" s="1"/>
    </row>
    <row r="1308" spans="2:14" x14ac:dyDescent="0.35">
      <c r="B1308" s="5" t="str">
        <f t="shared" si="1328"/>
        <v>SPS1</v>
      </c>
      <c r="C1308" s="5" t="str">
        <f t="shared" si="1329"/>
        <v>CH</v>
      </c>
      <c r="D1308" t="s">
        <v>1222</v>
      </c>
      <c r="E1308" t="str">
        <f t="shared" si="1330"/>
        <v>km/MJ</v>
      </c>
      <c r="F1308" s="1" t="str">
        <f t="shared" si="1368"/>
        <v>-</v>
      </c>
      <c r="G1308" s="1">
        <f t="shared" si="1368"/>
        <v>0.42028149632876888</v>
      </c>
      <c r="H1308" s="1">
        <f t="shared" si="1368"/>
        <v>0.43531756749581157</v>
      </c>
      <c r="I1308" s="1">
        <f t="shared" si="1368"/>
        <v>0.46528903066570854</v>
      </c>
      <c r="J1308" s="1">
        <f t="shared" si="1368"/>
        <v>0.47050045468893903</v>
      </c>
      <c r="K1308" s="1">
        <f t="shared" si="1368"/>
        <v>0.48175303059898616</v>
      </c>
      <c r="L1308" s="1" t="str">
        <f t="shared" ref="L1308" si="1381">IFERROR(L1257/L1197,"-")</f>
        <v>-</v>
      </c>
      <c r="N1308" s="1"/>
    </row>
    <row r="1309" spans="2:14" x14ac:dyDescent="0.35">
      <c r="B1309" s="5" t="str">
        <f t="shared" si="1328"/>
        <v>SPS1</v>
      </c>
      <c r="C1309" s="5" t="str">
        <f t="shared" si="1329"/>
        <v>CH</v>
      </c>
      <c r="D1309" t="s">
        <v>1223</v>
      </c>
      <c r="E1309" t="str">
        <f t="shared" si="1330"/>
        <v>km/MJ</v>
      </c>
      <c r="F1309" s="1" t="str">
        <f t="shared" si="1368"/>
        <v>-</v>
      </c>
      <c r="G1309" s="1">
        <f t="shared" si="1368"/>
        <v>0.39943403925494791</v>
      </c>
      <c r="H1309" s="1">
        <f t="shared" si="1368"/>
        <v>0.41242539873012529</v>
      </c>
      <c r="I1309" s="1">
        <f t="shared" si="1368"/>
        <v>0.43363828436015023</v>
      </c>
      <c r="J1309" s="1">
        <f t="shared" si="1368"/>
        <v>0.43930608109926106</v>
      </c>
      <c r="K1309" s="1">
        <f t="shared" si="1368"/>
        <v>0.45420990986341192</v>
      </c>
      <c r="L1309" s="1" t="str">
        <f t="shared" ref="L1309" si="1382">IFERROR(L1258/L1198,"-")</f>
        <v>-</v>
      </c>
      <c r="N1309" s="1"/>
    </row>
    <row r="1310" spans="2:14" x14ac:dyDescent="0.35">
      <c r="B1310" s="5" t="str">
        <f t="shared" si="1328"/>
        <v>SPS1</v>
      </c>
      <c r="C1310" s="5" t="str">
        <f t="shared" si="1329"/>
        <v>CH</v>
      </c>
      <c r="D1310" t="s">
        <v>1224</v>
      </c>
      <c r="E1310" t="str">
        <f t="shared" si="1330"/>
        <v>km/MJ</v>
      </c>
      <c r="F1310" s="1" t="str">
        <f>IFERROR(F1259/F1208,"-")</f>
        <v>-</v>
      </c>
      <c r="G1310" s="1">
        <f t="shared" ref="G1310:K1314" si="1383">IFERROR(G1259/G1199,"-")</f>
        <v>0</v>
      </c>
      <c r="H1310" s="1">
        <f t="shared" si="1383"/>
        <v>0</v>
      </c>
      <c r="I1310" s="1">
        <f t="shared" si="1383"/>
        <v>0</v>
      </c>
      <c r="J1310" s="1">
        <f t="shared" si="1383"/>
        <v>0</v>
      </c>
      <c r="K1310" s="1">
        <f t="shared" si="1383"/>
        <v>0</v>
      </c>
      <c r="L1310" s="1" t="str">
        <f t="shared" ref="L1310" si="1384">IFERROR(L1259/L1199,"-")</f>
        <v>-</v>
      </c>
      <c r="N1310" s="1"/>
    </row>
    <row r="1311" spans="2:14" x14ac:dyDescent="0.35">
      <c r="B1311" s="5" t="str">
        <f t="shared" si="1328"/>
        <v>SPS1</v>
      </c>
      <c r="C1311" s="5" t="str">
        <f t="shared" si="1329"/>
        <v>CH</v>
      </c>
      <c r="D1311" t="s">
        <v>1225</v>
      </c>
      <c r="E1311" t="str">
        <f t="shared" si="1330"/>
        <v>km/MJ</v>
      </c>
      <c r="F1311" s="1">
        <f>IFERROR(F1260/F1209,"-")</f>
        <v>0.61538895829153983</v>
      </c>
      <c r="G1311" s="1">
        <f t="shared" si="1383"/>
        <v>0.79902302296730154</v>
      </c>
      <c r="H1311" s="1">
        <f t="shared" si="1383"/>
        <v>0.32409884632120495</v>
      </c>
      <c r="I1311" s="1">
        <f t="shared" si="1383"/>
        <v>2.0673320836852797E-2</v>
      </c>
      <c r="J1311" s="1">
        <f t="shared" si="1383"/>
        <v>5.7310665689508031E-3</v>
      </c>
      <c r="K1311" s="1">
        <f t="shared" si="1383"/>
        <v>4.7679903916961319E-3</v>
      </c>
      <c r="L1311" s="1" t="str">
        <f t="shared" ref="L1311" si="1385">IFERROR(L1260/L1200,"-")</f>
        <v>-</v>
      </c>
      <c r="N1311" s="1"/>
    </row>
    <row r="1312" spans="2:14" x14ac:dyDescent="0.35">
      <c r="B1312" s="5" t="str">
        <f t="shared" si="1328"/>
        <v>SPS1</v>
      </c>
      <c r="C1312" s="5" t="str">
        <f t="shared" si="1329"/>
        <v>CH</v>
      </c>
      <c r="D1312" t="s">
        <v>1226</v>
      </c>
      <c r="E1312" t="str">
        <f t="shared" si="1330"/>
        <v>km/MJ</v>
      </c>
      <c r="F1312" s="1">
        <f>IFERROR(F1261/F1210,"-")</f>
        <v>0.63262428220852895</v>
      </c>
      <c r="G1312" s="1">
        <f t="shared" si="1383"/>
        <v>1.159052299701083</v>
      </c>
      <c r="H1312" s="1">
        <f t="shared" si="1383"/>
        <v>2.0607380893975392E-2</v>
      </c>
      <c r="I1312" s="1">
        <f t="shared" si="1383"/>
        <v>2.9084421556605776E-5</v>
      </c>
      <c r="J1312" s="1">
        <f t="shared" si="1383"/>
        <v>3.933676195496694E-5</v>
      </c>
      <c r="K1312" s="1">
        <f t="shared" si="1383"/>
        <v>7.7523479227789677E-5</v>
      </c>
      <c r="L1312" s="1" t="str">
        <f t="shared" ref="L1312" si="1386">IFERROR(L1261/L1201,"-")</f>
        <v>-</v>
      </c>
      <c r="N1312" s="1"/>
    </row>
    <row r="1313" spans="2:16" x14ac:dyDescent="0.35">
      <c r="B1313" s="5" t="str">
        <f t="shared" si="1328"/>
        <v>SPS1</v>
      </c>
      <c r="C1313" s="5" t="str">
        <f t="shared" si="1329"/>
        <v>CH</v>
      </c>
      <c r="D1313" t="s">
        <v>1227</v>
      </c>
      <c r="E1313" t="str">
        <f t="shared" si="1330"/>
        <v>km/MJ</v>
      </c>
      <c r="F1313" s="1">
        <f>IFERROR(F1262/F1211,"-")</f>
        <v>0.46801268644513094</v>
      </c>
      <c r="G1313" s="1">
        <f t="shared" si="1383"/>
        <v>6.8684257691284056E-2</v>
      </c>
      <c r="H1313" s="1">
        <f t="shared" si="1383"/>
        <v>6.7377031955218325E-2</v>
      </c>
      <c r="I1313" s="1">
        <f t="shared" si="1383"/>
        <v>1.2321714620852499E-2</v>
      </c>
      <c r="J1313" s="1">
        <f t="shared" si="1383"/>
        <v>1.41981249562736E-2</v>
      </c>
      <c r="K1313" s="1">
        <f t="shared" si="1383"/>
        <v>2.2303975214886855E-2</v>
      </c>
      <c r="L1313" s="1" t="str">
        <f t="shared" ref="L1313" si="1387">IFERROR(L1262/L1202,"-")</f>
        <v>-</v>
      </c>
      <c r="N1313" s="1"/>
    </row>
    <row r="1314" spans="2:16" x14ac:dyDescent="0.35">
      <c r="B1314" s="5" t="str">
        <f t="shared" si="1328"/>
        <v>SPS1</v>
      </c>
      <c r="C1314" s="5" t="str">
        <f t="shared" si="1329"/>
        <v>CH</v>
      </c>
      <c r="D1314" t="s">
        <v>1228</v>
      </c>
      <c r="E1314" t="str">
        <f t="shared" si="1330"/>
        <v>km/MJ</v>
      </c>
      <c r="F1314" s="1">
        <f>IFERROR(F1263/F1212,"-")</f>
        <v>0.68268917765463699</v>
      </c>
      <c r="G1314" s="1">
        <f t="shared" si="1383"/>
        <v>0.32034592823018992</v>
      </c>
      <c r="H1314" s="1">
        <f t="shared" si="1383"/>
        <v>0.31762273983980871</v>
      </c>
      <c r="I1314" s="1">
        <f t="shared" si="1383"/>
        <v>6.2485396531421711E-2</v>
      </c>
      <c r="J1314" s="1">
        <f t="shared" si="1383"/>
        <v>0.12812243927012426</v>
      </c>
      <c r="K1314" s="1">
        <f t="shared" si="1383"/>
        <v>0.14112391082016881</v>
      </c>
      <c r="L1314" s="1">
        <f t="shared" ref="L1314" si="1388">IFERROR(L1263/L1203,"-")</f>
        <v>0.14247960742984245</v>
      </c>
      <c r="N1314" s="1"/>
    </row>
    <row r="1315" spans="2:16" x14ac:dyDescent="0.35">
      <c r="B1315" s="9" t="str">
        <f t="shared" ref="B1315" si="1389">B1314</f>
        <v>SPS1</v>
      </c>
      <c r="C1315" s="9" t="str">
        <f t="shared" ref="C1315" si="1390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391">G1316+G1322+G1327+G1341</f>
        <v>1.3391708161909792</v>
      </c>
      <c r="H1315" s="3">
        <f t="shared" si="1391"/>
        <v>2.1881296621403052</v>
      </c>
      <c r="I1315" s="3">
        <f t="shared" si="1391"/>
        <v>1.4968396517529514</v>
      </c>
      <c r="J1315" s="3">
        <f t="shared" si="1391"/>
        <v>1.5083382546829041</v>
      </c>
      <c r="K1315" s="3">
        <f t="shared" si="1391"/>
        <v>1.559712491518114</v>
      </c>
      <c r="L1315" s="3">
        <f t="shared" ref="L1315" si="1392">L1316+L1322+L1327+L1341</f>
        <v>1.2994698938255345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393">SUM(G1317:G1321)</f>
        <v>1.7730444231467996E-2</v>
      </c>
      <c r="H1316" s="1">
        <f t="shared" si="1393"/>
        <v>2.2715625189570647E-2</v>
      </c>
      <c r="I1316" s="1">
        <f t="shared" si="1393"/>
        <v>0.97153122563904171</v>
      </c>
      <c r="J1316" s="1">
        <f t="shared" si="1393"/>
        <v>0.95551422933742503</v>
      </c>
      <c r="K1316" s="1">
        <f t="shared" si="1393"/>
        <v>0.92177695231602574</v>
      </c>
      <c r="L1316" s="1">
        <f t="shared" ref="L1316" si="1394">SUM(L1317:L1321)</f>
        <v>1.034783460846366</v>
      </c>
      <c r="N1316" s="1"/>
    </row>
    <row r="1317" spans="2:16" x14ac:dyDescent="0.35">
      <c r="B1317" s="5" t="str">
        <f t="shared" ref="B1317:B1350" si="1395">B1316</f>
        <v>SPS1</v>
      </c>
      <c r="C1317" s="5" t="str">
        <f t="shared" ref="C1317:C1350" si="1396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N1317" s="1"/>
    </row>
    <row r="1318" spans="2:16" x14ac:dyDescent="0.35">
      <c r="B1318" s="5" t="str">
        <f t="shared" si="1395"/>
        <v>SPS1</v>
      </c>
      <c r="C1318" s="5" t="str">
        <f t="shared" si="1396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0.24279157496414455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0.25120094133856302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0.14342160082695041</v>
      </c>
      <c r="N1318" s="1"/>
    </row>
    <row r="1319" spans="2:16" x14ac:dyDescent="0.35">
      <c r="B1319" s="5" t="str">
        <f t="shared" si="1395"/>
        <v>SPS1</v>
      </c>
      <c r="C1319" s="5" t="str">
        <f t="shared" si="1396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0.12131310857404763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0.12476570608158305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0.12042401448556993</v>
      </c>
      <c r="N1319" s="1"/>
    </row>
    <row r="1320" spans="2:16" x14ac:dyDescent="0.35">
      <c r="B1320" s="5" t="str">
        <f t="shared" si="1395"/>
        <v>SPS1</v>
      </c>
      <c r="C1320" s="5" t="str">
        <f t="shared" si="1396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0.5911761548806288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0.54560508263173157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0.77085120476983993</v>
      </c>
      <c r="N1320" s="1"/>
    </row>
    <row r="1321" spans="2:16" x14ac:dyDescent="0.35">
      <c r="B1321" s="5" t="str">
        <f t="shared" si="1395"/>
        <v>SPS1</v>
      </c>
      <c r="C1321" s="5" t="str">
        <f t="shared" si="1396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2.3339091860412691E-4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2.0522226414807992E-4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8.6640764005751171E-5</v>
      </c>
      <c r="N1321" s="1"/>
    </row>
    <row r="1322" spans="2:16" x14ac:dyDescent="0.35">
      <c r="B1322" s="5" t="str">
        <f t="shared" si="1395"/>
        <v>SPS1</v>
      </c>
      <c r="C1322" s="5" t="str">
        <f t="shared" si="1396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7">SUM(G1323:G1326)</f>
        <v>0</v>
      </c>
      <c r="H1322" s="1">
        <f t="shared" si="1397"/>
        <v>0</v>
      </c>
      <c r="I1322" s="1">
        <f t="shared" si="1397"/>
        <v>0</v>
      </c>
      <c r="J1322" s="1">
        <f t="shared" si="1397"/>
        <v>0</v>
      </c>
      <c r="K1322" s="1">
        <f t="shared" si="1397"/>
        <v>0</v>
      </c>
      <c r="L1322" s="1">
        <f t="shared" ref="L1322" si="1398">SUM(L1323:L1326)</f>
        <v>0</v>
      </c>
      <c r="N1322" s="1"/>
    </row>
    <row r="1323" spans="2:16" x14ac:dyDescent="0.35">
      <c r="B1323" s="5" t="str">
        <f t="shared" si="1395"/>
        <v>SPS1</v>
      </c>
      <c r="C1323" s="5" t="str">
        <f t="shared" si="1396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N1323" s="1"/>
    </row>
    <row r="1324" spans="2:16" x14ac:dyDescent="0.35">
      <c r="B1324" s="5" t="str">
        <f t="shared" si="1395"/>
        <v>SPS1</v>
      </c>
      <c r="C1324" s="5" t="str">
        <f t="shared" si="1396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N1324" s="1"/>
    </row>
    <row r="1325" spans="2:16" x14ac:dyDescent="0.35">
      <c r="B1325" s="5" t="str">
        <f t="shared" si="1395"/>
        <v>SPS1</v>
      </c>
      <c r="C1325" s="5" t="str">
        <f t="shared" si="1396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N1325" s="1"/>
    </row>
    <row r="1326" spans="2:16" x14ac:dyDescent="0.35">
      <c r="B1326" s="5" t="str">
        <f t="shared" si="1395"/>
        <v>SPS1</v>
      </c>
      <c r="C1326" s="5" t="str">
        <f t="shared" si="1396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N1326" s="1"/>
    </row>
    <row r="1327" spans="2:16" x14ac:dyDescent="0.35">
      <c r="B1327" s="5" t="str">
        <f t="shared" si="1395"/>
        <v>SPS1</v>
      </c>
      <c r="C1327" s="5" t="str">
        <f t="shared" si="1396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399">SUM(G1332:G1340)</f>
        <v>1.3208661926894203</v>
      </c>
      <c r="H1327" s="1">
        <f t="shared" si="1399"/>
        <v>2.143296247696449</v>
      </c>
      <c r="I1327" s="1">
        <f t="shared" si="1399"/>
        <v>0.52530581209547822</v>
      </c>
      <c r="J1327" s="1">
        <f t="shared" si="1399"/>
        <v>0.5528224860427231</v>
      </c>
      <c r="K1327" s="1">
        <f t="shared" si="1399"/>
        <v>0.63793451783849897</v>
      </c>
      <c r="L1327" s="1">
        <f t="shared" ref="L1327" si="1400">SUM(L1332:L1340)</f>
        <v>0.26468555570929647</v>
      </c>
      <c r="N1327" s="1"/>
    </row>
    <row r="1328" spans="2:16" x14ac:dyDescent="0.35">
      <c r="B1328" s="5" t="str">
        <f t="shared" si="1395"/>
        <v>SPS1</v>
      </c>
      <c r="C1328" s="5" t="str">
        <f t="shared" si="1396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01">IF(G1327-G1329&lt;0,0,G1327-G1329)</f>
        <v>1.2864434927487434</v>
      </c>
      <c r="H1328" s="1">
        <f t="shared" si="1401"/>
        <v>2.075825443304812</v>
      </c>
      <c r="I1328" s="1">
        <f t="shared" si="1401"/>
        <v>0.50476216052358502</v>
      </c>
      <c r="J1328" s="1">
        <f t="shared" si="1401"/>
        <v>0.52813271403939788</v>
      </c>
      <c r="K1328" s="1">
        <f t="shared" si="1401"/>
        <v>0.61641586200647036</v>
      </c>
      <c r="L1328" s="1">
        <f t="shared" si="1401"/>
        <v>0</v>
      </c>
      <c r="N1328" s="1"/>
    </row>
    <row r="1329" spans="2:14" x14ac:dyDescent="0.35">
      <c r="B1329" s="5" t="str">
        <f t="shared" si="1395"/>
        <v>SPS1</v>
      </c>
      <c r="C1329" s="5" t="str">
        <f t="shared" si="1396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02">SUM(G1330:G1331)</f>
        <v>3.4422699940676954E-2</v>
      </c>
      <c r="H1329" s="1">
        <f t="shared" ref="H1329" si="1403">SUM(H1330:H1331)</f>
        <v>6.7470804391636968E-2</v>
      </c>
      <c r="I1329" s="1">
        <f t="shared" ref="I1329" si="1404">SUM(I1330:I1331)</f>
        <v>2.0543651571893189E-2</v>
      </c>
      <c r="J1329" s="1">
        <f t="shared" ref="J1329" si="1405">SUM(J1330:J1331)</f>
        <v>2.4689772003325203E-2</v>
      </c>
      <c r="K1329" s="1">
        <f t="shared" ref="K1329:L1329" si="1406">SUM(K1330:K1331)</f>
        <v>2.1518655832028617E-2</v>
      </c>
      <c r="L1329" s="1">
        <f t="shared" si="1406"/>
        <v>0.30310104470120613</v>
      </c>
      <c r="N1329" s="1"/>
    </row>
    <row r="1330" spans="2:14" x14ac:dyDescent="0.35">
      <c r="B1330" s="5" t="str">
        <f t="shared" si="1395"/>
        <v>SPS1</v>
      </c>
      <c r="C1330" s="5" t="str">
        <f t="shared" si="1396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[1]Transport!F$26/SUM([1]Transport!F$22,[1]Transport!F$26)*J1327*(J$34+J$582)/(J$34+J$582+J$38)</f>
        <v>2.4689772003325203E-2</v>
      </c>
      <c r="K1330" s="1">
        <f>[1]Transport!G$26/SUM([1]Transport!G$22,[1]Transport!G$26)*K1327*(K$34+K$582)/(K$34+K$582+K$38)</f>
        <v>2.1518655832028617E-2</v>
      </c>
      <c r="L1330" s="1">
        <f>[1]Transport!H$26/SUM([1]Transport!H$22,[1]Transport!H$26)*L1327*(L$34+L$582)/(L$34+L$582+L$38)</f>
        <v>0.15010506185445691</v>
      </c>
      <c r="N1330" s="1"/>
    </row>
    <row r="1331" spans="2:14" x14ac:dyDescent="0.35">
      <c r="B1331" s="5" t="str">
        <f t="shared" si="1395"/>
        <v>SPS1</v>
      </c>
      <c r="C1331" s="5" t="str">
        <f t="shared" si="1396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0.15299598284674926</v>
      </c>
      <c r="N1331" s="1"/>
    </row>
    <row r="1332" spans="2:14" x14ac:dyDescent="0.35">
      <c r="B1332" s="5" t="str">
        <f t="shared" si="1395"/>
        <v>SPS1</v>
      </c>
      <c r="C1332" s="5" t="str">
        <f t="shared" si="1396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1.4877456020456008E-3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3.6984980012056351E-3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0.23514503976020656</v>
      </c>
      <c r="N1332" s="1"/>
    </row>
    <row r="1333" spans="2:14" x14ac:dyDescent="0.35">
      <c r="B1333" s="5" t="str">
        <f t="shared" si="1395"/>
        <v>SPS1</v>
      </c>
      <c r="C1333" s="5" t="str">
        <f t="shared" si="1396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1.4464991448513652E-3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1.9789471934659902E-3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8.8951957879198815E-4</v>
      </c>
      <c r="N1333" s="1"/>
    </row>
    <row r="1334" spans="2:14" x14ac:dyDescent="0.35">
      <c r="B1334" s="5" t="str">
        <f t="shared" si="1395"/>
        <v>SPS1</v>
      </c>
      <c r="C1334" s="5" t="str">
        <f t="shared" si="1396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0.54975949168940097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0.63208117550625254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2.8625675629108952E-2</v>
      </c>
      <c r="N1334" s="1"/>
    </row>
    <row r="1335" spans="2:14" x14ac:dyDescent="0.35">
      <c r="B1335" s="5" t="str">
        <f t="shared" si="1395"/>
        <v>SPS1</v>
      </c>
      <c r="C1335" s="5" t="str">
        <f t="shared" si="1396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1.2874960642516762E-4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1.7589713757486315E-4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2.5320741188946046E-5</v>
      </c>
      <c r="N1335" s="1"/>
    </row>
    <row r="1336" spans="2:14" x14ac:dyDescent="0.35">
      <c r="B1336" s="5" t="str">
        <f t="shared" si="1395"/>
        <v>SPS1</v>
      </c>
      <c r="C1336" s="5" t="str">
        <f t="shared" si="1396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N1336" s="1"/>
    </row>
    <row r="1337" spans="2:14" x14ac:dyDescent="0.35">
      <c r="B1337" s="5" t="str">
        <f t="shared" si="1395"/>
        <v>SPS1</v>
      </c>
      <c r="C1337" s="5" t="str">
        <f t="shared" si="1396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N1337" s="1"/>
    </row>
    <row r="1338" spans="2:14" x14ac:dyDescent="0.35">
      <c r="B1338" s="5" t="str">
        <f t="shared" si="1395"/>
        <v>SPS1</v>
      </c>
      <c r="C1338" s="5" t="str">
        <f t="shared" si="1396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N1338" s="1"/>
    </row>
    <row r="1339" spans="2:14" x14ac:dyDescent="0.35">
      <c r="B1339" s="5" t="str">
        <f t="shared" si="1395"/>
        <v>SPS1</v>
      </c>
      <c r="C1339" s="5" t="str">
        <f t="shared" si="1396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N1339" s="1"/>
    </row>
    <row r="1340" spans="2:14" x14ac:dyDescent="0.35">
      <c r="B1340" s="5" t="str">
        <f t="shared" si="1395"/>
        <v>SPS1</v>
      </c>
      <c r="C1340" s="5" t="str">
        <f t="shared" si="1396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N1340" s="1"/>
    </row>
    <row r="1341" spans="2:14" x14ac:dyDescent="0.35">
      <c r="B1341" s="5" t="str">
        <f t="shared" si="1395"/>
        <v>SPS1</v>
      </c>
      <c r="C1341" s="5" t="str">
        <f t="shared" si="1396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07">SUM(G1346:G1350)</f>
        <v>5.7417927009088506E-4</v>
      </c>
      <c r="H1341" s="1">
        <f t="shared" si="1407"/>
        <v>2.2117789254285765E-2</v>
      </c>
      <c r="I1341" s="1">
        <f t="shared" si="1407"/>
        <v>2.6140184314458954E-6</v>
      </c>
      <c r="J1341" s="1">
        <f t="shared" si="1407"/>
        <v>1.5393027560240198E-6</v>
      </c>
      <c r="K1341" s="1">
        <f t="shared" si="1407"/>
        <v>1.0213635893248181E-6</v>
      </c>
      <c r="L1341" s="1">
        <f t="shared" ref="L1341" si="1408">SUM(L1346:L1350)</f>
        <v>8.7726987207430081E-7</v>
      </c>
      <c r="N1341" s="1"/>
    </row>
    <row r="1342" spans="2:14" x14ac:dyDescent="0.35">
      <c r="B1342" s="5" t="str">
        <f t="shared" si="1395"/>
        <v>SPS1</v>
      </c>
      <c r="C1342" s="5" t="str">
        <f t="shared" si="1396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09">IF(G1341-G1343&lt;0,0,G1341-G1343)</f>
        <v>5.1804723346068242E-4</v>
      </c>
      <c r="H1342" s="1">
        <f t="shared" si="1409"/>
        <v>2.0025442117213792E-2</v>
      </c>
      <c r="I1342" s="1">
        <f t="shared" si="1409"/>
        <v>2.1814935561866451E-6</v>
      </c>
      <c r="J1342" s="1">
        <f t="shared" si="1409"/>
        <v>0</v>
      </c>
      <c r="K1342" s="1">
        <f t="shared" si="1409"/>
        <v>9.7481645860117206E-7</v>
      </c>
      <c r="L1342" s="1">
        <f t="shared" si="1409"/>
        <v>7.758698607803471E-7</v>
      </c>
      <c r="N1342" s="1"/>
    </row>
    <row r="1343" spans="2:14" x14ac:dyDescent="0.35">
      <c r="B1343" s="5" t="str">
        <f t="shared" si="1395"/>
        <v>SPS1</v>
      </c>
      <c r="C1343" s="5" t="str">
        <f t="shared" si="1396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10">SUM(G1344:G1345)</f>
        <v>5.6132036630202598E-5</v>
      </c>
      <c r="H1343" s="1">
        <f t="shared" ref="H1343" si="1411">SUM(H1344:H1345)</f>
        <v>2.0923471370719714E-3</v>
      </c>
      <c r="I1343" s="1">
        <f t="shared" ref="I1343" si="1412">SUM(I1344:I1345)</f>
        <v>4.3252487525925049E-7</v>
      </c>
      <c r="J1343" s="1">
        <f t="shared" ref="J1343" si="1413">SUM(J1344:J1345)</f>
        <v>5.3808360318068288E-4</v>
      </c>
      <c r="K1343" s="1">
        <f t="shared" ref="K1343:L1343" si="1414">SUM(K1344:K1345)</f>
        <v>4.6547130723646096E-8</v>
      </c>
      <c r="L1343" s="1">
        <f t="shared" si="1414"/>
        <v>1.0140001129395375E-7</v>
      </c>
      <c r="N1343" s="1"/>
    </row>
    <row r="1344" spans="2:14" x14ac:dyDescent="0.35">
      <c r="B1344" s="5" t="str">
        <f t="shared" si="1395"/>
        <v>SPS1</v>
      </c>
      <c r="C1344" s="5" t="str">
        <f t="shared" si="1396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[1]Transport!F$27/SUM([1]Transport!F$24,[1]Transport!F$27)*J1341*(J$47+J$614)/(J$47+J$614+J$49)</f>
        <v>3.2144114511112603E-7</v>
      </c>
      <c r="K1344" s="1">
        <f>[1]Transport!G$27/SUM([1]Transport!G$24,[1]Transport!G$27)*K1341*(K$47+K$614)/(K$47+K$614+K$49)</f>
        <v>4.6547130723646096E-8</v>
      </c>
      <c r="L1344" s="1">
        <f>[1]Transport!H$27/SUM([1]Transport!H$24,[1]Transport!H$27)*L1341*(L$47+L$614)/(L$47+L$614+L$49)</f>
        <v>1.0140001129395375E-7</v>
      </c>
      <c r="N1344" s="1"/>
    </row>
    <row r="1345" spans="2:14" x14ac:dyDescent="0.35">
      <c r="B1345" s="5" t="str">
        <f t="shared" si="1395"/>
        <v>SPS1</v>
      </c>
      <c r="C1345" s="5" t="str">
        <f t="shared" si="1396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(J$49+J$716)/([1]Transport!F$24+[1]Transport!F$27)*J1341</f>
        <v>5.3776216203557171E-4</v>
      </c>
      <c r="K1345" s="1">
        <f>(K$49+K$716)/([1]Transport!G$24+[1]Transport!G$27)*K1341</f>
        <v>0</v>
      </c>
      <c r="L1345" s="1">
        <f>(L$49+L$716)/([1]Transport!H$24+[1]Transport!H$27)*L1341</f>
        <v>0</v>
      </c>
      <c r="N1345" s="1"/>
    </row>
    <row r="1346" spans="2:14" x14ac:dyDescent="0.35">
      <c r="B1346" s="5" t="str">
        <f t="shared" si="1395"/>
        <v>SPS1</v>
      </c>
      <c r="C1346" s="5" t="str">
        <f t="shared" si="1396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N1346" s="1"/>
    </row>
    <row r="1347" spans="2:14" x14ac:dyDescent="0.35">
      <c r="B1347" s="5" t="str">
        <f t="shared" si="1395"/>
        <v>SPS1</v>
      </c>
      <c r="C1347" s="5" t="str">
        <f t="shared" si="1396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1.5393027560240198E-6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1.0213635893248181E-6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8.7726987207430081E-7</v>
      </c>
      <c r="N1347" s="1"/>
    </row>
    <row r="1348" spans="2:14" x14ac:dyDescent="0.35">
      <c r="B1348" s="5" t="str">
        <f t="shared" si="1395"/>
        <v>SPS1</v>
      </c>
      <c r="C1348" s="5" t="str">
        <f t="shared" si="1396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N1348" s="1"/>
    </row>
    <row r="1349" spans="2:14" x14ac:dyDescent="0.35">
      <c r="B1349" s="5" t="str">
        <f t="shared" si="1395"/>
        <v>SPS1</v>
      </c>
      <c r="C1349" s="5" t="str">
        <f t="shared" si="1396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N1349" s="1"/>
    </row>
    <row r="1350" spans="2:14" x14ac:dyDescent="0.35">
      <c r="B1350" s="5" t="str">
        <f t="shared" si="1395"/>
        <v>SPS1</v>
      </c>
      <c r="C1350" s="5" t="str">
        <f t="shared" si="1396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15">SUM(G1352:G1374)</f>
        <v>0.30117187832353931</v>
      </c>
      <c r="H1351" s="3">
        <f t="shared" si="1415"/>
        <v>0.30909954370934378</v>
      </c>
      <c r="I1351" s="3">
        <f t="shared" si="1415"/>
        <v>0.32279886338240266</v>
      </c>
      <c r="J1351" s="3">
        <f t="shared" si="1415"/>
        <v>0.33688386773399548</v>
      </c>
      <c r="K1351" s="3">
        <f t="shared" si="1415"/>
        <v>0.35121207847005143</v>
      </c>
      <c r="L1351" s="3">
        <f t="shared" ref="L1351" si="1416">SUM(L1352:L1374)</f>
        <v>0.37570277657494816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N1352" s="1"/>
    </row>
    <row r="1353" spans="2:14" x14ac:dyDescent="0.35">
      <c r="B1353" s="5" t="str">
        <f t="shared" ref="B1353:B1374" si="1417">B1352</f>
        <v>SPS1</v>
      </c>
      <c r="C1353" s="5" t="str">
        <f t="shared" ref="C1353:C1374" si="1418">C1352</f>
        <v>CH</v>
      </c>
      <c r="D1353" t="s">
        <v>1350</v>
      </c>
      <c r="E1353" t="str">
        <f t="shared" ref="E1353:E1374" si="1419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0.1143335238226891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0.11874952856215322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7.4990297381319862E-2</v>
      </c>
      <c r="N1353" s="1"/>
    </row>
    <row r="1354" spans="2:14" x14ac:dyDescent="0.35">
      <c r="B1354" s="5" t="str">
        <f t="shared" si="1417"/>
        <v>SPS1</v>
      </c>
      <c r="C1354" s="5" t="str">
        <f t="shared" si="1418"/>
        <v>CH</v>
      </c>
      <c r="D1354" t="s">
        <v>1351</v>
      </c>
      <c r="E1354" t="str">
        <f t="shared" si="1419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4.118430673546334E-2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4.2857429464676501E-2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4.6013404819331992E-2</v>
      </c>
      <c r="N1354" s="1"/>
    </row>
    <row r="1355" spans="2:14" x14ac:dyDescent="0.35">
      <c r="B1355" s="5" t="str">
        <f t="shared" si="1417"/>
        <v>SPS1</v>
      </c>
      <c r="C1355" s="5" t="str">
        <f t="shared" si="1418"/>
        <v>CH</v>
      </c>
      <c r="D1355" t="s">
        <v>1352</v>
      </c>
      <c r="E1355" t="str">
        <f t="shared" si="1419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0.12929294977508721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0.12885167833390868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0.19885276343060268</v>
      </c>
      <c r="N1355" s="1"/>
    </row>
    <row r="1356" spans="2:14" x14ac:dyDescent="0.35">
      <c r="B1356" s="5" t="str">
        <f t="shared" si="1417"/>
        <v>SPS1</v>
      </c>
      <c r="C1356" s="5" t="str">
        <f t="shared" si="1418"/>
        <v>CH</v>
      </c>
      <c r="D1356" t="s">
        <v>1353</v>
      </c>
      <c r="E1356" t="str">
        <f t="shared" si="1419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3.5087356610542763E-5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3.2174911934754775E-5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1.4642169488949217E-5</v>
      </c>
      <c r="N1356" s="1"/>
    </row>
    <row r="1357" spans="2:14" x14ac:dyDescent="0.35">
      <c r="B1357" s="5" t="str">
        <f t="shared" si="1417"/>
        <v>SPS1</v>
      </c>
      <c r="C1357" s="5" t="str">
        <f t="shared" si="1418"/>
        <v>CH</v>
      </c>
      <c r="D1357" t="s">
        <v>1354</v>
      </c>
      <c r="E1357" t="str">
        <f t="shared" si="1419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N1357" s="1"/>
    </row>
    <row r="1358" spans="2:14" x14ac:dyDescent="0.35">
      <c r="B1358" s="5" t="str">
        <f t="shared" si="1417"/>
        <v>SPS1</v>
      </c>
      <c r="C1358" s="5" t="str">
        <f t="shared" si="1418"/>
        <v>CH</v>
      </c>
      <c r="D1358" t="s">
        <v>1355</v>
      </c>
      <c r="E1358" t="str">
        <f t="shared" si="1419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N1358" s="1"/>
    </row>
    <row r="1359" spans="2:14" x14ac:dyDescent="0.35">
      <c r="B1359" s="5" t="str">
        <f t="shared" si="1417"/>
        <v>SPS1</v>
      </c>
      <c r="C1359" s="5" t="str">
        <f t="shared" si="1418"/>
        <v>CH</v>
      </c>
      <c r="D1359" t="s">
        <v>1356</v>
      </c>
      <c r="E1359" t="str">
        <f t="shared" si="1419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N1359" s="1"/>
    </row>
    <row r="1360" spans="2:14" x14ac:dyDescent="0.35">
      <c r="B1360" s="5" t="str">
        <f t="shared" si="1417"/>
        <v>SPS1</v>
      </c>
      <c r="C1360" s="5" t="str">
        <f t="shared" si="1418"/>
        <v>CH</v>
      </c>
      <c r="D1360" t="s">
        <v>1357</v>
      </c>
      <c r="E1360" t="str">
        <f t="shared" si="1419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N1360" s="1"/>
    </row>
    <row r="1361" spans="2:14" x14ac:dyDescent="0.35">
      <c r="B1361" s="5" t="str">
        <f t="shared" si="1417"/>
        <v>SPS1</v>
      </c>
      <c r="C1361" s="5" t="str">
        <f t="shared" si="1418"/>
        <v>CH</v>
      </c>
      <c r="D1361" t="s">
        <v>1358</v>
      </c>
      <c r="E1361" t="str">
        <f t="shared" si="1419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2.8393135239881408E-4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7.4393265658384338E-4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5.2866491517373514E-2</v>
      </c>
      <c r="N1361" s="1"/>
    </row>
    <row r="1362" spans="2:14" x14ac:dyDescent="0.35">
      <c r="B1362" s="5" t="str">
        <f t="shared" si="1417"/>
        <v>SPS1</v>
      </c>
      <c r="C1362" s="5" t="str">
        <f t="shared" si="1418"/>
        <v>CH</v>
      </c>
      <c r="D1362" t="s">
        <v>1359</v>
      </c>
      <c r="E1362" t="str">
        <f t="shared" si="1419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1.9610470431927012E-4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2.8245135822658514E-4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1.3394968317508222E-4</v>
      </c>
      <c r="N1362" s="1"/>
    </row>
    <row r="1363" spans="2:14" x14ac:dyDescent="0.35">
      <c r="B1363" s="5" t="str">
        <f t="shared" si="1417"/>
        <v>SPS1</v>
      </c>
      <c r="C1363" s="5" t="str">
        <f t="shared" si="1418"/>
        <v>CH</v>
      </c>
      <c r="D1363" t="s">
        <v>1360</v>
      </c>
      <c r="E1363" t="str">
        <f t="shared" si="1419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5.1549626998455216E-2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5.9683273370542043E-2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2.8292936124264243E-3</v>
      </c>
      <c r="N1363" s="1"/>
    </row>
    <row r="1364" spans="2:14" x14ac:dyDescent="0.35">
      <c r="B1364" s="5" t="str">
        <f t="shared" si="1417"/>
        <v>SPS1</v>
      </c>
      <c r="C1364" s="5" t="str">
        <f t="shared" si="1418"/>
        <v>CH</v>
      </c>
      <c r="D1364" t="s">
        <v>1361</v>
      </c>
      <c r="E1364" t="str">
        <f t="shared" si="1419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8.1132905520658631E-6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1.1453635437298884E-5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1.7865091551080185E-6</v>
      </c>
      <c r="N1364" s="1"/>
    </row>
    <row r="1365" spans="2:14" x14ac:dyDescent="0.35">
      <c r="B1365" s="5" t="str">
        <f t="shared" si="1417"/>
        <v>SPS1</v>
      </c>
      <c r="C1365" s="5" t="str">
        <f t="shared" si="1418"/>
        <v>CH</v>
      </c>
      <c r="D1365" t="s">
        <v>2001</v>
      </c>
      <c r="E1365" t="str">
        <f t="shared" si="1419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N1365" s="1"/>
    </row>
    <row r="1366" spans="2:14" x14ac:dyDescent="0.35">
      <c r="B1366" s="5" t="str">
        <f t="shared" si="1417"/>
        <v>SPS1</v>
      </c>
      <c r="C1366" s="5" t="str">
        <f t="shared" si="1418"/>
        <v>CH</v>
      </c>
      <c r="D1366" t="s">
        <v>1362</v>
      </c>
      <c r="E1366" t="str">
        <f t="shared" si="1419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N1366" s="1"/>
    </row>
    <row r="1367" spans="2:14" x14ac:dyDescent="0.35">
      <c r="B1367" s="5" t="str">
        <f t="shared" si="1417"/>
        <v>SPS1</v>
      </c>
      <c r="C1367" s="5" t="str">
        <f t="shared" si="1418"/>
        <v>CH</v>
      </c>
      <c r="D1367" t="s">
        <v>1363</v>
      </c>
      <c r="E1367" t="str">
        <f t="shared" si="1419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N1367" s="1"/>
    </row>
    <row r="1368" spans="2:14" x14ac:dyDescent="0.35">
      <c r="B1368" s="5" t="str">
        <f t="shared" si="1417"/>
        <v>SPS1</v>
      </c>
      <c r="C1368" s="5" t="str">
        <f t="shared" si="1418"/>
        <v>CH</v>
      </c>
      <c r="D1368" t="s">
        <v>1364</v>
      </c>
      <c r="E1368" t="str">
        <f t="shared" si="1419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N1368" s="1"/>
    </row>
    <row r="1369" spans="2:14" x14ac:dyDescent="0.35">
      <c r="B1369" s="5" t="str">
        <f t="shared" si="1417"/>
        <v>SPS1</v>
      </c>
      <c r="C1369" s="5" t="str">
        <f t="shared" si="1418"/>
        <v>CH</v>
      </c>
      <c r="D1369" t="s">
        <v>1365</v>
      </c>
      <c r="E1369" t="str">
        <f t="shared" si="1419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N1369" s="1"/>
    </row>
    <row r="1370" spans="2:14" x14ac:dyDescent="0.35">
      <c r="B1370" s="5" t="str">
        <f t="shared" si="1417"/>
        <v>SPS1</v>
      </c>
      <c r="C1370" s="5" t="str">
        <f t="shared" si="1418"/>
        <v>CH</v>
      </c>
      <c r="D1370" t="s">
        <v>2005</v>
      </c>
      <c r="E1370" t="str">
        <f t="shared" si="1419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N1370" s="1"/>
    </row>
    <row r="1371" spans="2:14" x14ac:dyDescent="0.35">
      <c r="B1371" s="5" t="str">
        <f t="shared" si="1417"/>
        <v>SPS1</v>
      </c>
      <c r="C1371" s="5" t="str">
        <f t="shared" si="1418"/>
        <v>CH</v>
      </c>
      <c r="D1371" t="s">
        <v>1366</v>
      </c>
      <c r="E1371" t="str">
        <f t="shared" si="1419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2.2369841994113601E-7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1.5617658850619663E-7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1.474520745807671E-7</v>
      </c>
      <c r="N1371" s="1"/>
    </row>
    <row r="1372" spans="2:14" x14ac:dyDescent="0.35">
      <c r="B1372" s="5" t="str">
        <f t="shared" si="1417"/>
        <v>SPS1</v>
      </c>
      <c r="C1372" s="5" t="str">
        <f t="shared" si="1418"/>
        <v>CH</v>
      </c>
      <c r="D1372" t="s">
        <v>1367</v>
      </c>
      <c r="E1372" t="str">
        <f t="shared" si="1419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N1372" s="1"/>
    </row>
    <row r="1373" spans="2:14" x14ac:dyDescent="0.35">
      <c r="B1373" s="5" t="str">
        <f t="shared" si="1417"/>
        <v>SPS1</v>
      </c>
      <c r="C1373" s="5" t="str">
        <f t="shared" si="1418"/>
        <v>CH</v>
      </c>
      <c r="D1373" t="s">
        <v>1368</v>
      </c>
      <c r="E1373" t="str">
        <f t="shared" si="1419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N1373" s="1"/>
    </row>
    <row r="1374" spans="2:14" x14ac:dyDescent="0.35">
      <c r="B1374" s="5" t="str">
        <f t="shared" si="1417"/>
        <v>SPS1</v>
      </c>
      <c r="C1374" s="5" t="str">
        <f t="shared" si="1418"/>
        <v>CH</v>
      </c>
      <c r="D1374" t="s">
        <v>1369</v>
      </c>
      <c r="E1374" t="str">
        <f t="shared" si="1419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20">B1375</f>
        <v>SPS1</v>
      </c>
      <c r="C1376" s="5" t="str">
        <f t="shared" ref="C1376:C1398" si="1421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22">IFERROR(G1352/G1317,"-")</f>
        <v>3.3737507326839338</v>
      </c>
      <c r="H1376" s="1">
        <f t="shared" si="1422"/>
        <v>2.1484705100107933</v>
      </c>
      <c r="I1376" s="1" t="str">
        <f t="shared" si="1422"/>
        <v>-</v>
      </c>
      <c r="J1376" s="1" t="str">
        <f t="shared" si="1422"/>
        <v>-</v>
      </c>
      <c r="K1376" s="1" t="str">
        <f t="shared" si="1422"/>
        <v>-</v>
      </c>
      <c r="L1376" s="1" t="str">
        <f t="shared" ref="L1376" si="1423">IFERROR(L1352/L1317,"-")</f>
        <v>-</v>
      </c>
      <c r="N1376" s="1"/>
    </row>
    <row r="1377" spans="2:14" x14ac:dyDescent="0.35">
      <c r="B1377" s="5" t="str">
        <f t="shared" si="1420"/>
        <v>SPS1</v>
      </c>
      <c r="C1377" s="5" t="str">
        <f t="shared" si="1421"/>
        <v>CH</v>
      </c>
      <c r="D1377" t="s">
        <v>1372</v>
      </c>
      <c r="E1377" t="s">
        <v>1229</v>
      </c>
      <c r="F1377" s="1">
        <f t="shared" ref="F1377:K1377" si="1424">IFERROR(F1353/F1318,"-")</f>
        <v>0.37869321701871766</v>
      </c>
      <c r="G1377" s="1">
        <f t="shared" si="1424"/>
        <v>0.39242172610251852</v>
      </c>
      <c r="H1377" s="1">
        <f t="shared" si="1424"/>
        <v>0.40041950125720926</v>
      </c>
      <c r="I1377" s="1">
        <f t="shared" si="1424"/>
        <v>0.44722582259710453</v>
      </c>
      <c r="J1377" s="1">
        <f t="shared" si="1424"/>
        <v>0.47091223754190759</v>
      </c>
      <c r="K1377" s="1">
        <f t="shared" si="1424"/>
        <v>0.47272724349430384</v>
      </c>
      <c r="L1377" s="1">
        <f t="shared" ref="L1377" si="1425">IFERROR(L1353/L1318,"-")</f>
        <v>0.52286612998973314</v>
      </c>
      <c r="N1377" s="1"/>
    </row>
    <row r="1378" spans="2:14" x14ac:dyDescent="0.35">
      <c r="B1378" s="5" t="str">
        <f t="shared" si="1420"/>
        <v>SPS1</v>
      </c>
      <c r="C1378" s="5" t="str">
        <f t="shared" si="1421"/>
        <v>CH</v>
      </c>
      <c r="D1378" t="s">
        <v>1373</v>
      </c>
      <c r="E1378" t="s">
        <v>1229</v>
      </c>
      <c r="F1378" s="1">
        <f t="shared" ref="F1378:K1378" si="1426">IFERROR(F1354/F1319,"-")</f>
        <v>0.27518070496490743</v>
      </c>
      <c r="G1378" s="1">
        <f t="shared" si="1426"/>
        <v>0.27847727966585528</v>
      </c>
      <c r="H1378" s="1">
        <f t="shared" si="1426"/>
        <v>0.28652008619743918</v>
      </c>
      <c r="I1378" s="1">
        <f t="shared" si="1426"/>
        <v>0.32357011754068604</v>
      </c>
      <c r="J1378" s="1">
        <f t="shared" si="1426"/>
        <v>0.33948768784805378</v>
      </c>
      <c r="K1378" s="1">
        <f t="shared" si="1426"/>
        <v>0.34350328155601073</v>
      </c>
      <c r="L1378" s="1">
        <f t="shared" ref="L1378" si="1427">IFERROR(L1354/L1319,"-")</f>
        <v>0.38209492530117944</v>
      </c>
      <c r="N1378" s="1"/>
    </row>
    <row r="1379" spans="2:14" x14ac:dyDescent="0.35">
      <c r="B1379" s="5" t="str">
        <f t="shared" si="1420"/>
        <v>SPS1</v>
      </c>
      <c r="C1379" s="5" t="str">
        <f t="shared" si="1421"/>
        <v>CH</v>
      </c>
      <c r="D1379" t="s">
        <v>1374</v>
      </c>
      <c r="E1379" t="s">
        <v>1229</v>
      </c>
      <c r="F1379" s="1">
        <f t="shared" ref="F1379:K1379" si="1428">IFERROR(F1355/F1320,"-")</f>
        <v>0.1829704071343993</v>
      </c>
      <c r="G1379" s="1">
        <f t="shared" si="1428"/>
        <v>0.18437381488517599</v>
      </c>
      <c r="H1379" s="1">
        <f t="shared" si="1428"/>
        <v>0.18631555830870453</v>
      </c>
      <c r="I1379" s="1">
        <f t="shared" si="1428"/>
        <v>0.21571321281260772</v>
      </c>
      <c r="J1379" s="1">
        <f t="shared" si="1428"/>
        <v>0.21870460895229146</v>
      </c>
      <c r="K1379" s="1">
        <f t="shared" si="1428"/>
        <v>0.2361628995690277</v>
      </c>
      <c r="L1379" s="1">
        <f t="shared" ref="L1379" si="1429">IFERROR(L1355/L1320,"-")</f>
        <v>0.25796517174799766</v>
      </c>
      <c r="N1379" s="1"/>
    </row>
    <row r="1380" spans="2:14" x14ac:dyDescent="0.35">
      <c r="B1380" s="5" t="str">
        <f t="shared" si="1420"/>
        <v>SPS1</v>
      </c>
      <c r="C1380" s="5" t="str">
        <f t="shared" si="1421"/>
        <v>CH</v>
      </c>
      <c r="D1380" t="s">
        <v>1375</v>
      </c>
      <c r="E1380" t="s">
        <v>1229</v>
      </c>
      <c r="F1380" s="1">
        <f t="shared" ref="F1380:K1380" si="1430">IFERROR(F1356/F1321,"-")</f>
        <v>0.12198710645807105</v>
      </c>
      <c r="G1380" s="1">
        <f t="shared" si="1430"/>
        <v>0.12419388937499326</v>
      </c>
      <c r="H1380" s="1">
        <f t="shared" si="1430"/>
        <v>0.12677533229336285</v>
      </c>
      <c r="I1380" s="1">
        <f t="shared" si="1430"/>
        <v>0.13692589761236368</v>
      </c>
      <c r="J1380" s="1">
        <f t="shared" si="1430"/>
        <v>0.15033728313164252</v>
      </c>
      <c r="K1380" s="1">
        <f t="shared" si="1430"/>
        <v>0.15678080576841646</v>
      </c>
      <c r="L1380" s="1">
        <f t="shared" ref="L1380" si="1431">IFERROR(L1356/L1321,"-")</f>
        <v>0.16899861926399076</v>
      </c>
      <c r="N1380" s="1"/>
    </row>
    <row r="1381" spans="2:14" x14ac:dyDescent="0.35">
      <c r="B1381" s="5" t="str">
        <f t="shared" si="1420"/>
        <v>SPS1</v>
      </c>
      <c r="C1381" s="5" t="str">
        <f t="shared" si="1421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2">IFERROR(G1357/G1323,"-")</f>
        <v>-</v>
      </c>
      <c r="H1381" s="1" t="str">
        <f t="shared" si="1432"/>
        <v>-</v>
      </c>
      <c r="I1381" s="1" t="str">
        <f t="shared" si="1432"/>
        <v>-</v>
      </c>
      <c r="J1381" s="1" t="str">
        <f t="shared" si="1432"/>
        <v>-</v>
      </c>
      <c r="K1381" s="1" t="str">
        <f t="shared" si="1432"/>
        <v>-</v>
      </c>
      <c r="L1381" s="1" t="str">
        <f t="shared" ref="L1381" si="1433">IFERROR(L1357/L1323,"-")</f>
        <v>-</v>
      </c>
      <c r="N1381" s="1"/>
    </row>
    <row r="1382" spans="2:14" x14ac:dyDescent="0.35">
      <c r="B1382" s="5" t="str">
        <f t="shared" si="1420"/>
        <v>SPS1</v>
      </c>
      <c r="C1382" s="5" t="str">
        <f t="shared" si="1421"/>
        <v>CH</v>
      </c>
      <c r="D1382" t="s">
        <v>1377</v>
      </c>
      <c r="E1382" t="s">
        <v>1229</v>
      </c>
      <c r="F1382" s="1" t="str">
        <f t="shared" ref="F1382:K1382" si="1434">IFERROR(F1358/F1324,"-")</f>
        <v>-</v>
      </c>
      <c r="G1382" s="1" t="str">
        <f t="shared" si="1434"/>
        <v>-</v>
      </c>
      <c r="H1382" s="1" t="str">
        <f t="shared" si="1434"/>
        <v>-</v>
      </c>
      <c r="I1382" s="1" t="str">
        <f t="shared" si="1434"/>
        <v>-</v>
      </c>
      <c r="J1382" s="1" t="str">
        <f t="shared" si="1434"/>
        <v>-</v>
      </c>
      <c r="K1382" s="1" t="str">
        <f t="shared" si="1434"/>
        <v>-</v>
      </c>
      <c r="L1382" s="1" t="str">
        <f t="shared" ref="L1382" si="1435">IFERROR(L1358/L1324,"-")</f>
        <v>-</v>
      </c>
      <c r="N1382" s="1"/>
    </row>
    <row r="1383" spans="2:14" x14ac:dyDescent="0.35">
      <c r="B1383" s="5" t="str">
        <f t="shared" si="1420"/>
        <v>SPS1</v>
      </c>
      <c r="C1383" s="5" t="str">
        <f t="shared" si="1421"/>
        <v>CH</v>
      </c>
      <c r="D1383" t="s">
        <v>1378</v>
      </c>
      <c r="E1383" t="s">
        <v>1229</v>
      </c>
      <c r="F1383" s="1" t="str">
        <f t="shared" ref="F1383:K1383" si="1436">IFERROR(F1359/F1325,"-")</f>
        <v>-</v>
      </c>
      <c r="G1383" s="1" t="str">
        <f t="shared" si="1436"/>
        <v>-</v>
      </c>
      <c r="H1383" s="1" t="str">
        <f t="shared" si="1436"/>
        <v>-</v>
      </c>
      <c r="I1383" s="1" t="str">
        <f t="shared" si="1436"/>
        <v>-</v>
      </c>
      <c r="J1383" s="1" t="str">
        <f t="shared" si="1436"/>
        <v>-</v>
      </c>
      <c r="K1383" s="1" t="str">
        <f t="shared" si="1436"/>
        <v>-</v>
      </c>
      <c r="L1383" s="1" t="str">
        <f t="shared" ref="L1383" si="1437">IFERROR(L1359/L1325,"-")</f>
        <v>-</v>
      </c>
      <c r="N1383" s="1"/>
    </row>
    <row r="1384" spans="2:14" x14ac:dyDescent="0.35">
      <c r="B1384" s="5" t="str">
        <f t="shared" si="1420"/>
        <v>SPS1</v>
      </c>
      <c r="C1384" s="5" t="str">
        <f t="shared" si="1421"/>
        <v>CH</v>
      </c>
      <c r="D1384" t="s">
        <v>1379</v>
      </c>
      <c r="E1384" t="s">
        <v>1229</v>
      </c>
      <c r="F1384" s="1" t="str">
        <f t="shared" ref="F1384:K1384" si="1438">IFERROR(F1360/F1326,"-")</f>
        <v>-</v>
      </c>
      <c r="G1384" s="1" t="str">
        <f t="shared" si="1438"/>
        <v>-</v>
      </c>
      <c r="H1384" s="1" t="str">
        <f t="shared" si="1438"/>
        <v>-</v>
      </c>
      <c r="I1384" s="1" t="str">
        <f t="shared" si="1438"/>
        <v>-</v>
      </c>
      <c r="J1384" s="1" t="str">
        <f t="shared" si="1438"/>
        <v>-</v>
      </c>
      <c r="K1384" s="1" t="str">
        <f t="shared" si="1438"/>
        <v>-</v>
      </c>
      <c r="L1384" s="1" t="str">
        <f t="shared" ref="L1384" si="1439">IFERROR(L1360/L1326,"-")</f>
        <v>-</v>
      </c>
      <c r="N1384" s="1"/>
    </row>
    <row r="1385" spans="2:14" x14ac:dyDescent="0.35">
      <c r="B1385" s="5" t="str">
        <f t="shared" si="1420"/>
        <v>SPS1</v>
      </c>
      <c r="C1385" s="5" t="str">
        <f t="shared" si="1421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40">IFERROR(G1361/G1332,"-")</f>
        <v>0.16251369968883864</v>
      </c>
      <c r="H1385" s="1">
        <f t="shared" si="1440"/>
        <v>0.16514659122556904</v>
      </c>
      <c r="I1385" s="1">
        <f t="shared" si="1440"/>
        <v>0.1750141680654772</v>
      </c>
      <c r="J1385" s="1">
        <f t="shared" si="1440"/>
        <v>0.1908467092817602</v>
      </c>
      <c r="K1385" s="1">
        <f t="shared" si="1440"/>
        <v>0.20114453390033912</v>
      </c>
      <c r="L1385" s="1">
        <f t="shared" ref="L1385" si="1441">IFERROR(L1361/L1332,"-")</f>
        <v>0.2248250338228911</v>
      </c>
      <c r="N1385" s="1"/>
    </row>
    <row r="1386" spans="2:14" x14ac:dyDescent="0.35">
      <c r="B1386" s="5" t="str">
        <f t="shared" si="1420"/>
        <v>SPS1</v>
      </c>
      <c r="C1386" s="5" t="str">
        <f t="shared" si="1421"/>
        <v>CH</v>
      </c>
      <c r="D1386" t="s">
        <v>1381</v>
      </c>
      <c r="E1386" t="s">
        <v>1229</v>
      </c>
      <c r="F1386" s="1" t="str">
        <f t="shared" ref="F1386:K1386" si="1442">IFERROR(F1362/F1333,"-")</f>
        <v>-</v>
      </c>
      <c r="G1386" s="1">
        <f t="shared" si="1442"/>
        <v>0.11649393435744135</v>
      </c>
      <c r="H1386" s="1">
        <f t="shared" si="1442"/>
        <v>0.11924129921115846</v>
      </c>
      <c r="I1386" s="1">
        <f t="shared" si="1442"/>
        <v>0.12464916487475367</v>
      </c>
      <c r="J1386" s="1">
        <f t="shared" si="1442"/>
        <v>0.13557194625194252</v>
      </c>
      <c r="K1386" s="1">
        <f t="shared" si="1442"/>
        <v>0.142728092573249</v>
      </c>
      <c r="L1386" s="1">
        <f t="shared" ref="L1386" si="1443">IFERROR(L1362/L1333,"-")</f>
        <v>0.15058654847934044</v>
      </c>
      <c r="N1386" s="1"/>
    </row>
    <row r="1387" spans="2:14" x14ac:dyDescent="0.35">
      <c r="B1387" s="5" t="str">
        <f t="shared" si="1420"/>
        <v>SPS1</v>
      </c>
      <c r="C1387" s="5" t="str">
        <f t="shared" si="1421"/>
        <v>CH</v>
      </c>
      <c r="D1387" t="s">
        <v>1382</v>
      </c>
      <c r="E1387" t="s">
        <v>1229</v>
      </c>
      <c r="F1387" s="1" t="str">
        <f t="shared" ref="F1387:K1387" si="1444">IFERROR(F1363/F1334,"-")</f>
        <v>-</v>
      </c>
      <c r="G1387" s="1">
        <f t="shared" si="1444"/>
        <v>7.8235828164578886E-2</v>
      </c>
      <c r="H1387" s="1">
        <f t="shared" si="1444"/>
        <v>8.2191060435936686E-2</v>
      </c>
      <c r="I1387" s="1">
        <f t="shared" si="1444"/>
        <v>8.2206513218154281E-2</v>
      </c>
      <c r="J1387" s="1">
        <f t="shared" si="1444"/>
        <v>9.3767597972786512E-2</v>
      </c>
      <c r="K1387" s="1">
        <f t="shared" si="1444"/>
        <v>9.4423431172016695E-2</v>
      </c>
      <c r="L1387" s="1">
        <f t="shared" ref="L1387" si="1445">IFERROR(L1363/L1334,"-")</f>
        <v>9.8837618684862225E-2</v>
      </c>
      <c r="N1387" s="1"/>
    </row>
    <row r="1388" spans="2:14" x14ac:dyDescent="0.35">
      <c r="B1388" s="5" t="str">
        <f t="shared" si="1420"/>
        <v>SPS1</v>
      </c>
      <c r="C1388" s="5" t="str">
        <f t="shared" si="1421"/>
        <v>CH</v>
      </c>
      <c r="D1388" t="s">
        <v>1383</v>
      </c>
      <c r="E1388" t="s">
        <v>1229</v>
      </c>
      <c r="F1388" s="1" t="str">
        <f t="shared" ref="F1388:K1388" si="1446">IFERROR(F1364/F1335,"-")</f>
        <v>-</v>
      </c>
      <c r="G1388" s="1">
        <f t="shared" si="1446"/>
        <v>5.2751439830497689E-2</v>
      </c>
      <c r="H1388" s="1">
        <f t="shared" si="1446"/>
        <v>5.3859304277905917E-2</v>
      </c>
      <c r="I1388" s="1">
        <f t="shared" si="1446"/>
        <v>5.6884685223163305E-2</v>
      </c>
      <c r="J1388" s="1">
        <f t="shared" si="1446"/>
        <v>6.3016041581311577E-2</v>
      </c>
      <c r="K1388" s="1">
        <f t="shared" si="1446"/>
        <v>6.5115530560718365E-2</v>
      </c>
      <c r="L1388" s="1">
        <f t="shared" ref="L1388" si="1447">IFERROR(L1364/L1335,"-")</f>
        <v>7.0555168262133344E-2</v>
      </c>
      <c r="N1388" s="1"/>
    </row>
    <row r="1389" spans="2:14" x14ac:dyDescent="0.35">
      <c r="B1389" s="5" t="str">
        <f t="shared" si="1420"/>
        <v>SPS1</v>
      </c>
      <c r="C1389" s="5" t="str">
        <f t="shared" si="1421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48">IFERROR(G1365/G1336,"-")</f>
        <v>11.189596541502638</v>
      </c>
      <c r="H1389" s="1">
        <f t="shared" si="1448"/>
        <v>7.0209702814264219</v>
      </c>
      <c r="I1389" s="1" t="str">
        <f t="shared" si="1448"/>
        <v>-</v>
      </c>
      <c r="J1389" s="1" t="str">
        <f t="shared" si="1448"/>
        <v>-</v>
      </c>
      <c r="K1389" s="1" t="str">
        <f t="shared" si="1448"/>
        <v>-</v>
      </c>
      <c r="L1389" s="1" t="str">
        <f t="shared" ref="L1389" si="1449">IFERROR(L1365/L1336,"-")</f>
        <v>-</v>
      </c>
      <c r="N1389" s="1"/>
    </row>
    <row r="1390" spans="2:14" x14ac:dyDescent="0.35">
      <c r="B1390" s="5" t="str">
        <f t="shared" si="1420"/>
        <v>SPS1</v>
      </c>
      <c r="C1390" s="5" t="str">
        <f t="shared" si="1421"/>
        <v>CH</v>
      </c>
      <c r="D1390" t="s">
        <v>1384</v>
      </c>
      <c r="E1390" t="s">
        <v>1229</v>
      </c>
      <c r="F1390" s="1">
        <f t="shared" ref="F1390:K1390" si="1450">IFERROR(F1366/F1337,"-")</f>
        <v>0.12391916748597495</v>
      </c>
      <c r="G1390" s="1">
        <f t="shared" si="1450"/>
        <v>0.12851077686985904</v>
      </c>
      <c r="H1390" s="1">
        <f t="shared" si="1450"/>
        <v>0.1315128308744975</v>
      </c>
      <c r="I1390" s="1">
        <f t="shared" si="1450"/>
        <v>0.12391916748597492</v>
      </c>
      <c r="J1390" s="1" t="str">
        <f t="shared" si="1450"/>
        <v>-</v>
      </c>
      <c r="K1390" s="1" t="str">
        <f t="shared" si="1450"/>
        <v>-</v>
      </c>
      <c r="L1390" s="1" t="str">
        <f t="shared" ref="L1390" si="1451">IFERROR(L1366/L1337,"-")</f>
        <v>-</v>
      </c>
      <c r="N1390" s="1"/>
    </row>
    <row r="1391" spans="2:14" x14ac:dyDescent="0.35">
      <c r="B1391" s="5" t="str">
        <f t="shared" si="1420"/>
        <v>SPS1</v>
      </c>
      <c r="C1391" s="5" t="str">
        <f t="shared" si="1421"/>
        <v>CH</v>
      </c>
      <c r="D1391" t="s">
        <v>1385</v>
      </c>
      <c r="E1391" t="s">
        <v>1229</v>
      </c>
      <c r="F1391" s="1">
        <f t="shared" ref="F1391:K1391" si="1452">IFERROR(F1367/F1338,"-")</f>
        <v>8.7465847585616679E-2</v>
      </c>
      <c r="G1391" s="1">
        <f t="shared" si="1452"/>
        <v>8.7782663334596098E-2</v>
      </c>
      <c r="H1391" s="1">
        <f t="shared" si="1452"/>
        <v>9.077786758260474E-2</v>
      </c>
      <c r="I1391" s="1" t="str">
        <f t="shared" si="1452"/>
        <v>-</v>
      </c>
      <c r="J1391" s="1" t="str">
        <f t="shared" si="1452"/>
        <v>-</v>
      </c>
      <c r="K1391" s="1" t="str">
        <f t="shared" si="1452"/>
        <v>-</v>
      </c>
      <c r="L1391" s="1" t="str">
        <f t="shared" ref="L1391" si="1453">IFERROR(L1367/L1338,"-")</f>
        <v>-</v>
      </c>
      <c r="N1391" s="1"/>
    </row>
    <row r="1392" spans="2:14" x14ac:dyDescent="0.35">
      <c r="B1392" s="5" t="str">
        <f t="shared" si="1420"/>
        <v>SPS1</v>
      </c>
      <c r="C1392" s="5" t="str">
        <f t="shared" si="1421"/>
        <v>CH</v>
      </c>
      <c r="D1392" t="s">
        <v>1386</v>
      </c>
      <c r="E1392" t="s">
        <v>1229</v>
      </c>
      <c r="F1392" s="1">
        <f t="shared" ref="F1392:K1392" si="1454">IFERROR(F1368/F1339,"-")</f>
        <v>5.7949527986548711E-2</v>
      </c>
      <c r="G1392" s="1">
        <f t="shared" si="1454"/>
        <v>5.8180661237605437E-2</v>
      </c>
      <c r="H1392" s="1">
        <f t="shared" si="1454"/>
        <v>5.8200581503533598E-2</v>
      </c>
      <c r="I1392" s="1" t="str">
        <f t="shared" si="1454"/>
        <v>-</v>
      </c>
      <c r="J1392" s="1" t="str">
        <f t="shared" si="1454"/>
        <v>-</v>
      </c>
      <c r="K1392" s="1" t="str">
        <f t="shared" si="1454"/>
        <v>-</v>
      </c>
      <c r="L1392" s="1" t="str">
        <f t="shared" ref="L1392" si="1455">IFERROR(L1368/L1339,"-")</f>
        <v>-</v>
      </c>
      <c r="N1392" s="1"/>
    </row>
    <row r="1393" spans="2:14" x14ac:dyDescent="0.35">
      <c r="B1393" s="5" t="str">
        <f t="shared" si="1420"/>
        <v>SPS1</v>
      </c>
      <c r="C1393" s="5" t="str">
        <f t="shared" si="1421"/>
        <v>CH</v>
      </c>
      <c r="D1393" t="s">
        <v>1387</v>
      </c>
      <c r="E1393" t="s">
        <v>1229</v>
      </c>
      <c r="F1393" s="1">
        <f t="shared" ref="F1393:K1393" si="1456">IFERROR(F1369/F1340,"-")</f>
        <v>3.8646481387947573E-2</v>
      </c>
      <c r="G1393" s="1">
        <f t="shared" si="1456"/>
        <v>3.8897037049101142E-2</v>
      </c>
      <c r="H1393" s="1">
        <f t="shared" si="1456"/>
        <v>3.9209408451221651E-2</v>
      </c>
      <c r="I1393" s="1" t="str">
        <f t="shared" si="1456"/>
        <v>-</v>
      </c>
      <c r="J1393" s="1" t="str">
        <f t="shared" si="1456"/>
        <v>-</v>
      </c>
      <c r="K1393" s="1" t="str">
        <f t="shared" si="1456"/>
        <v>-</v>
      </c>
      <c r="L1393" s="1" t="str">
        <f t="shared" ref="L1393" si="1457">IFERROR(L1369/L1340,"-")</f>
        <v>-</v>
      </c>
      <c r="N1393" s="1"/>
    </row>
    <row r="1394" spans="2:14" x14ac:dyDescent="0.35">
      <c r="B1394" s="5" t="str">
        <f t="shared" si="1420"/>
        <v>SPS1</v>
      </c>
      <c r="C1394" s="5" t="str">
        <f t="shared" si="1421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58">IFERROR(G1370/G1346,"-")</f>
        <v>11.186996076539069</v>
      </c>
      <c r="H1394" s="1">
        <f t="shared" si="1458"/>
        <v>7.0144691190174813</v>
      </c>
      <c r="I1394" s="1" t="str">
        <f t="shared" si="1458"/>
        <v>-</v>
      </c>
      <c r="J1394" s="1" t="str">
        <f t="shared" si="1458"/>
        <v>-</v>
      </c>
      <c r="K1394" s="1" t="str">
        <f t="shared" si="1458"/>
        <v>-</v>
      </c>
      <c r="L1394" s="1" t="str">
        <f t="shared" ref="L1394" si="1459">IFERROR(L1370/L1346,"-")</f>
        <v>-</v>
      </c>
      <c r="N1394" s="1"/>
    </row>
    <row r="1395" spans="2:14" x14ac:dyDescent="0.35">
      <c r="B1395" s="5" t="str">
        <f t="shared" si="1420"/>
        <v>SPS1</v>
      </c>
      <c r="C1395" s="5" t="str">
        <f t="shared" si="1421"/>
        <v>CH</v>
      </c>
      <c r="D1395" t="s">
        <v>1388</v>
      </c>
      <c r="E1395" t="s">
        <v>1229</v>
      </c>
      <c r="F1395" s="1" t="str">
        <f t="shared" ref="F1395:K1395" si="1460">IFERROR(F1371/F1347,"-")</f>
        <v>-</v>
      </c>
      <c r="G1395" s="1">
        <f t="shared" si="1460"/>
        <v>0.12023751974847222</v>
      </c>
      <c r="H1395" s="1">
        <f t="shared" si="1460"/>
        <v>0.12611997089120544</v>
      </c>
      <c r="I1395" s="1">
        <f t="shared" si="1460"/>
        <v>0.13540510424235844</v>
      </c>
      <c r="J1395" s="1">
        <f t="shared" si="1460"/>
        <v>0.145324510766773</v>
      </c>
      <c r="K1395" s="1">
        <f t="shared" si="1460"/>
        <v>0.15290988452940507</v>
      </c>
      <c r="L1395" s="1">
        <f t="shared" ref="L1395" si="1461">IFERROR(L1371/L1347,"-")</f>
        <v>0.168080632054669</v>
      </c>
      <c r="N1395" s="1"/>
    </row>
    <row r="1396" spans="2:14" x14ac:dyDescent="0.35">
      <c r="B1396" s="5" t="str">
        <f t="shared" si="1420"/>
        <v>SPS1</v>
      </c>
      <c r="C1396" s="5" t="str">
        <f t="shared" si="1421"/>
        <v>CH</v>
      </c>
      <c r="D1396" t="s">
        <v>1389</v>
      </c>
      <c r="E1396" t="s">
        <v>1229</v>
      </c>
      <c r="F1396" s="1" t="str">
        <f t="shared" ref="F1396:K1396" si="1462">IFERROR(F1372/F1348,"-")</f>
        <v>-</v>
      </c>
      <c r="G1396" s="1">
        <f t="shared" si="1462"/>
        <v>8.4998076233608832E-2</v>
      </c>
      <c r="H1396" s="1">
        <f t="shared" si="1462"/>
        <v>8.9367321041526643E-2</v>
      </c>
      <c r="I1396" s="1" t="str">
        <f t="shared" si="1462"/>
        <v>-</v>
      </c>
      <c r="J1396" s="1" t="str">
        <f t="shared" si="1462"/>
        <v>-</v>
      </c>
      <c r="K1396" s="1" t="str">
        <f t="shared" si="1462"/>
        <v>-</v>
      </c>
      <c r="L1396" s="1" t="str">
        <f t="shared" ref="L1396" si="1463">IFERROR(L1372/L1348,"-")</f>
        <v>-</v>
      </c>
      <c r="N1396" s="1"/>
    </row>
    <row r="1397" spans="2:14" x14ac:dyDescent="0.35">
      <c r="B1397" s="5" t="str">
        <f t="shared" si="1420"/>
        <v>SPS1</v>
      </c>
      <c r="C1397" s="5" t="str">
        <f t="shared" si="1421"/>
        <v>CH</v>
      </c>
      <c r="D1397" t="s">
        <v>1390</v>
      </c>
      <c r="E1397" t="s">
        <v>1229</v>
      </c>
      <c r="F1397" s="1" t="str">
        <f t="shared" ref="F1397:K1397" si="1464">IFERROR(F1373/F1349,"-")</f>
        <v>-</v>
      </c>
      <c r="G1397" s="1">
        <f t="shared" si="1464"/>
        <v>5.6422133461237145E-2</v>
      </c>
      <c r="H1397" s="1">
        <f t="shared" si="1464"/>
        <v>5.9334622079481425E-2</v>
      </c>
      <c r="I1397" s="1" t="str">
        <f t="shared" si="1464"/>
        <v>-</v>
      </c>
      <c r="J1397" s="1" t="str">
        <f t="shared" si="1464"/>
        <v>-</v>
      </c>
      <c r="K1397" s="1" t="str">
        <f t="shared" si="1464"/>
        <v>-</v>
      </c>
      <c r="L1397" s="1" t="str">
        <f t="shared" ref="L1397" si="1465">IFERROR(L1373/L1349,"-")</f>
        <v>-</v>
      </c>
      <c r="N1397" s="1"/>
    </row>
    <row r="1398" spans="2:14" x14ac:dyDescent="0.35">
      <c r="B1398" s="5" t="str">
        <f t="shared" si="1420"/>
        <v>SPS1</v>
      </c>
      <c r="C1398" s="5" t="str">
        <f t="shared" si="1421"/>
        <v>CH</v>
      </c>
      <c r="D1398" t="s">
        <v>1391</v>
      </c>
      <c r="E1398" t="s">
        <v>1229</v>
      </c>
      <c r="F1398" s="1" t="str">
        <f t="shared" ref="F1398:K1398" si="1466">IFERROR(F1374/F1350,"-")</f>
        <v>-</v>
      </c>
      <c r="G1398" s="1">
        <f t="shared" si="1466"/>
        <v>3.7689157759834363E-2</v>
      </c>
      <c r="H1398" s="1">
        <f t="shared" si="1466"/>
        <v>3.9198321450721413E-2</v>
      </c>
      <c r="I1398" s="1" t="str">
        <f t="shared" si="1466"/>
        <v>-</v>
      </c>
      <c r="J1398" s="1" t="str">
        <f t="shared" si="1466"/>
        <v>-</v>
      </c>
      <c r="K1398" s="1" t="str">
        <f t="shared" si="1466"/>
        <v>-</v>
      </c>
      <c r="L1398" s="1" t="str">
        <f t="shared" ref="L1398" si="1467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68">G1400+G1406+G1411+G1425</f>
        <v>0.84274697054901282</v>
      </c>
      <c r="H1399" s="3">
        <f t="shared" ref="H1399" si="1469">H1400+H1406+H1411+H1425</f>
        <v>1.0093037055737766</v>
      </c>
      <c r="I1399" s="3">
        <f t="shared" ref="I1399" si="1470">I1400+I1406+I1411+I1425</f>
        <v>0.5260888299731763</v>
      </c>
      <c r="J1399" s="3">
        <f t="shared" ref="J1399" si="1471">J1400+J1406+J1411+J1425</f>
        <v>0.50774478344789953</v>
      </c>
      <c r="K1399" s="3">
        <f t="shared" ref="K1399:L1399" si="1472">K1400+K1406+K1411+K1425</f>
        <v>0.46701674021647266</v>
      </c>
      <c r="L1399" s="3">
        <f t="shared" si="1472"/>
        <v>0.37741190484791426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73">SUM(G1401:G1405)</f>
        <v>4.1545885377463924E-3</v>
      </c>
      <c r="H1400" s="1">
        <f t="shared" ref="H1400" si="1474">SUM(H1401:H1405)</f>
        <v>5.3056845409502236E-3</v>
      </c>
      <c r="I1400" s="1">
        <f t="shared" ref="I1400" si="1475">SUM(I1401:I1405)</f>
        <v>0.28066505616650739</v>
      </c>
      <c r="J1400" s="1">
        <f t="shared" ref="J1400" si="1476">SUM(J1401:J1405)</f>
        <v>0.2777425052790124</v>
      </c>
      <c r="K1400" s="1">
        <f t="shared" ref="K1400:L1400" si="1477">SUM(K1401:K1405)</f>
        <v>0.27338950043100529</v>
      </c>
      <c r="L1400" s="1">
        <f t="shared" si="1477"/>
        <v>0.27078900823503038</v>
      </c>
      <c r="N1400" s="1"/>
    </row>
    <row r="1401" spans="2:14" x14ac:dyDescent="0.35">
      <c r="B1401" s="5" t="str">
        <f t="shared" ref="B1401:B1434" si="1478">B1400</f>
        <v>SPS1</v>
      </c>
      <c r="C1401" s="5" t="str">
        <f t="shared" ref="C1401:C1434" si="1479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N1401" s="1"/>
    </row>
    <row r="1402" spans="2:14" x14ac:dyDescent="0.35">
      <c r="B1402" s="5" t="str">
        <f t="shared" si="1478"/>
        <v>SPS1</v>
      </c>
      <c r="C1402" s="5" t="str">
        <f t="shared" si="1479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0.13790358535805702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0.1185210908696421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8.8613207693840068E-2</v>
      </c>
      <c r="N1402" s="1"/>
    </row>
    <row r="1403" spans="2:14" x14ac:dyDescent="0.35">
      <c r="B1403" s="5" t="str">
        <f t="shared" si="1478"/>
        <v>SPS1</v>
      </c>
      <c r="C1403" s="5" t="str">
        <f t="shared" si="1479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0.13811439040046516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0.1503226908153141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0.14592502107821104</v>
      </c>
      <c r="N1403" s="1"/>
    </row>
    <row r="1404" spans="2:14" x14ac:dyDescent="0.35">
      <c r="B1404" s="5" t="str">
        <f t="shared" si="1478"/>
        <v>SPS1</v>
      </c>
      <c r="C1404" s="5" t="str">
        <f t="shared" si="1479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1.5403493694213094E-3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4.2501122243384284E-3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3.6161526007634108E-2</v>
      </c>
      <c r="N1404" s="1"/>
    </row>
    <row r="1405" spans="2:14" x14ac:dyDescent="0.35">
      <c r="B1405" s="5" t="str">
        <f t="shared" si="1478"/>
        <v>SPS1</v>
      </c>
      <c r="C1405" s="5" t="str">
        <f t="shared" si="1479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1.8418015106893185E-4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2.9560652171066329E-4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8.9253455345150333E-5</v>
      </c>
      <c r="N1405" s="1"/>
    </row>
    <row r="1406" spans="2:14" x14ac:dyDescent="0.35">
      <c r="B1406" s="5" t="str">
        <f t="shared" si="1478"/>
        <v>SPS1</v>
      </c>
      <c r="C1406" s="5" t="str">
        <f t="shared" si="1479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80">SUM(G1407:G1410)</f>
        <v>0</v>
      </c>
      <c r="H1406" s="1">
        <f t="shared" ref="H1406" si="1481">SUM(H1407:H1410)</f>
        <v>0</v>
      </c>
      <c r="I1406" s="1">
        <f t="shared" ref="I1406" si="1482">SUM(I1407:I1410)</f>
        <v>0</v>
      </c>
      <c r="J1406" s="1">
        <f t="shared" ref="J1406" si="1483">SUM(J1407:J1410)</f>
        <v>0</v>
      </c>
      <c r="K1406" s="1">
        <f t="shared" ref="K1406:L1406" si="1484">SUM(K1407:K1410)</f>
        <v>0</v>
      </c>
      <c r="L1406" s="1">
        <f t="shared" si="1484"/>
        <v>0</v>
      </c>
      <c r="N1406" s="1"/>
    </row>
    <row r="1407" spans="2:14" x14ac:dyDescent="0.35">
      <c r="B1407" s="5" t="str">
        <f t="shared" si="1478"/>
        <v>SPS1</v>
      </c>
      <c r="C1407" s="5" t="str">
        <f t="shared" si="1479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N1407" s="1"/>
    </row>
    <row r="1408" spans="2:14" x14ac:dyDescent="0.35">
      <c r="B1408" s="5" t="str">
        <f t="shared" si="1478"/>
        <v>SPS1</v>
      </c>
      <c r="C1408" s="5" t="str">
        <f t="shared" si="1479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N1408" s="1"/>
    </row>
    <row r="1409" spans="2:14" x14ac:dyDescent="0.35">
      <c r="B1409" s="5" t="str">
        <f t="shared" si="1478"/>
        <v>SPS1</v>
      </c>
      <c r="C1409" s="5" t="str">
        <f t="shared" si="1479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N1409" s="1"/>
    </row>
    <row r="1410" spans="2:14" x14ac:dyDescent="0.35">
      <c r="B1410" s="5" t="str">
        <f t="shared" si="1478"/>
        <v>SPS1</v>
      </c>
      <c r="C1410" s="5" t="str">
        <f t="shared" si="1479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N1410" s="1"/>
    </row>
    <row r="1411" spans="2:14" x14ac:dyDescent="0.35">
      <c r="B1411" s="5" t="str">
        <f t="shared" si="1478"/>
        <v>SPS1</v>
      </c>
      <c r="C1411" s="5" t="str">
        <f t="shared" si="1479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85">SUM(G1416:G1424)</f>
        <v>0.8381647300047097</v>
      </c>
      <c r="H1411" s="1">
        <f t="shared" si="1485"/>
        <v>1.0017061867647339</v>
      </c>
      <c r="I1411" s="1">
        <f t="shared" si="1485"/>
        <v>0.24542377380666885</v>
      </c>
      <c r="J1411" s="1">
        <f t="shared" si="1485"/>
        <v>0.23000227816888716</v>
      </c>
      <c r="K1411" s="1">
        <f t="shared" si="1485"/>
        <v>0.19362723978546734</v>
      </c>
      <c r="L1411" s="1">
        <f t="shared" ref="L1411" si="1486">SUM(L1416:L1424)</f>
        <v>0.10662289661288388</v>
      </c>
      <c r="N1411" s="1"/>
    </row>
    <row r="1412" spans="2:14" x14ac:dyDescent="0.35">
      <c r="B1412" s="5" t="str">
        <f t="shared" si="1478"/>
        <v>SPS1</v>
      </c>
      <c r="C1412" s="5" t="str">
        <f t="shared" si="1479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87">IF(G1411-G1413&lt;0,0,G1411-G1413)</f>
        <v>0.81632156893245511</v>
      </c>
      <c r="H1412" s="1">
        <f t="shared" si="1487"/>
        <v>0.97017255147855486</v>
      </c>
      <c r="I1412" s="1">
        <f t="shared" si="1487"/>
        <v>0.23582574465783673</v>
      </c>
      <c r="J1412" s="1">
        <f t="shared" si="1487"/>
        <v>0.21973007696215777</v>
      </c>
      <c r="K1412" s="1">
        <f t="shared" si="1487"/>
        <v>0.18709585166311465</v>
      </c>
      <c r="L1412" s="1">
        <f t="shared" si="1487"/>
        <v>0</v>
      </c>
      <c r="N1412" s="1"/>
    </row>
    <row r="1413" spans="2:14" x14ac:dyDescent="0.35">
      <c r="B1413" s="5" t="str">
        <f t="shared" si="1478"/>
        <v>SPS1</v>
      </c>
      <c r="C1413" s="5" t="str">
        <f t="shared" si="1479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488">SUM(G1414:G1415)</f>
        <v>2.1843161072254563E-2</v>
      </c>
      <c r="H1413" s="1">
        <f t="shared" ref="H1413" si="1489">SUM(H1414:H1415)</f>
        <v>3.1533635286179064E-2</v>
      </c>
      <c r="I1413" s="1">
        <f t="shared" ref="I1413" si="1490">SUM(I1414:I1415)</f>
        <v>9.5980291488321264E-3</v>
      </c>
      <c r="J1413" s="1">
        <f t="shared" ref="J1413" si="1491">SUM(J1414:J1415)</f>
        <v>1.0272201206729399E-2</v>
      </c>
      <c r="K1413" s="1">
        <f t="shared" ref="K1413:L1413" si="1492">SUM(K1414:K1415)</f>
        <v>6.5313881223526705E-3</v>
      </c>
      <c r="L1413" s="1">
        <f t="shared" si="1492"/>
        <v>0.122097752050845</v>
      </c>
      <c r="N1413" s="1"/>
    </row>
    <row r="1414" spans="2:14" x14ac:dyDescent="0.35">
      <c r="B1414" s="5" t="str">
        <f t="shared" si="1478"/>
        <v>SPS1</v>
      </c>
      <c r="C1414" s="5" t="str">
        <f t="shared" si="1479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[1]Transport!F$26/SUM([1]Transport!F$22,[1]Transport!F$26)*J1411*(J$34+J$582)/(J$34+J$582+J$38)</f>
        <v>1.0272201206729399E-2</v>
      </c>
      <c r="K1414" s="1">
        <f>[1]Transport!G$26/SUM([1]Transport!G$22,[1]Transport!G$26)*K1411*(K$34+K$582)/(K$34+K$582+K$38)</f>
        <v>6.5313881223526705E-3</v>
      </c>
      <c r="L1414" s="1">
        <f>[1]Transport!H$26/SUM([1]Transport!H$22,[1]Transport!H$26)*L1411*(L$34+L$582)/(L$34+L$582+L$38)</f>
        <v>6.0466603280596679E-2</v>
      </c>
      <c r="N1414" s="1"/>
    </row>
    <row r="1415" spans="2:14" x14ac:dyDescent="0.35">
      <c r="B1415" s="5" t="str">
        <f t="shared" si="1478"/>
        <v>SPS1</v>
      </c>
      <c r="C1415" s="5" t="str">
        <f t="shared" si="1479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6.163114877024832E-2</v>
      </c>
      <c r="N1415" s="1"/>
    </row>
    <row r="1416" spans="2:14" x14ac:dyDescent="0.35">
      <c r="B1416" s="5" t="str">
        <f t="shared" si="1478"/>
        <v>SPS1</v>
      </c>
      <c r="C1416" s="5" t="str">
        <f t="shared" si="1479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2.0302836581914362E-3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4.3668842811935241E-2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7.5098278413668146E-2</v>
      </c>
      <c r="N1416" s="1"/>
    </row>
    <row r="1417" spans="2:14" x14ac:dyDescent="0.35">
      <c r="B1417" s="5" t="str">
        <f t="shared" si="1478"/>
        <v>SPS1</v>
      </c>
      <c r="C1417" s="5" t="str">
        <f t="shared" si="1479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9.566078411105948E-2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3.3109568826818536E-2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5.9666120874820551E-3</v>
      </c>
      <c r="N1417" s="1"/>
    </row>
    <row r="1418" spans="2:14" x14ac:dyDescent="0.35">
      <c r="B1418" s="5" t="str">
        <f t="shared" si="1478"/>
        <v>SPS1</v>
      </c>
      <c r="C1418" s="5" t="str">
        <f t="shared" si="1479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0.13217497804075684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0.11664296238023952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2.5520458582400027E-2</v>
      </c>
      <c r="N1418" s="1"/>
    </row>
    <row r="1419" spans="2:14" x14ac:dyDescent="0.35">
      <c r="B1419" s="5" t="str">
        <f t="shared" si="1478"/>
        <v>SPS1</v>
      </c>
      <c r="C1419" s="5" t="str">
        <f t="shared" si="1479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1.3623235887941465E-4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2.0586576647405649E-4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3.7547529333647293E-5</v>
      </c>
      <c r="N1419" s="1"/>
    </row>
    <row r="1420" spans="2:14" x14ac:dyDescent="0.35">
      <c r="B1420" s="5" t="str">
        <f t="shared" si="1478"/>
        <v>SPS1</v>
      </c>
      <c r="C1420" s="5" t="str">
        <f t="shared" si="1479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N1420" s="1"/>
    </row>
    <row r="1421" spans="2:14" x14ac:dyDescent="0.35">
      <c r="B1421" s="5" t="str">
        <f t="shared" si="1478"/>
        <v>SPS1</v>
      </c>
      <c r="C1421" s="5" t="str">
        <f t="shared" si="1479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N1421" s="1"/>
    </row>
    <row r="1422" spans="2:14" x14ac:dyDescent="0.35">
      <c r="B1422" s="5" t="str">
        <f t="shared" si="1478"/>
        <v>SPS1</v>
      </c>
      <c r="C1422" s="5" t="str">
        <f t="shared" si="1479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N1422" s="1"/>
    </row>
    <row r="1423" spans="2:14" x14ac:dyDescent="0.35">
      <c r="B1423" s="5" t="str">
        <f t="shared" si="1478"/>
        <v>SPS1</v>
      </c>
      <c r="C1423" s="5" t="str">
        <f t="shared" si="1479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N1423" s="1"/>
    </row>
    <row r="1424" spans="2:14" x14ac:dyDescent="0.35">
      <c r="B1424" s="5" t="str">
        <f t="shared" si="1478"/>
        <v>SPS1</v>
      </c>
      <c r="C1424" s="5" t="str">
        <f t="shared" si="1479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N1424" s="1"/>
    </row>
    <row r="1425" spans="2:14" x14ac:dyDescent="0.35">
      <c r="B1425" s="5" t="str">
        <f t="shared" si="1478"/>
        <v>SPS1</v>
      </c>
      <c r="C1425" s="5" t="str">
        <f t="shared" si="1479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493">SUM(G1430:G1434)</f>
        <v>4.2765200655672515E-4</v>
      </c>
      <c r="H1425" s="1">
        <f t="shared" ref="H1425" si="1494">SUM(H1430:H1434)</f>
        <v>2.2918342680923968E-3</v>
      </c>
      <c r="I1425" s="1">
        <f t="shared" ref="I1425" si="1495">SUM(I1430:I1434)</f>
        <v>0</v>
      </c>
      <c r="J1425" s="1">
        <f t="shared" ref="J1425" si="1496">SUM(J1430:J1434)</f>
        <v>0</v>
      </c>
      <c r="K1425" s="1">
        <f t="shared" ref="K1425:L1425" si="1497">SUM(K1430:K1434)</f>
        <v>0</v>
      </c>
      <c r="L1425" s="1">
        <f t="shared" si="1497"/>
        <v>0</v>
      </c>
      <c r="N1425" s="1"/>
    </row>
    <row r="1426" spans="2:14" x14ac:dyDescent="0.35">
      <c r="B1426" s="5" t="str">
        <f t="shared" si="1478"/>
        <v>SPS1</v>
      </c>
      <c r="C1426" s="5" t="str">
        <f t="shared" si="1479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498">IF(G1425-G1427&lt;0,0,G1425-G1427)</f>
        <v>3.8584454441476716E-4</v>
      </c>
      <c r="H1426" s="1">
        <f t="shared" si="1498"/>
        <v>2.0750263035008462E-3</v>
      </c>
      <c r="I1426" s="1">
        <f t="shared" si="1498"/>
        <v>0</v>
      </c>
      <c r="J1426" s="1">
        <f t="shared" si="1498"/>
        <v>0</v>
      </c>
      <c r="K1426" s="1">
        <f t="shared" si="1498"/>
        <v>0</v>
      </c>
      <c r="L1426" s="1">
        <f t="shared" si="1498"/>
        <v>0</v>
      </c>
      <c r="N1426" s="1"/>
    </row>
    <row r="1427" spans="2:14" x14ac:dyDescent="0.35">
      <c r="B1427" s="5" t="str">
        <f t="shared" si="1478"/>
        <v>SPS1</v>
      </c>
      <c r="C1427" s="5" t="str">
        <f t="shared" si="1479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499">SUM(G1428:G1429)</f>
        <v>4.180746214195797E-5</v>
      </c>
      <c r="H1427" s="1">
        <f t="shared" ref="H1427" si="1500">SUM(H1428:H1429)</f>
        <v>2.1680796459155047E-4</v>
      </c>
      <c r="I1427" s="1">
        <f t="shared" ref="I1427" si="1501">SUM(I1428:I1429)</f>
        <v>0</v>
      </c>
      <c r="J1427" s="1">
        <f t="shared" ref="J1427" si="1502">SUM(J1428:J1429)</f>
        <v>0</v>
      </c>
      <c r="K1427" s="1">
        <f t="shared" ref="K1427:L1427" si="1503">SUM(K1428:K1429)</f>
        <v>0</v>
      </c>
      <c r="L1427" s="1">
        <f t="shared" si="1503"/>
        <v>0</v>
      </c>
      <c r="N1427" s="1"/>
    </row>
    <row r="1428" spans="2:14" x14ac:dyDescent="0.35">
      <c r="B1428" s="5" t="str">
        <f t="shared" si="1478"/>
        <v>SPS1</v>
      </c>
      <c r="C1428" s="5" t="str">
        <f t="shared" si="1479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[1]Transport!F$27/SUM([1]Transport!F$24,[1]Transport!F$27)*J1425*(J$47+J$614)/(J$47+J$614+J$49)</f>
        <v>0</v>
      </c>
      <c r="K1428" s="1">
        <f>[1]Transport!G$27/SUM([1]Transport!G$24,[1]Transport!G$27)*K1425*(K$47+K$614)/(K$47+K$614+K$49)</f>
        <v>0</v>
      </c>
      <c r="L1428" s="1">
        <f>[1]Transport!H$27/SUM([1]Transport!H$24,[1]Transport!H$27)*L1425*(L$47+L$614)/(L$47+L$614+L$49)</f>
        <v>0</v>
      </c>
      <c r="N1428" s="1"/>
    </row>
    <row r="1429" spans="2:14" x14ac:dyDescent="0.35">
      <c r="B1429" s="5" t="str">
        <f t="shared" si="1478"/>
        <v>SPS1</v>
      </c>
      <c r="C1429" s="5" t="str">
        <f t="shared" si="1479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(J$49+J$716)/([1]Transport!F$24+[1]Transport!F$27)*J1425</f>
        <v>0</v>
      </c>
      <c r="K1429" s="1">
        <f>(K$49+K$716)/([1]Transport!G$24+[1]Transport!G$27)*K1425</f>
        <v>0</v>
      </c>
      <c r="L1429" s="1">
        <f>(L$49+L$716)/([1]Transport!H$24+[1]Transport!H$27)*L1425</f>
        <v>0</v>
      </c>
      <c r="N1429" s="1"/>
    </row>
    <row r="1430" spans="2:14" x14ac:dyDescent="0.35">
      <c r="B1430" s="5" t="str">
        <f t="shared" si="1478"/>
        <v>SPS1</v>
      </c>
      <c r="C1430" s="5" t="str">
        <f t="shared" si="1479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N1430" s="1"/>
    </row>
    <row r="1431" spans="2:14" x14ac:dyDescent="0.35">
      <c r="B1431" s="5" t="str">
        <f t="shared" si="1478"/>
        <v>SPS1</v>
      </c>
      <c r="C1431" s="5" t="str">
        <f t="shared" si="1479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N1431" s="1"/>
    </row>
    <row r="1432" spans="2:14" x14ac:dyDescent="0.35">
      <c r="B1432" s="5" t="str">
        <f t="shared" si="1478"/>
        <v>SPS1</v>
      </c>
      <c r="C1432" s="5" t="str">
        <f t="shared" si="1479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N1432" s="1"/>
    </row>
    <row r="1433" spans="2:14" x14ac:dyDescent="0.35">
      <c r="B1433" s="5" t="str">
        <f t="shared" si="1478"/>
        <v>SPS1</v>
      </c>
      <c r="C1433" s="5" t="str">
        <f t="shared" si="1479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N1433" s="1"/>
    </row>
    <row r="1434" spans="2:14" x14ac:dyDescent="0.35">
      <c r="B1434" s="5" t="str">
        <f t="shared" si="1478"/>
        <v>SPS1</v>
      </c>
      <c r="C1434" s="5" t="str">
        <f t="shared" si="1479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04">SUM(G1436:G1458)</f>
        <v>0.1316494463353779</v>
      </c>
      <c r="H1435" s="3">
        <f t="shared" ref="H1435" si="1505">SUM(H1436:H1458)</f>
        <v>0.1326908606963102</v>
      </c>
      <c r="I1435" s="3">
        <f t="shared" ref="I1435" si="1506">SUM(I1436:I1458)</f>
        <v>0.13441651245149505</v>
      </c>
      <c r="J1435" s="3">
        <f t="shared" ref="J1435" si="1507">SUM(J1436:J1458)</f>
        <v>0.13463936414903188</v>
      </c>
      <c r="K1435" s="3">
        <f t="shared" ref="K1435:L1435" si="1508">SUM(K1436:K1458)</f>
        <v>0.13472838035857523</v>
      </c>
      <c r="L1435" s="3">
        <f t="shared" si="1508"/>
        <v>0.13114393117052592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N1436" s="1"/>
    </row>
    <row r="1437" spans="2:14" x14ac:dyDescent="0.35">
      <c r="B1437" s="5" t="str">
        <f t="shared" ref="B1437:B1458" si="1509">B1436</f>
        <v>SPS1</v>
      </c>
      <c r="C1437" s="5" t="str">
        <f t="shared" ref="C1437:C1458" si="1510">C1436</f>
        <v>CH</v>
      </c>
      <c r="D1437" t="s">
        <v>1429</v>
      </c>
      <c r="E1437" t="str">
        <f t="shared" ref="E1437:E1458" si="15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6.4420521019837765E-2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5.5899002477777834E-2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4.6555048801978818E-2</v>
      </c>
      <c r="N1437" s="1"/>
    </row>
    <row r="1438" spans="2:14" x14ac:dyDescent="0.35">
      <c r="B1438" s="5" t="str">
        <f t="shared" si="1509"/>
        <v>SPS1</v>
      </c>
      <c r="C1438" s="5" t="str">
        <f t="shared" si="1510"/>
        <v>CH</v>
      </c>
      <c r="D1438" t="s">
        <v>1430</v>
      </c>
      <c r="E1438" t="str">
        <f t="shared" si="15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4.4901660163293541E-2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5.2970503470824347E-2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5.5149092121233527E-2</v>
      </c>
      <c r="N1438" s="1"/>
    </row>
    <row r="1439" spans="2:14" x14ac:dyDescent="0.35">
      <c r="B1439" s="5" t="str">
        <f t="shared" si="1509"/>
        <v>SPS1</v>
      </c>
      <c r="C1439" s="5" t="str">
        <f t="shared" si="1510"/>
        <v>CH</v>
      </c>
      <c r="D1439" t="s">
        <v>1431</v>
      </c>
      <c r="E1439" t="str">
        <f t="shared" si="15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3.4468788689198573E-4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1.0039846309916275E-3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9.4543998022217687E-3</v>
      </c>
      <c r="N1439" s="1"/>
    </row>
    <row r="1440" spans="2:14" x14ac:dyDescent="0.35">
      <c r="B1440" s="5" t="str">
        <f t="shared" si="1509"/>
        <v>SPS1</v>
      </c>
      <c r="C1440" s="5" t="str">
        <f t="shared" si="1510"/>
        <v>CH</v>
      </c>
      <c r="D1440" t="s">
        <v>1432</v>
      </c>
      <c r="E1440" t="str">
        <f t="shared" si="15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2.7776251443919623E-5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4.6505298552823383E-5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1.5233944007715361E-5</v>
      </c>
      <c r="N1440" s="1"/>
    </row>
    <row r="1441" spans="2:14" x14ac:dyDescent="0.35">
      <c r="B1441" s="5" t="str">
        <f t="shared" si="1509"/>
        <v>SPS1</v>
      </c>
      <c r="C1441" s="5" t="str">
        <f t="shared" si="1510"/>
        <v>CH</v>
      </c>
      <c r="D1441" t="s">
        <v>1433</v>
      </c>
      <c r="E1441" t="str">
        <f t="shared" si="15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N1441" s="1"/>
    </row>
    <row r="1442" spans="2:14" x14ac:dyDescent="0.35">
      <c r="B1442" s="5" t="str">
        <f t="shared" si="1509"/>
        <v>SPS1</v>
      </c>
      <c r="C1442" s="5" t="str">
        <f t="shared" si="1510"/>
        <v>CH</v>
      </c>
      <c r="D1442" t="s">
        <v>1434</v>
      </c>
      <c r="E1442" t="str">
        <f t="shared" si="15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N1442" s="1"/>
    </row>
    <row r="1443" spans="2:14" x14ac:dyDescent="0.35">
      <c r="B1443" s="5" t="str">
        <f t="shared" si="1509"/>
        <v>SPS1</v>
      </c>
      <c r="C1443" s="5" t="str">
        <f t="shared" si="1510"/>
        <v>CH</v>
      </c>
      <c r="D1443" t="s">
        <v>1435</v>
      </c>
      <c r="E1443" t="str">
        <f t="shared" si="15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N1443" s="1"/>
    </row>
    <row r="1444" spans="2:14" x14ac:dyDescent="0.35">
      <c r="B1444" s="5" t="str">
        <f t="shared" si="1509"/>
        <v>SPS1</v>
      </c>
      <c r="C1444" s="5" t="str">
        <f t="shared" si="1510"/>
        <v>CH</v>
      </c>
      <c r="D1444" t="s">
        <v>1436</v>
      </c>
      <c r="E1444" t="str">
        <f t="shared" si="15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N1444" s="1"/>
    </row>
    <row r="1445" spans="2:14" x14ac:dyDescent="0.35">
      <c r="B1445" s="5" t="str">
        <f t="shared" si="1509"/>
        <v>SPS1</v>
      </c>
      <c r="C1445" s="5" t="str">
        <f t="shared" si="1510"/>
        <v>CH</v>
      </c>
      <c r="D1445" t="s">
        <v>1437</v>
      </c>
      <c r="E1445" t="str">
        <f t="shared" si="15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3.8057712595606605E-4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8.9215007475976944E-3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1.6581067494414747E-2</v>
      </c>
      <c r="N1445" s="1"/>
    </row>
    <row r="1446" spans="2:14" x14ac:dyDescent="0.35">
      <c r="B1446" s="5" t="str">
        <f t="shared" si="1509"/>
        <v>SPS1</v>
      </c>
      <c r="C1446" s="5" t="str">
        <f t="shared" si="1510"/>
        <v>CH</v>
      </c>
      <c r="D1446" t="s">
        <v>1438</v>
      </c>
      <c r="E1446" t="str">
        <f t="shared" si="15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1.260181464098825E-2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4.5719381602650931E-3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8.6231702506791631E-4</v>
      </c>
      <c r="N1446" s="1"/>
    </row>
    <row r="1447" spans="2:14" x14ac:dyDescent="0.35">
      <c r="B1447" s="5" t="str">
        <f t="shared" si="1509"/>
        <v>SPS1</v>
      </c>
      <c r="C1447" s="5" t="str">
        <f t="shared" si="1510"/>
        <v>CH</v>
      </c>
      <c r="D1447" t="s">
        <v>1439</v>
      </c>
      <c r="E1447" t="str">
        <f t="shared" si="15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1.195376168201033E-2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1.1301496948778519E-2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2.5241051332680277E-3</v>
      </c>
      <c r="N1447" s="1"/>
    </row>
    <row r="1448" spans="2:14" x14ac:dyDescent="0.35">
      <c r="B1448" s="5" t="str">
        <f t="shared" si="1509"/>
        <v>SPS1</v>
      </c>
      <c r="C1448" s="5" t="str">
        <f t="shared" si="1510"/>
        <v>CH</v>
      </c>
      <c r="D1448" t="s">
        <v>1440</v>
      </c>
      <c r="E1448" t="str">
        <f t="shared" si="15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8.5653786100153536E-6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1.3448623787311127E-5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2.6668483334221179E-6</v>
      </c>
      <c r="N1448" s="1"/>
    </row>
    <row r="1449" spans="2:14" x14ac:dyDescent="0.35">
      <c r="B1449" s="5" t="str">
        <f t="shared" si="1509"/>
        <v>SPS1</v>
      </c>
      <c r="C1449" s="5" t="str">
        <f t="shared" si="1510"/>
        <v>CH</v>
      </c>
      <c r="D1449" t="s">
        <v>2116</v>
      </c>
      <c r="E1449" t="str">
        <f t="shared" si="15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N1449" s="1"/>
    </row>
    <row r="1450" spans="2:14" x14ac:dyDescent="0.35">
      <c r="B1450" s="5" t="str">
        <f t="shared" si="1509"/>
        <v>SPS1</v>
      </c>
      <c r="C1450" s="5" t="str">
        <f t="shared" si="1510"/>
        <v>CH</v>
      </c>
      <c r="D1450" t="s">
        <v>1441</v>
      </c>
      <c r="E1450" t="str">
        <f t="shared" si="15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N1450" s="1"/>
    </row>
    <row r="1451" spans="2:14" x14ac:dyDescent="0.35">
      <c r="B1451" s="5" t="str">
        <f t="shared" si="1509"/>
        <v>SPS1</v>
      </c>
      <c r="C1451" s="5" t="str">
        <f t="shared" si="1510"/>
        <v>CH</v>
      </c>
      <c r="D1451" t="s">
        <v>1442</v>
      </c>
      <c r="E1451" t="str">
        <f t="shared" si="15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N1451" s="1"/>
    </row>
    <row r="1452" spans="2:14" x14ac:dyDescent="0.35">
      <c r="B1452" s="5" t="str">
        <f t="shared" si="1509"/>
        <v>SPS1</v>
      </c>
      <c r="C1452" s="5" t="str">
        <f t="shared" si="1510"/>
        <v>CH</v>
      </c>
      <c r="D1452" t="s">
        <v>1443</v>
      </c>
      <c r="E1452" t="str">
        <f t="shared" si="15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N1452" s="1"/>
    </row>
    <row r="1453" spans="2:14" x14ac:dyDescent="0.35">
      <c r="B1453" s="5" t="str">
        <f t="shared" si="1509"/>
        <v>SPS1</v>
      </c>
      <c r="C1453" s="5" t="str">
        <f t="shared" si="1510"/>
        <v>CH</v>
      </c>
      <c r="D1453" t="s">
        <v>1444</v>
      </c>
      <c r="E1453" t="str">
        <f t="shared" si="15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N1453" s="1"/>
    </row>
    <row r="1454" spans="2:14" x14ac:dyDescent="0.35">
      <c r="B1454" s="5" t="str">
        <f t="shared" si="1509"/>
        <v>SPS1</v>
      </c>
      <c r="C1454" s="5" t="str">
        <f t="shared" si="1510"/>
        <v>CH</v>
      </c>
      <c r="D1454" t="s">
        <v>2119</v>
      </c>
      <c r="E1454" t="str">
        <f t="shared" si="15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N1454" s="1"/>
    </row>
    <row r="1455" spans="2:14" x14ac:dyDescent="0.35">
      <c r="B1455" s="5" t="str">
        <f t="shared" si="1509"/>
        <v>SPS1</v>
      </c>
      <c r="C1455" s="5" t="str">
        <f t="shared" si="1510"/>
        <v>CH</v>
      </c>
      <c r="D1455" t="s">
        <v>1445</v>
      </c>
      <c r="E1455" t="str">
        <f t="shared" si="15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N1455" s="1"/>
    </row>
    <row r="1456" spans="2:14" x14ac:dyDescent="0.35">
      <c r="B1456" s="5" t="str">
        <f t="shared" si="1509"/>
        <v>SPS1</v>
      </c>
      <c r="C1456" s="5" t="str">
        <f t="shared" si="1510"/>
        <v>CH</v>
      </c>
      <c r="D1456" t="s">
        <v>1446</v>
      </c>
      <c r="E1456" t="str">
        <f t="shared" si="15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N1456" s="1"/>
    </row>
    <row r="1457" spans="2:14" x14ac:dyDescent="0.35">
      <c r="B1457" s="5" t="str">
        <f t="shared" si="1509"/>
        <v>SPS1</v>
      </c>
      <c r="C1457" s="5" t="str">
        <f t="shared" si="1510"/>
        <v>CH</v>
      </c>
      <c r="D1457" t="s">
        <v>1447</v>
      </c>
      <c r="E1457" t="str">
        <f t="shared" si="15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N1457" s="1"/>
    </row>
    <row r="1458" spans="2:14" x14ac:dyDescent="0.35">
      <c r="B1458" s="5" t="str">
        <f t="shared" si="1509"/>
        <v>SPS1</v>
      </c>
      <c r="C1458" s="5" t="str">
        <f t="shared" si="1510"/>
        <v>CH</v>
      </c>
      <c r="D1458" t="s">
        <v>1448</v>
      </c>
      <c r="E1458" t="str">
        <f t="shared" si="15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2">B1459</f>
        <v>SPS1</v>
      </c>
      <c r="C1460" s="5" t="str">
        <f t="shared" ref="C1460:C1482" si="15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4">IFERROR(G1436/G1401,"-")</f>
        <v>-</v>
      </c>
      <c r="H1460" s="1" t="str">
        <f t="shared" si="1514"/>
        <v>-</v>
      </c>
      <c r="I1460" s="1" t="str">
        <f t="shared" si="1514"/>
        <v>-</v>
      </c>
      <c r="J1460" s="1" t="str">
        <f t="shared" si="1514"/>
        <v>-</v>
      </c>
      <c r="K1460" s="1" t="str">
        <f t="shared" si="1514"/>
        <v>-</v>
      </c>
      <c r="L1460" s="1" t="str">
        <f t="shared" ref="L1460" si="1515">IFERROR(L1436/L1401,"-")</f>
        <v>-</v>
      </c>
      <c r="N1460" s="1"/>
    </row>
    <row r="1461" spans="2:14" x14ac:dyDescent="0.35">
      <c r="B1461" s="5" t="str">
        <f t="shared" si="1512"/>
        <v>SPS1</v>
      </c>
      <c r="C1461" s="5" t="str">
        <f t="shared" si="1513"/>
        <v>CH</v>
      </c>
      <c r="D1461" t="s">
        <v>1450</v>
      </c>
      <c r="E1461" t="s">
        <v>1229</v>
      </c>
      <c r="F1461" s="1">
        <f t="shared" ref="F1461:K1461" si="1516">IFERROR(F1437/F1402,"-")</f>
        <v>0.37869321701871816</v>
      </c>
      <c r="G1461" s="1">
        <f t="shared" si="1516"/>
        <v>0.38520363054183615</v>
      </c>
      <c r="H1461" s="1">
        <f t="shared" si="1516"/>
        <v>0.39560495283287744</v>
      </c>
      <c r="I1461" s="1">
        <f t="shared" si="1516"/>
        <v>0.44699371520290682</v>
      </c>
      <c r="J1461" s="1">
        <f t="shared" si="1516"/>
        <v>0.46714174147520809</v>
      </c>
      <c r="K1461" s="1">
        <f t="shared" si="1516"/>
        <v>0.47163759688357509</v>
      </c>
      <c r="L1461" s="1">
        <f t="shared" ref="L1461" si="1517">IFERROR(L1437/L1402,"-")</f>
        <v>0.52537370007896789</v>
      </c>
      <c r="N1461" s="1"/>
    </row>
    <row r="1462" spans="2:14" x14ac:dyDescent="0.35">
      <c r="B1462" s="5" t="str">
        <f t="shared" si="1512"/>
        <v>SPS1</v>
      </c>
      <c r="C1462" s="5" t="str">
        <f t="shared" si="1513"/>
        <v>CH</v>
      </c>
      <c r="D1462" t="s">
        <v>1451</v>
      </c>
      <c r="E1462" t="s">
        <v>1229</v>
      </c>
      <c r="F1462" s="1">
        <f t="shared" ref="F1462:K1462" si="1518">IFERROR(F1438/F1403,"-")</f>
        <v>0.27518070496490693</v>
      </c>
      <c r="G1462" s="1">
        <f t="shared" si="1518"/>
        <v>0.27824661696765457</v>
      </c>
      <c r="H1462" s="1">
        <f t="shared" si="1518"/>
        <v>0.28286287710600166</v>
      </c>
      <c r="I1462" s="1">
        <f t="shared" si="1518"/>
        <v>0.3238259782501306</v>
      </c>
      <c r="J1462" s="1">
        <f t="shared" si="1518"/>
        <v>0.32510486440334252</v>
      </c>
      <c r="K1462" s="1">
        <f t="shared" si="1518"/>
        <v>0.35237862749479193</v>
      </c>
      <c r="L1462" s="1">
        <f t="shared" ref="L1462" si="1519">IFERROR(L1438/L1403,"-")</f>
        <v>0.37792759400511183</v>
      </c>
      <c r="N1462" s="1"/>
    </row>
    <row r="1463" spans="2:14" x14ac:dyDescent="0.35">
      <c r="B1463" s="5" t="str">
        <f t="shared" si="1512"/>
        <v>SPS1</v>
      </c>
      <c r="C1463" s="5" t="str">
        <f t="shared" si="1513"/>
        <v>CH</v>
      </c>
      <c r="D1463" t="s">
        <v>1452</v>
      </c>
      <c r="E1463" t="s">
        <v>1229</v>
      </c>
      <c r="F1463" s="1">
        <f t="shared" ref="F1463:K1463" si="1520">IFERROR(F1439/F1404,"-")</f>
        <v>0.18297040713439916</v>
      </c>
      <c r="G1463" s="1">
        <f t="shared" si="1520"/>
        <v>0.18525185681673922</v>
      </c>
      <c r="H1463" s="1">
        <f t="shared" si="1520"/>
        <v>0.18738304863817748</v>
      </c>
      <c r="I1463" s="1">
        <f t="shared" si="1520"/>
        <v>0.20227078168991769</v>
      </c>
      <c r="J1463" s="1">
        <f t="shared" si="1520"/>
        <v>0.22377253740914685</v>
      </c>
      <c r="K1463" s="1">
        <f t="shared" si="1520"/>
        <v>0.23622544017597266</v>
      </c>
      <c r="L1463" s="1">
        <f t="shared" ref="L1463" si="1521">IFERROR(L1439/L1404,"-")</f>
        <v>0.26144913796574398</v>
      </c>
      <c r="N1463" s="1"/>
    </row>
    <row r="1464" spans="2:14" x14ac:dyDescent="0.35">
      <c r="B1464" s="5" t="str">
        <f t="shared" si="1512"/>
        <v>SPS1</v>
      </c>
      <c r="C1464" s="5" t="str">
        <f t="shared" si="1513"/>
        <v>CH</v>
      </c>
      <c r="D1464" t="s">
        <v>1453</v>
      </c>
      <c r="E1464" t="s">
        <v>1229</v>
      </c>
      <c r="F1464" s="1" t="str">
        <f t="shared" ref="F1464:K1464" si="1522">IFERROR(F1440/F1405,"-")</f>
        <v>-</v>
      </c>
      <c r="G1464" s="1">
        <f t="shared" si="1522"/>
        <v>0.12643429100140421</v>
      </c>
      <c r="H1464" s="1">
        <f t="shared" si="1522"/>
        <v>0.129304064185046</v>
      </c>
      <c r="I1464" s="1">
        <f t="shared" si="1522"/>
        <v>0.13826573624185914</v>
      </c>
      <c r="J1464" s="1">
        <f t="shared" si="1522"/>
        <v>0.15081023271353489</v>
      </c>
      <c r="K1464" s="1">
        <f t="shared" si="1522"/>
        <v>0.15732162566542529</v>
      </c>
      <c r="L1464" s="1">
        <f t="shared" ref="L1464" si="1523">IFERROR(L1440/L1405,"-")</f>
        <v>0.17068184025822269</v>
      </c>
      <c r="N1464" s="1"/>
    </row>
    <row r="1465" spans="2:14" x14ac:dyDescent="0.35">
      <c r="B1465" s="5" t="str">
        <f t="shared" si="1512"/>
        <v>SPS1</v>
      </c>
      <c r="C1465" s="5" t="str">
        <f t="shared" si="15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4">IFERROR(G1441/G1407,"-")</f>
        <v>-</v>
      </c>
      <c r="H1465" s="1" t="str">
        <f t="shared" si="1524"/>
        <v>-</v>
      </c>
      <c r="I1465" s="1" t="str">
        <f t="shared" si="1524"/>
        <v>-</v>
      </c>
      <c r="J1465" s="1" t="str">
        <f t="shared" si="1524"/>
        <v>-</v>
      </c>
      <c r="K1465" s="1" t="str">
        <f t="shared" si="1524"/>
        <v>-</v>
      </c>
      <c r="L1465" s="1" t="str">
        <f t="shared" ref="L1465" si="1525">IFERROR(L1441/L1407,"-")</f>
        <v>-</v>
      </c>
      <c r="N1465" s="1"/>
    </row>
    <row r="1466" spans="2:14" x14ac:dyDescent="0.35">
      <c r="B1466" s="5" t="str">
        <f t="shared" si="1512"/>
        <v>SPS1</v>
      </c>
      <c r="C1466" s="5" t="str">
        <f t="shared" si="1513"/>
        <v>CH</v>
      </c>
      <c r="D1466" t="s">
        <v>1455</v>
      </c>
      <c r="E1466" t="s">
        <v>1229</v>
      </c>
      <c r="F1466" s="1" t="str">
        <f t="shared" ref="F1466:K1466" si="1526">IFERROR(F1442/F1408,"-")</f>
        <v>-</v>
      </c>
      <c r="G1466" s="1" t="str">
        <f t="shared" si="1526"/>
        <v>-</v>
      </c>
      <c r="H1466" s="1" t="str">
        <f t="shared" si="1526"/>
        <v>-</v>
      </c>
      <c r="I1466" s="1" t="str">
        <f t="shared" si="1526"/>
        <v>-</v>
      </c>
      <c r="J1466" s="1" t="str">
        <f t="shared" si="1526"/>
        <v>-</v>
      </c>
      <c r="K1466" s="1" t="str">
        <f t="shared" si="1526"/>
        <v>-</v>
      </c>
      <c r="L1466" s="1" t="str">
        <f t="shared" ref="L1466" si="1527">IFERROR(L1442/L1408,"-")</f>
        <v>-</v>
      </c>
      <c r="N1466" s="1"/>
    </row>
    <row r="1467" spans="2:14" x14ac:dyDescent="0.35">
      <c r="B1467" s="5" t="str">
        <f t="shared" si="1512"/>
        <v>SPS1</v>
      </c>
      <c r="C1467" s="5" t="str">
        <f t="shared" si="1513"/>
        <v>CH</v>
      </c>
      <c r="D1467" t="s">
        <v>1456</v>
      </c>
      <c r="E1467" t="s">
        <v>1229</v>
      </c>
      <c r="F1467" s="1" t="str">
        <f t="shared" ref="F1467:K1467" si="1528">IFERROR(F1443/F1409,"-")</f>
        <v>-</v>
      </c>
      <c r="G1467" s="1" t="str">
        <f t="shared" si="1528"/>
        <v>-</v>
      </c>
      <c r="H1467" s="1" t="str">
        <f t="shared" si="1528"/>
        <v>-</v>
      </c>
      <c r="I1467" s="1" t="str">
        <f t="shared" si="1528"/>
        <v>-</v>
      </c>
      <c r="J1467" s="1" t="str">
        <f t="shared" si="1528"/>
        <v>-</v>
      </c>
      <c r="K1467" s="1" t="str">
        <f t="shared" si="1528"/>
        <v>-</v>
      </c>
      <c r="L1467" s="1" t="str">
        <f t="shared" ref="L1467" si="1529">IFERROR(L1443/L1409,"-")</f>
        <v>-</v>
      </c>
      <c r="N1467" s="1"/>
    </row>
    <row r="1468" spans="2:14" x14ac:dyDescent="0.35">
      <c r="B1468" s="5" t="str">
        <f t="shared" si="1512"/>
        <v>SPS1</v>
      </c>
      <c r="C1468" s="5" t="str">
        <f t="shared" si="1513"/>
        <v>CH</v>
      </c>
      <c r="D1468" t="s">
        <v>1457</v>
      </c>
      <c r="E1468" t="s">
        <v>1229</v>
      </c>
      <c r="F1468" s="1" t="str">
        <f t="shared" ref="F1468:K1468" si="1530">IFERROR(F1444/F1410,"-")</f>
        <v>-</v>
      </c>
      <c r="G1468" s="1" t="str">
        <f t="shared" si="1530"/>
        <v>-</v>
      </c>
      <c r="H1468" s="1" t="str">
        <f t="shared" si="1530"/>
        <v>-</v>
      </c>
      <c r="I1468" s="1" t="str">
        <f t="shared" si="1530"/>
        <v>-</v>
      </c>
      <c r="J1468" s="1" t="str">
        <f t="shared" si="1530"/>
        <v>-</v>
      </c>
      <c r="K1468" s="1" t="str">
        <f t="shared" si="1530"/>
        <v>-</v>
      </c>
      <c r="L1468" s="1" t="str">
        <f t="shared" ref="L1468" si="1531">IFERROR(L1444/L1410,"-")</f>
        <v>-</v>
      </c>
      <c r="N1468" s="1"/>
    </row>
    <row r="1469" spans="2:14" x14ac:dyDescent="0.35">
      <c r="B1469" s="5" t="str">
        <f t="shared" si="1512"/>
        <v>SPS1</v>
      </c>
      <c r="C1469" s="5" t="str">
        <f t="shared" si="15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2">IFERROR(G1445/G1416,"-")</f>
        <v>0.16251369968883869</v>
      </c>
      <c r="H1469" s="1">
        <f t="shared" si="1532"/>
        <v>0.16549784120842384</v>
      </c>
      <c r="I1469" s="1">
        <f t="shared" si="1532"/>
        <v>0.17313209640304722</v>
      </c>
      <c r="J1469" s="1">
        <f t="shared" si="1532"/>
        <v>0.18745022372641354</v>
      </c>
      <c r="K1469" s="1">
        <f t="shared" si="1532"/>
        <v>0.20429899610619717</v>
      </c>
      <c r="L1469" s="1">
        <f t="shared" ref="L1469" si="1533">IFERROR(L1445/L1416,"-")</f>
        <v>0.22079157930998503</v>
      </c>
      <c r="N1469" s="1"/>
    </row>
    <row r="1470" spans="2:14" x14ac:dyDescent="0.35">
      <c r="B1470" s="5" t="str">
        <f t="shared" si="1512"/>
        <v>SPS1</v>
      </c>
      <c r="C1470" s="5" t="str">
        <f t="shared" si="1513"/>
        <v>CH</v>
      </c>
      <c r="D1470" t="s">
        <v>1459</v>
      </c>
      <c r="E1470" t="s">
        <v>1229</v>
      </c>
      <c r="F1470" s="1" t="str">
        <f t="shared" ref="F1470:K1470" si="1534">IFERROR(F1446/F1417,"-")</f>
        <v>-</v>
      </c>
      <c r="G1470" s="1">
        <f t="shared" si="1534"/>
        <v>0.11649393435744138</v>
      </c>
      <c r="H1470" s="1">
        <f t="shared" si="1534"/>
        <v>0.12226698916415461</v>
      </c>
      <c r="I1470" s="1">
        <f t="shared" si="1534"/>
        <v>0.12799255349596481</v>
      </c>
      <c r="J1470" s="1">
        <f t="shared" si="1534"/>
        <v>0.13173438581015495</v>
      </c>
      <c r="K1470" s="1">
        <f t="shared" si="1534"/>
        <v>0.13808510114338465</v>
      </c>
      <c r="L1470" s="1">
        <f t="shared" ref="L1470" si="1535">IFERROR(L1446/L1417,"-")</f>
        <v>0.14452372844500086</v>
      </c>
      <c r="N1470" s="1"/>
    </row>
    <row r="1471" spans="2:14" x14ac:dyDescent="0.35">
      <c r="B1471" s="5" t="str">
        <f t="shared" si="1512"/>
        <v>SPS1</v>
      </c>
      <c r="C1471" s="5" t="str">
        <f t="shared" si="1513"/>
        <v>CH</v>
      </c>
      <c r="D1471" t="s">
        <v>1460</v>
      </c>
      <c r="E1471" t="s">
        <v>1229</v>
      </c>
      <c r="F1471" s="1" t="str">
        <f t="shared" ref="F1471:K1471" si="1536">IFERROR(F1447/F1418,"-")</f>
        <v>-</v>
      </c>
      <c r="G1471" s="1">
        <f t="shared" si="1536"/>
        <v>7.8235828164578997E-2</v>
      </c>
      <c r="H1471" s="1">
        <f t="shared" si="1536"/>
        <v>8.2110820762997916E-2</v>
      </c>
      <c r="I1471" s="1">
        <f t="shared" si="1536"/>
        <v>8.7871120020862684E-2</v>
      </c>
      <c r="J1471" s="1">
        <f t="shared" si="1536"/>
        <v>9.0438915589033247E-2</v>
      </c>
      <c r="K1471" s="1">
        <f t="shared" si="1536"/>
        <v>9.688965984880632E-2</v>
      </c>
      <c r="L1471" s="1">
        <f t="shared" ref="L1471" si="1537">IFERROR(L1447/L1418,"-")</f>
        <v>9.8905163679494215E-2</v>
      </c>
      <c r="N1471" s="1"/>
    </row>
    <row r="1472" spans="2:14" x14ac:dyDescent="0.35">
      <c r="B1472" s="5" t="str">
        <f t="shared" si="1512"/>
        <v>SPS1</v>
      </c>
      <c r="C1472" s="5" t="str">
        <f t="shared" si="1513"/>
        <v>CH</v>
      </c>
      <c r="D1472" t="s">
        <v>1461</v>
      </c>
      <c r="E1472" t="s">
        <v>1229</v>
      </c>
      <c r="F1472" s="1" t="str">
        <f t="shared" ref="F1472:K1472" si="1538">IFERROR(F1448/F1419,"-")</f>
        <v>-</v>
      </c>
      <c r="G1472" s="1">
        <f t="shared" si="1538"/>
        <v>5.2751439830497751E-2</v>
      </c>
      <c r="H1472" s="1">
        <f t="shared" si="1538"/>
        <v>5.3898436709217103E-2</v>
      </c>
      <c r="I1472" s="1">
        <f t="shared" si="1538"/>
        <v>5.7272819668435913E-2</v>
      </c>
      <c r="J1472" s="1">
        <f t="shared" si="1538"/>
        <v>6.2873304701395891E-2</v>
      </c>
      <c r="K1472" s="1">
        <f t="shared" si="1538"/>
        <v>6.5327149907684831E-2</v>
      </c>
      <c r="L1472" s="1">
        <f t="shared" ref="L1472" si="1539">IFERROR(L1448/L1419,"-")</f>
        <v>7.1025933816430561E-2</v>
      </c>
      <c r="N1472" s="1"/>
    </row>
    <row r="1473" spans="2:14" x14ac:dyDescent="0.35">
      <c r="B1473" s="5" t="str">
        <f t="shared" si="1512"/>
        <v>SPS1</v>
      </c>
      <c r="C1473" s="5" t="str">
        <f t="shared" si="1513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40">IFERROR(G1449/G1420,"-")</f>
        <v>7.9797266512003127</v>
      </c>
      <c r="H1473" s="1">
        <f t="shared" si="1540"/>
        <v>5.0239422367072901</v>
      </c>
      <c r="I1473" s="1" t="str">
        <f t="shared" si="1540"/>
        <v>-</v>
      </c>
      <c r="J1473" s="1" t="str">
        <f t="shared" si="1540"/>
        <v>-</v>
      </c>
      <c r="K1473" s="1" t="str">
        <f t="shared" si="1540"/>
        <v>-</v>
      </c>
      <c r="L1473" s="1" t="str">
        <f t="shared" ref="L1473" si="1541">IFERROR(L1449/L1420,"-")</f>
        <v>-</v>
      </c>
      <c r="N1473" s="1"/>
    </row>
    <row r="1474" spans="2:14" x14ac:dyDescent="0.35">
      <c r="B1474" s="5" t="str">
        <f t="shared" si="1512"/>
        <v>SPS1</v>
      </c>
      <c r="C1474" s="5" t="str">
        <f t="shared" si="1513"/>
        <v>CH</v>
      </c>
      <c r="D1474" t="s">
        <v>1462</v>
      </c>
      <c r="E1474" t="s">
        <v>1229</v>
      </c>
      <c r="F1474" s="1">
        <f t="shared" ref="F1474:K1474" si="1542">IFERROR(F1450/F1421,"-")</f>
        <v>0.12391916748597509</v>
      </c>
      <c r="G1474" s="1">
        <f t="shared" si="1542"/>
        <v>0.12668688751369483</v>
      </c>
      <c r="H1474" s="1">
        <f t="shared" si="1542"/>
        <v>0.12823409188599999</v>
      </c>
      <c r="I1474" s="1" t="str">
        <f t="shared" si="1542"/>
        <v>-</v>
      </c>
      <c r="J1474" s="1" t="str">
        <f t="shared" si="1542"/>
        <v>-</v>
      </c>
      <c r="K1474" s="1" t="str">
        <f t="shared" si="1542"/>
        <v>-</v>
      </c>
      <c r="L1474" s="1" t="str">
        <f t="shared" ref="L1474" si="1543">IFERROR(L1450/L1421,"-")</f>
        <v>-</v>
      </c>
      <c r="N1474" s="1"/>
    </row>
    <row r="1475" spans="2:14" x14ac:dyDescent="0.35">
      <c r="B1475" s="5" t="str">
        <f t="shared" si="1512"/>
        <v>SPS1</v>
      </c>
      <c r="C1475" s="5" t="str">
        <f t="shared" si="1513"/>
        <v>CH</v>
      </c>
      <c r="D1475" t="s">
        <v>1463</v>
      </c>
      <c r="E1475" t="s">
        <v>1229</v>
      </c>
      <c r="F1475" s="1">
        <f t="shared" ref="F1475:K1475" si="1544">IFERROR(F1451/F1422,"-")</f>
        <v>8.7465847585616541E-2</v>
      </c>
      <c r="G1475" s="1">
        <f t="shared" si="1544"/>
        <v>8.7812919130600076E-2</v>
      </c>
      <c r="H1475" s="1">
        <f t="shared" si="1544"/>
        <v>8.7809767467238301E-2</v>
      </c>
      <c r="I1475" s="1" t="str">
        <f t="shared" si="1544"/>
        <v>-</v>
      </c>
      <c r="J1475" s="1" t="str">
        <f t="shared" si="1544"/>
        <v>-</v>
      </c>
      <c r="K1475" s="1" t="str">
        <f t="shared" si="1544"/>
        <v>-</v>
      </c>
      <c r="L1475" s="1" t="str">
        <f t="shared" ref="L1475" si="1545">IFERROR(L1451/L1422,"-")</f>
        <v>-</v>
      </c>
      <c r="N1475" s="1"/>
    </row>
    <row r="1476" spans="2:14" x14ac:dyDescent="0.35">
      <c r="B1476" s="5" t="str">
        <f t="shared" si="1512"/>
        <v>SPS1</v>
      </c>
      <c r="C1476" s="5" t="str">
        <f t="shared" si="1513"/>
        <v>CH</v>
      </c>
      <c r="D1476" t="s">
        <v>1464</v>
      </c>
      <c r="E1476" t="s">
        <v>1229</v>
      </c>
      <c r="F1476" s="1">
        <f t="shared" ref="F1476:K1476" si="1546">IFERROR(F1452/F1423,"-")</f>
        <v>5.7949527986548642E-2</v>
      </c>
      <c r="G1476" s="1">
        <f t="shared" si="1546"/>
        <v>5.8187067918153978E-2</v>
      </c>
      <c r="H1476" s="1">
        <f t="shared" si="1546"/>
        <v>5.8200738678164152E-2</v>
      </c>
      <c r="I1476" s="1" t="str">
        <f t="shared" si="1546"/>
        <v>-</v>
      </c>
      <c r="J1476" s="1" t="str">
        <f t="shared" si="1546"/>
        <v>-</v>
      </c>
      <c r="K1476" s="1" t="str">
        <f t="shared" si="1546"/>
        <v>-</v>
      </c>
      <c r="L1476" s="1" t="str">
        <f t="shared" ref="L1476" si="1547">IFERROR(L1452/L1423,"-")</f>
        <v>-</v>
      </c>
      <c r="N1476" s="1"/>
    </row>
    <row r="1477" spans="2:14" x14ac:dyDescent="0.35">
      <c r="B1477" s="5" t="str">
        <f t="shared" si="1512"/>
        <v>SPS1</v>
      </c>
      <c r="C1477" s="5" t="str">
        <f t="shared" si="1513"/>
        <v>CH</v>
      </c>
      <c r="D1477" t="s">
        <v>1465</v>
      </c>
      <c r="E1477" t="s">
        <v>1229</v>
      </c>
      <c r="F1477" s="1">
        <f t="shared" ref="F1477:K1477" si="1548">IFERROR(F1453/F1424,"-")</f>
        <v>3.8646481387947511E-2</v>
      </c>
      <c r="G1477" s="1">
        <f t="shared" si="1548"/>
        <v>3.8958140884201589E-2</v>
      </c>
      <c r="H1477" s="1">
        <f t="shared" si="1548"/>
        <v>3.9248864061242804E-2</v>
      </c>
      <c r="I1477" s="1" t="str">
        <f t="shared" si="1548"/>
        <v>-</v>
      </c>
      <c r="J1477" s="1" t="str">
        <f t="shared" si="1548"/>
        <v>-</v>
      </c>
      <c r="K1477" s="1" t="str">
        <f t="shared" si="1548"/>
        <v>-</v>
      </c>
      <c r="L1477" s="1" t="str">
        <f t="shared" ref="L1477" si="1549">IFERROR(L1453/L1424,"-")</f>
        <v>-</v>
      </c>
      <c r="N1477" s="1"/>
    </row>
    <row r="1478" spans="2:14" x14ac:dyDescent="0.35">
      <c r="B1478" s="5" t="str">
        <f t="shared" si="1512"/>
        <v>SPS1</v>
      </c>
      <c r="C1478" s="5" t="str">
        <f t="shared" si="1513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50">IFERROR(G1454/G1430,"-")</f>
        <v>7.9767976048237523</v>
      </c>
      <c r="H1478" s="1">
        <f t="shared" si="1550"/>
        <v>5.0166196207658702</v>
      </c>
      <c r="I1478" s="1" t="str">
        <f t="shared" si="1550"/>
        <v>-</v>
      </c>
      <c r="J1478" s="1" t="str">
        <f t="shared" si="1550"/>
        <v>-</v>
      </c>
      <c r="K1478" s="1" t="str">
        <f t="shared" si="1550"/>
        <v>-</v>
      </c>
      <c r="L1478" s="1" t="str">
        <f t="shared" ref="L1478" si="1551">IFERROR(L1454/L1430,"-")</f>
        <v>-</v>
      </c>
      <c r="N1478" s="1"/>
    </row>
    <row r="1479" spans="2:14" x14ac:dyDescent="0.35">
      <c r="B1479" s="5" t="str">
        <f t="shared" si="1512"/>
        <v>SPS1</v>
      </c>
      <c r="C1479" s="5" t="str">
        <f t="shared" si="1513"/>
        <v>CH</v>
      </c>
      <c r="D1479" t="s">
        <v>1466</v>
      </c>
      <c r="E1479" t="s">
        <v>1229</v>
      </c>
      <c r="F1479" s="1" t="str">
        <f t="shared" ref="F1479:K1479" si="1552">IFERROR(F1455/F1431,"-")</f>
        <v>-</v>
      </c>
      <c r="G1479" s="1">
        <f t="shared" si="1552"/>
        <v>0.12023751974847215</v>
      </c>
      <c r="H1479" s="1">
        <f t="shared" si="1552"/>
        <v>0.12588848488903456</v>
      </c>
      <c r="I1479" s="1" t="str">
        <f t="shared" si="1552"/>
        <v>-</v>
      </c>
      <c r="J1479" s="1" t="str">
        <f t="shared" si="1552"/>
        <v>-</v>
      </c>
      <c r="K1479" s="1" t="str">
        <f t="shared" si="1552"/>
        <v>-</v>
      </c>
      <c r="L1479" s="1" t="str">
        <f t="shared" ref="L1479" si="1553">IFERROR(L1455/L1431,"-")</f>
        <v>-</v>
      </c>
      <c r="N1479" s="1"/>
    </row>
    <row r="1480" spans="2:14" x14ac:dyDescent="0.35">
      <c r="B1480" s="5" t="str">
        <f t="shared" si="1512"/>
        <v>SPS1</v>
      </c>
      <c r="C1480" s="5" t="str">
        <f t="shared" si="1513"/>
        <v>CH</v>
      </c>
      <c r="D1480" t="s">
        <v>1467</v>
      </c>
      <c r="E1480" t="s">
        <v>1229</v>
      </c>
      <c r="F1480" s="1" t="str">
        <f t="shared" ref="F1480:K1480" si="1554">IFERROR(F1456/F1432,"-")</f>
        <v>-</v>
      </c>
      <c r="G1480" s="1">
        <f t="shared" si="1554"/>
        <v>8.4998076233608888E-2</v>
      </c>
      <c r="H1480" s="1">
        <f t="shared" si="1554"/>
        <v>8.8759512292266987E-2</v>
      </c>
      <c r="I1480" s="1" t="str">
        <f t="shared" si="1554"/>
        <v>-</v>
      </c>
      <c r="J1480" s="1" t="str">
        <f t="shared" si="1554"/>
        <v>-</v>
      </c>
      <c r="K1480" s="1" t="str">
        <f t="shared" si="1554"/>
        <v>-</v>
      </c>
      <c r="L1480" s="1" t="str">
        <f t="shared" ref="L1480" si="1555">IFERROR(L1456/L1432,"-")</f>
        <v>-</v>
      </c>
      <c r="N1480" s="1"/>
    </row>
    <row r="1481" spans="2:14" x14ac:dyDescent="0.35">
      <c r="B1481" s="5" t="str">
        <f t="shared" si="1512"/>
        <v>SPS1</v>
      </c>
      <c r="C1481" s="5" t="str">
        <f t="shared" si="1513"/>
        <v>CH</v>
      </c>
      <c r="D1481" t="s">
        <v>1468</v>
      </c>
      <c r="E1481" t="s">
        <v>1229</v>
      </c>
      <c r="F1481" s="1" t="str">
        <f t="shared" ref="F1481:K1481" si="1556">IFERROR(F1457/F1433,"-")</f>
        <v>-</v>
      </c>
      <c r="G1481" s="1">
        <f t="shared" si="1556"/>
        <v>5.6422133461237131E-2</v>
      </c>
      <c r="H1481" s="1">
        <f t="shared" si="1556"/>
        <v>5.8760692832628844E-2</v>
      </c>
      <c r="I1481" s="1" t="str">
        <f t="shared" si="1556"/>
        <v>-</v>
      </c>
      <c r="J1481" s="1" t="str">
        <f t="shared" si="1556"/>
        <v>-</v>
      </c>
      <c r="K1481" s="1" t="str">
        <f t="shared" si="1556"/>
        <v>-</v>
      </c>
      <c r="L1481" s="1" t="str">
        <f t="shared" ref="L1481" si="1557">IFERROR(L1457/L1433,"-")</f>
        <v>-</v>
      </c>
      <c r="N1481" s="1"/>
    </row>
    <row r="1482" spans="2:14" x14ac:dyDescent="0.35">
      <c r="B1482" s="5" t="str">
        <f t="shared" si="1512"/>
        <v>SPS1</v>
      </c>
      <c r="C1482" s="5" t="str">
        <f t="shared" si="1513"/>
        <v>CH</v>
      </c>
      <c r="D1482" t="s">
        <v>1469</v>
      </c>
      <c r="E1482" t="s">
        <v>1229</v>
      </c>
      <c r="F1482" s="1" t="str">
        <f t="shared" ref="F1482:K1482" si="1558">IFERROR(F1458/F1434,"-")</f>
        <v>-</v>
      </c>
      <c r="G1482" s="1">
        <f t="shared" si="1558"/>
        <v>3.7689157759834349E-2</v>
      </c>
      <c r="H1482" s="1">
        <f t="shared" si="1558"/>
        <v>3.9191882653171209E-2</v>
      </c>
      <c r="I1482" s="1" t="str">
        <f t="shared" si="1558"/>
        <v>-</v>
      </c>
      <c r="J1482" s="1" t="str">
        <f t="shared" si="1558"/>
        <v>-</v>
      </c>
      <c r="K1482" s="1" t="str">
        <f t="shared" si="1558"/>
        <v>-</v>
      </c>
      <c r="L1482" s="1" t="str">
        <f t="shared" ref="L1482" si="1559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60">G1484</f>
        <v>0.30668648626079364</v>
      </c>
      <c r="H1483" s="3">
        <f t="shared" si="1560"/>
        <v>0.35149986092475399</v>
      </c>
      <c r="I1483" s="3">
        <f t="shared" si="1560"/>
        <v>0.45078090930791764</v>
      </c>
      <c r="J1483" s="3">
        <f t="shared" si="1560"/>
        <v>0.45958965891661224</v>
      </c>
      <c r="K1483" s="3">
        <f t="shared" si="1560"/>
        <v>0.47237229295618205</v>
      </c>
      <c r="L1483" s="3">
        <f t="shared" si="1560"/>
        <v>0.48809144422268164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1">G1485</f>
        <v>0.30668648626079364</v>
      </c>
      <c r="H1484" s="1">
        <f t="shared" si="1561"/>
        <v>0.35149986092475399</v>
      </c>
      <c r="I1484" s="1">
        <f t="shared" si="1561"/>
        <v>0.45078090930791764</v>
      </c>
      <c r="J1484" s="1">
        <f t="shared" si="1561"/>
        <v>0.45958965891661224</v>
      </c>
      <c r="K1484" s="1">
        <f t="shared" si="1561"/>
        <v>0.47237229295618205</v>
      </c>
      <c r="L1484" s="1">
        <f t="shared" si="1561"/>
        <v>0.48809144422268164</v>
      </c>
      <c r="N1484" s="1"/>
    </row>
    <row r="1485" spans="2:14" x14ac:dyDescent="0.35">
      <c r="B1485" s="5" t="str">
        <f t="shared" ref="B1485" si="1562">B1484</f>
        <v>SPS1</v>
      </c>
      <c r="C1485" s="5" t="str">
        <f t="shared" ref="C1485" si="1563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0.45958965891661224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0.47237229295618205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0.48809144422268164</v>
      </c>
      <c r="N1485" s="1"/>
    </row>
    <row r="1486" spans="2:14" x14ac:dyDescent="0.35">
      <c r="B1486" s="9" t="str">
        <f t="shared" ref="B1486:C1489" si="1564">B1485</f>
        <v>SPS1</v>
      </c>
      <c r="C1486" s="9" t="str">
        <f t="shared" si="1564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5">G1487</f>
        <v>2.7782165745480814E-2</v>
      </c>
      <c r="H1486" s="3">
        <f t="shared" si="1565"/>
        <v>2.8832315767707572E-2</v>
      </c>
      <c r="I1486" s="3">
        <f t="shared" si="1565"/>
        <v>3.0543631535415186E-2</v>
      </c>
      <c r="J1486" s="3">
        <f t="shared" si="1565"/>
        <v>3.1140487340042711E-2</v>
      </c>
      <c r="K1486" s="3">
        <f t="shared" si="1565"/>
        <v>3.2006602244411902E-2</v>
      </c>
      <c r="L1486" s="3">
        <f t="shared" si="1565"/>
        <v>3.3071687199031086E-2</v>
      </c>
      <c r="N1486" s="1"/>
    </row>
    <row r="1487" spans="2:14" x14ac:dyDescent="0.35">
      <c r="B1487" s="5" t="str">
        <f t="shared" si="1564"/>
        <v>SPS1</v>
      </c>
      <c r="C1487" s="5" t="str">
        <f t="shared" si="1564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3.1140487340042711E-2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3.2006602244411902E-2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3.3071687199031086E-2</v>
      </c>
      <c r="N1487" s="1"/>
    </row>
    <row r="1488" spans="2:14" x14ac:dyDescent="0.35">
      <c r="B1488" s="9" t="str">
        <f t="shared" si="1564"/>
        <v>SPS1</v>
      </c>
      <c r="C1488" s="9" t="str">
        <f t="shared" si="1564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4"/>
        <v>SPS1</v>
      </c>
      <c r="C1489" s="5" t="str">
        <f t="shared" si="1564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6">G1487/G1485</f>
        <v>9.0588164102724744E-2</v>
      </c>
      <c r="H1489" s="1">
        <f t="shared" si="1566"/>
        <v>8.2026535350122776E-2</v>
      </c>
      <c r="I1489" s="1">
        <f t="shared" si="1566"/>
        <v>6.7757154095786171E-2</v>
      </c>
      <c r="J1489" s="1">
        <f t="shared" si="1566"/>
        <v>6.7757154095786185E-2</v>
      </c>
      <c r="K1489" s="1">
        <f t="shared" si="1566"/>
        <v>6.7757154095786226E-2</v>
      </c>
      <c r="L1489" s="1">
        <f t="shared" ref="L1489" si="1567">L1487/L1485</f>
        <v>6.7757154095786226E-2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8">G1491</f>
        <v>0.61504030570008339</v>
      </c>
      <c r="H1490" s="3">
        <f t="shared" ref="H1490:H1491" si="1569">H1491</f>
        <v>0.65830556959273911</v>
      </c>
      <c r="I1490" s="3">
        <f t="shared" ref="I1490:I1491" si="1570">I1491</f>
        <v>0.7379148962536346</v>
      </c>
      <c r="J1490" s="3">
        <f t="shared" ref="J1490:J1491" si="1571">J1491</f>
        <v>0.7561616857731851</v>
      </c>
      <c r="K1490" s="3">
        <f t="shared" ref="K1490:L1491" si="1572">K1491</f>
        <v>0.77325934733858914</v>
      </c>
      <c r="L1490" s="3">
        <f t="shared" si="1572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8"/>
        <v>0.61504030570008339</v>
      </c>
      <c r="H1491" s="1">
        <f t="shared" si="1569"/>
        <v>0.65830556959273911</v>
      </c>
      <c r="I1491" s="1">
        <f t="shared" si="1570"/>
        <v>0.7379148962536346</v>
      </c>
      <c r="J1491" s="1">
        <f t="shared" si="1571"/>
        <v>0.7561616857731851</v>
      </c>
      <c r="K1491" s="1">
        <f t="shared" si="1572"/>
        <v>0.77325934733858914</v>
      </c>
      <c r="L1491" s="1">
        <f t="shared" si="1572"/>
        <v>0.79899112903654423</v>
      </c>
      <c r="N1491" s="1"/>
    </row>
    <row r="1492" spans="2:14" x14ac:dyDescent="0.35">
      <c r="B1492" s="5" t="str">
        <f t="shared" ref="B1492" si="1573">B1491</f>
        <v>SPS1</v>
      </c>
      <c r="C1492" s="5" t="str">
        <f t="shared" ref="C1492" si="1574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0.7561616857731851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0.77325934733858914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0.79899112903654423</v>
      </c>
      <c r="N1492" s="1"/>
    </row>
    <row r="1493" spans="2:14" x14ac:dyDescent="0.35">
      <c r="B1493" s="9" t="str">
        <f t="shared" ref="B1493:C1497" si="1575">B1492</f>
        <v>SPS1</v>
      </c>
      <c r="C1493" s="9" t="str">
        <f t="shared" si="1575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6">G1494</f>
        <v>3.4238693943285006E-2</v>
      </c>
      <c r="H1493" s="3">
        <f t="shared" ref="H1493" si="1577">H1494</f>
        <v>3.5370833501607003E-2</v>
      </c>
      <c r="I1493" s="3">
        <f t="shared" ref="I1493" si="1578">I1494</f>
        <v>3.726366700321395E-2</v>
      </c>
      <c r="J1493" s="3">
        <f t="shared" ref="J1493" si="1579">J1494</f>
        <v>3.8185104274620588E-2</v>
      </c>
      <c r="K1493" s="3">
        <f t="shared" ref="K1493:L1493" si="1580">K1494</f>
        <v>3.9048512196511807E-2</v>
      </c>
      <c r="L1493" s="3">
        <f t="shared" si="1580"/>
        <v>4.0347931071859175E-2</v>
      </c>
      <c r="N1493" s="1"/>
    </row>
    <row r="1494" spans="2:14" x14ac:dyDescent="0.35">
      <c r="B1494" s="5" t="str">
        <f t="shared" si="1575"/>
        <v>SPS1</v>
      </c>
      <c r="C1494" s="5" t="str">
        <f t="shared" si="1575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3.8185104274620588E-2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3.9048512196511807E-2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4.0347931071859175E-2</v>
      </c>
      <c r="N1494" s="1"/>
    </row>
    <row r="1495" spans="2:14" x14ac:dyDescent="0.35">
      <c r="B1495" s="9" t="str">
        <f t="shared" si="1575"/>
        <v>SPS1</v>
      </c>
      <c r="C1495" s="9" t="str">
        <f t="shared" si="1575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5"/>
        <v>SPS1</v>
      </c>
      <c r="C1496" s="5" t="str">
        <f t="shared" si="1575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1">G1494/G1492</f>
        <v>5.5669024657354849E-2</v>
      </c>
      <c r="H1496" s="1">
        <f t="shared" si="1581"/>
        <v>5.3730114304652132E-2</v>
      </c>
      <c r="I1496" s="1">
        <f t="shared" si="1581"/>
        <v>5.049859705014785E-2</v>
      </c>
      <c r="J1496" s="1">
        <f t="shared" si="1581"/>
        <v>5.0498597050147843E-2</v>
      </c>
      <c r="K1496" s="1">
        <f t="shared" si="1581"/>
        <v>5.0498597050147948E-2</v>
      </c>
      <c r="L1496" s="1">
        <f t="shared" ref="L1496" si="1582">L1494/L1492</f>
        <v>5.0498597050147906E-2</v>
      </c>
      <c r="N1496" s="1"/>
    </row>
    <row r="1497" spans="2:14" x14ac:dyDescent="0.35">
      <c r="B1497" s="9" t="str">
        <f t="shared" si="1575"/>
        <v>SPS1</v>
      </c>
      <c r="C1497" s="9" t="str">
        <f t="shared" si="1575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83">SUM(G1498,G1503,G1508)</f>
        <v>1.6521357309662572</v>
      </c>
      <c r="H1497" s="3">
        <f t="shared" si="1583"/>
        <v>1.3732005529406281</v>
      </c>
      <c r="I1497" s="3">
        <f t="shared" si="1583"/>
        <v>1.1255891485558094</v>
      </c>
      <c r="J1497" s="3">
        <f t="shared" si="1583"/>
        <v>1.0070599102804185</v>
      </c>
      <c r="K1497" s="3">
        <f t="shared" si="1583"/>
        <v>0.65365996315890251</v>
      </c>
      <c r="L1497" s="3">
        <f t="shared" ref="L1497" si="1584">SUM(L1498,L1503,L1508)</f>
        <v>0.16179751600628486</v>
      </c>
      <c r="N1497" s="1"/>
    </row>
    <row r="1498" spans="2:14" x14ac:dyDescent="0.35">
      <c r="B1498" s="5" t="str">
        <f>B1497</f>
        <v>SPS1</v>
      </c>
      <c r="C1498" t="str">
        <f t="shared" ref="C1498:C1502" si="1585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86">SUM(G1499:G1502)</f>
        <v>5.7358497904560206E-2</v>
      </c>
      <c r="H1498" s="1">
        <f t="shared" si="1586"/>
        <v>5.7686881401448009E-2</v>
      </c>
      <c r="I1498" s="1">
        <f t="shared" si="1586"/>
        <v>4.2720230689753808E-2</v>
      </c>
      <c r="J1498" s="1">
        <f t="shared" si="1586"/>
        <v>3.6088386419571897E-3</v>
      </c>
      <c r="K1498" s="1">
        <f t="shared" si="1586"/>
        <v>7.4983259227106067E-2</v>
      </c>
      <c r="L1498" s="1">
        <f t="shared" ref="L1498" si="1587">SUM(L1499:L1502)</f>
        <v>0.16122150295588458</v>
      </c>
      <c r="N1498" s="1"/>
    </row>
    <row r="1499" spans="2:14" x14ac:dyDescent="0.35">
      <c r="B1499" t="str">
        <f t="shared" ref="B1499:B1502" si="1588">B1498</f>
        <v>SPS1</v>
      </c>
      <c r="C1499" t="str">
        <f t="shared" si="1585"/>
        <v>CH</v>
      </c>
      <c r="D1499" t="s">
        <v>1489</v>
      </c>
      <c r="E1499" t="str">
        <f t="shared" ref="E1499:E1502" si="1589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2.2455260869363876E-3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7.3662749828062757E-2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0.16045041832606749</v>
      </c>
      <c r="N1499" s="1"/>
    </row>
    <row r="1500" spans="2:14" x14ac:dyDescent="0.35">
      <c r="B1500" t="str">
        <f t="shared" si="1588"/>
        <v>SPS1</v>
      </c>
      <c r="C1500" t="str">
        <f t="shared" si="1585"/>
        <v>CH</v>
      </c>
      <c r="D1500" t="s">
        <v>1490</v>
      </c>
      <c r="E1500" t="str">
        <f t="shared" si="1589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4.3687796528849298E-4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4.0455774948569719E-4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2.5416830497756911E-4</v>
      </c>
      <c r="N1500" s="1"/>
    </row>
    <row r="1501" spans="2:14" x14ac:dyDescent="0.35">
      <c r="B1501" t="str">
        <f t="shared" si="1588"/>
        <v>SPS1</v>
      </c>
      <c r="C1501" t="str">
        <f t="shared" si="1585"/>
        <v>CH</v>
      </c>
      <c r="D1501" t="s">
        <v>1492</v>
      </c>
      <c r="E1501" t="str">
        <f t="shared" si="1589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4.5349032066298528E-4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3.783656589254E-4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2.0277808909269736E-4</v>
      </c>
      <c r="N1501" s="1"/>
    </row>
    <row r="1502" spans="2:14" x14ac:dyDescent="0.35">
      <c r="B1502" t="str">
        <f t="shared" si="1588"/>
        <v>SPS1</v>
      </c>
      <c r="C1502" t="str">
        <f t="shared" si="1585"/>
        <v>CH</v>
      </c>
      <c r="D1502" t="s">
        <v>1491</v>
      </c>
      <c r="E1502" t="str">
        <f t="shared" si="1589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4.7294426906932389E-4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5.3758599063220922E-4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3.1413823574683871E-4</v>
      </c>
      <c r="N1502" s="1"/>
    </row>
    <row r="1503" spans="2:14" x14ac:dyDescent="0.35">
      <c r="B1503" s="5" t="str">
        <f>B1502</f>
        <v>SPS1</v>
      </c>
      <c r="C1503" t="str">
        <f t="shared" ref="C1503:C1507" si="1590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1">SUM(G1504:G1507)</f>
        <v>0</v>
      </c>
      <c r="H1503" s="1">
        <f t="shared" si="1591"/>
        <v>0</v>
      </c>
      <c r="I1503" s="1">
        <f t="shared" si="1591"/>
        <v>0</v>
      </c>
      <c r="J1503" s="1">
        <f t="shared" si="1591"/>
        <v>0</v>
      </c>
      <c r="K1503" s="1">
        <f t="shared" si="1591"/>
        <v>5.7214922819053937E-4</v>
      </c>
      <c r="L1503" s="1">
        <f t="shared" ref="L1503" si="1592">SUM(L1504:L1507)</f>
        <v>5.7601305040028551E-4</v>
      </c>
      <c r="N1503" s="1"/>
    </row>
    <row r="1504" spans="2:14" x14ac:dyDescent="0.35">
      <c r="B1504" t="str">
        <f t="shared" ref="B1504:B1507" si="1593">B1503</f>
        <v>SPS1</v>
      </c>
      <c r="C1504" t="str">
        <f t="shared" si="1590"/>
        <v>CH</v>
      </c>
      <c r="D1504" t="s">
        <v>1494</v>
      </c>
      <c r="E1504" t="str">
        <f t="shared" ref="E1504:E1507" si="1594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0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2.1995541125988292E-4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1.9358491899501698E-4</v>
      </c>
      <c r="N1504" s="1"/>
    </row>
    <row r="1505" spans="2:14" x14ac:dyDescent="0.35">
      <c r="B1505" t="str">
        <f t="shared" si="1593"/>
        <v>SPS1</v>
      </c>
      <c r="C1505" t="str">
        <f t="shared" si="1590"/>
        <v>CH</v>
      </c>
      <c r="D1505" t="s">
        <v>1495</v>
      </c>
      <c r="E1505" t="str">
        <f t="shared" si="1594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0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1.5231669701049866E-4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1.3580649546423069E-4</v>
      </c>
      <c r="N1505" s="1"/>
    </row>
    <row r="1506" spans="2:14" x14ac:dyDescent="0.35">
      <c r="B1506" t="str">
        <f t="shared" si="1593"/>
        <v>SPS1</v>
      </c>
      <c r="C1506" t="str">
        <f t="shared" si="1590"/>
        <v>CH</v>
      </c>
      <c r="D1506" t="s">
        <v>1496</v>
      </c>
      <c r="E1506" t="str">
        <f t="shared" si="1594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0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1.2165911203197796E-4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1.4105193573277667E-4</v>
      </c>
      <c r="N1506" s="1"/>
    </row>
    <row r="1507" spans="2:14" x14ac:dyDescent="0.35">
      <c r="B1507" t="str">
        <f t="shared" si="1593"/>
        <v>SPS1</v>
      </c>
      <c r="C1507" t="str">
        <f t="shared" si="1590"/>
        <v>CH</v>
      </c>
      <c r="D1507" t="s">
        <v>1497</v>
      </c>
      <c r="E1507" t="str">
        <f t="shared" si="1594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0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7.8218007888179776E-5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1.0556970020826114E-4</v>
      </c>
      <c r="N1507" s="1"/>
    </row>
    <row r="1508" spans="2:14" x14ac:dyDescent="0.35">
      <c r="B1508" s="5" t="str">
        <f>B1507</f>
        <v>SPS1</v>
      </c>
      <c r="C1508" t="str">
        <f t="shared" ref="C1508:C1518" si="1595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596">SUM(G1513:G1517)</f>
        <v>1.5947772330616969</v>
      </c>
      <c r="H1508" s="1">
        <f t="shared" si="1596"/>
        <v>1.3155136715391802</v>
      </c>
      <c r="I1508" s="1">
        <f t="shared" si="1596"/>
        <v>1.0828689178660555</v>
      </c>
      <c r="J1508" s="1">
        <f t="shared" si="1596"/>
        <v>1.0034510716384613</v>
      </c>
      <c r="K1508" s="1">
        <f t="shared" si="1596"/>
        <v>0.57810455470360589</v>
      </c>
      <c r="L1508" s="1">
        <f t="shared" ref="L1508" si="1597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598">IF(G1508-G1510&lt;0,0,G1508-G1510)</f>
        <v>1.5074789014133108</v>
      </c>
      <c r="H1509" s="1">
        <f t="shared" si="1598"/>
        <v>1.2281045169334621</v>
      </c>
      <c r="I1509" s="1">
        <f t="shared" si="1598"/>
        <v>1.0235903178449506</v>
      </c>
      <c r="J1509" s="1">
        <f t="shared" si="1598"/>
        <v>0.92426631076653876</v>
      </c>
      <c r="K1509" s="1">
        <f t="shared" si="1598"/>
        <v>0.41622454680443355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599">B1509</f>
        <v>SPS1</v>
      </c>
      <c r="C1510" s="5" t="str">
        <f t="shared" ref="C1510:C1512" si="1600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01">SUM(G1511:G1512)</f>
        <v>8.7298331648386213E-2</v>
      </c>
      <c r="H1510" s="1">
        <f t="shared" ref="H1510" si="1602">SUM(H1511:H1512)</f>
        <v>8.7409154605718048E-2</v>
      </c>
      <c r="I1510" s="1">
        <f t="shared" ref="I1510" si="1603">SUM(I1511:I1512)</f>
        <v>5.927860002110498E-2</v>
      </c>
      <c r="J1510" s="1">
        <f t="shared" ref="J1510" si="1604">SUM(J1511:J1512)</f>
        <v>7.9184760871922485E-2</v>
      </c>
      <c r="K1510" s="1">
        <f t="shared" ref="K1510" si="1605">SUM(K1511:K1512)</f>
        <v>0.16188000789917237</v>
      </c>
      <c r="L1510" s="1">
        <f>IFERROR(SUM(L1511:L1512),0)</f>
        <v>0</v>
      </c>
      <c r="N1510" s="1"/>
    </row>
    <row r="1511" spans="2:14" x14ac:dyDescent="0.35">
      <c r="B1511" s="5" t="str">
        <f t="shared" si="1599"/>
        <v>SPS1</v>
      </c>
      <c r="C1511" s="5" t="str">
        <f t="shared" si="1600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[1]Transport!F$25/SUM([1]Transport!F$21,[1]Transport!F$25)*J1508*(J$35+J$600)/(J$35+J$600+J$39)</f>
        <v>7.9184760871922485E-2</v>
      </c>
      <c r="K1511" s="1">
        <f>[1]Transport!G$25/SUM([1]Transport!G$21,[1]Transport!G$25)*K1508*(K$35+K$600)/(K$35+K$600+K$39)</f>
        <v>0.16188000789917237</v>
      </c>
      <c r="L1511" s="1">
        <f>IFERROR([1]Transport!H$25/SUM([1]Transport!H$21,[1]Transport!H$25)*L1508*(L$35+L$600)/(L$35+L$600+L$39),0)</f>
        <v>0</v>
      </c>
      <c r="N1511" s="1"/>
    </row>
    <row r="1512" spans="2:14" x14ac:dyDescent="0.35">
      <c r="B1512" s="5" t="str">
        <f t="shared" si="1599"/>
        <v>SPS1</v>
      </c>
      <c r="C1512" s="5" t="str">
        <f t="shared" si="1600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IFERROR((L$39+L$719)/([1]Transport!H$21+[1]Transport!H$25)*L1508,0)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0.92648096599045993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0.51950337509753464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</v>
      </c>
      <c r="N1514" s="1"/>
    </row>
    <row r="1515" spans="2:14" x14ac:dyDescent="0.35">
      <c r="B1515" t="str">
        <f t="shared" ref="B1515:B1518" si="1606">B1514</f>
        <v>SPS1</v>
      </c>
      <c r="C1515" t="str">
        <f t="shared" si="1595"/>
        <v>CH</v>
      </c>
      <c r="D1515" t="s">
        <v>1579</v>
      </c>
      <c r="E1515" t="str">
        <f t="shared" ref="E1515:E1517" si="1607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1.0763485162015671E-2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6.7216544959010382E-4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0</v>
      </c>
      <c r="N1515" s="1"/>
    </row>
    <row r="1516" spans="2:14" x14ac:dyDescent="0.35">
      <c r="B1516" t="str">
        <f t="shared" si="1606"/>
        <v>SPS1</v>
      </c>
      <c r="C1516" t="str">
        <f t="shared" si="1595"/>
        <v>CH</v>
      </c>
      <c r="D1516" t="s">
        <v>1580</v>
      </c>
      <c r="E1516" t="str">
        <f t="shared" si="1607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1.4167557547621947E-2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6.3653199606597049E-3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0</v>
      </c>
      <c r="N1516" s="1"/>
    </row>
    <row r="1517" spans="2:14" x14ac:dyDescent="0.35">
      <c r="B1517" t="str">
        <f t="shared" si="1606"/>
        <v>SPS1</v>
      </c>
      <c r="C1517" t="str">
        <f t="shared" si="1595"/>
        <v>CH</v>
      </c>
      <c r="D1517" t="s">
        <v>1581</v>
      </c>
      <c r="E1517" t="str">
        <f t="shared" si="1607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5.2039062938363669E-2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5.156369419582145E-2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0</v>
      </c>
      <c r="N1517" s="1"/>
    </row>
    <row r="1518" spans="2:14" x14ac:dyDescent="0.35">
      <c r="B1518" s="9" t="str">
        <f t="shared" si="1606"/>
        <v>SPS1</v>
      </c>
      <c r="C1518" s="9" t="str">
        <f t="shared" si="1595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08">SUM(G1519:G1531)</f>
        <v>1.9513896623548095</v>
      </c>
      <c r="H1518" s="3">
        <f t="shared" si="1608"/>
        <v>1.955434413378089</v>
      </c>
      <c r="I1518" s="3">
        <f t="shared" si="1608"/>
        <v>1.9617061130551303</v>
      </c>
      <c r="J1518" s="3">
        <f t="shared" si="1608"/>
        <v>1.9646970798458729</v>
      </c>
      <c r="K1518" s="3">
        <f t="shared" si="1608"/>
        <v>1.9662059147965743</v>
      </c>
      <c r="L1518" s="3">
        <f t="shared" ref="L1518" si="1609">SUM(L1519:L1531)</f>
        <v>1.9098255920170952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2.5824753022829803E-2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0.85779107287024525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1.9042640261893506</v>
      </c>
      <c r="N1519" s="1"/>
    </row>
    <row r="1520" spans="2:14" x14ac:dyDescent="0.35">
      <c r="B1520" t="str">
        <f t="shared" ref="B1520:B1545" si="1610">B1519</f>
        <v>SPS1</v>
      </c>
      <c r="C1520" t="str">
        <f t="shared" ref="C1520:C1545" si="1611">C1519</f>
        <v>CH</v>
      </c>
      <c r="D1520" t="s">
        <v>1505</v>
      </c>
      <c r="E1520" t="str">
        <f t="shared" ref="E1520:E1531" si="1612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2.824671267264601E-3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2.6450551042421031E-3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1.6859269979693722E-3</v>
      </c>
      <c r="N1520" s="1"/>
    </row>
    <row r="1521" spans="2:14" x14ac:dyDescent="0.35">
      <c r="B1521" t="str">
        <f t="shared" si="1610"/>
        <v>SPS1</v>
      </c>
      <c r="C1521" t="str">
        <f t="shared" si="1611"/>
        <v>CH</v>
      </c>
      <c r="D1521" t="s">
        <v>1506</v>
      </c>
      <c r="E1521" t="str">
        <f t="shared" si="1612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1.8853628610568001E-3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1.5926245725642364E-3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8.7814951712691567E-4</v>
      </c>
      <c r="N1521" s="1"/>
    </row>
    <row r="1522" spans="2:14" x14ac:dyDescent="0.35">
      <c r="B1522" t="str">
        <f t="shared" si="1610"/>
        <v>SPS1</v>
      </c>
      <c r="C1522" t="str">
        <f t="shared" si="1611"/>
        <v>CH</v>
      </c>
      <c r="D1522" t="s">
        <v>1507</v>
      </c>
      <c r="E1522" t="str">
        <f t="shared" si="1612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1.813141799959039E-3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2.0739446388283655E-3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1.2433268122557877E-3</v>
      </c>
      <c r="N1522" s="1"/>
    </row>
    <row r="1523" spans="2:14" x14ac:dyDescent="0.35">
      <c r="B1523" t="str">
        <f t="shared" si="1610"/>
        <v>SPS1</v>
      </c>
      <c r="C1523" t="str">
        <f t="shared" si="1611"/>
        <v>CH</v>
      </c>
      <c r="D1523" t="s">
        <v>1508</v>
      </c>
      <c r="E1523" t="str">
        <f t="shared" si="1612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0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1.0461925864121986E-3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9.4275221807479676E-4</v>
      </c>
      <c r="N1523" s="1"/>
    </row>
    <row r="1524" spans="2:14" x14ac:dyDescent="0.35">
      <c r="B1524" t="str">
        <f t="shared" si="1610"/>
        <v>SPS1</v>
      </c>
      <c r="C1524" t="str">
        <f t="shared" si="1611"/>
        <v>CH</v>
      </c>
      <c r="D1524" t="s">
        <v>1509</v>
      </c>
      <c r="E1524" t="str">
        <f t="shared" si="1612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0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4.2032400561874594E-4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3.8197070891377526E-4</v>
      </c>
      <c r="N1524" s="1"/>
    </row>
    <row r="1525" spans="2:14" x14ac:dyDescent="0.35">
      <c r="B1525" t="str">
        <f t="shared" si="1610"/>
        <v>SPS1</v>
      </c>
      <c r="C1525" t="str">
        <f t="shared" si="1611"/>
        <v>CH</v>
      </c>
      <c r="D1525" t="s">
        <v>1510</v>
      </c>
      <c r="E1525" t="str">
        <f t="shared" si="1612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0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2.1836471431211572E-4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2.5785531560019271E-4</v>
      </c>
      <c r="N1525" s="1"/>
    </row>
    <row r="1526" spans="2:14" x14ac:dyDescent="0.35">
      <c r="B1526" t="str">
        <f t="shared" si="1610"/>
        <v>SPS1</v>
      </c>
      <c r="C1526" t="str">
        <f t="shared" si="1611"/>
        <v>CH</v>
      </c>
      <c r="D1526" t="s">
        <v>1511</v>
      </c>
      <c r="E1526" t="str">
        <f t="shared" si="1612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0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1.2502082108502391E-4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1.7158425780370939E-4</v>
      </c>
      <c r="N1526" s="1"/>
    </row>
    <row r="1527" spans="2:14" x14ac:dyDescent="0.35">
      <c r="B1527" t="str">
        <f t="shared" si="1610"/>
        <v>SPS1</v>
      </c>
      <c r="C1527" t="str">
        <f t="shared" si="1611"/>
        <v>CH</v>
      </c>
      <c r="D1527" t="s">
        <v>1512</v>
      </c>
      <c r="E1527" t="str">
        <f t="shared" si="1612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N1527" s="1"/>
    </row>
    <row r="1528" spans="2:14" x14ac:dyDescent="0.35">
      <c r="B1528" t="str">
        <f t="shared" si="1610"/>
        <v>SPS1</v>
      </c>
      <c r="C1528" t="str">
        <f t="shared" si="1611"/>
        <v>CH</v>
      </c>
      <c r="D1528" t="s">
        <v>1513</v>
      </c>
      <c r="E1528" t="str">
        <f t="shared" si="1612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1.8747415653383031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1.0598860199173887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</v>
      </c>
      <c r="N1528" s="1"/>
    </row>
    <row r="1529" spans="2:14" x14ac:dyDescent="0.35">
      <c r="B1529" t="str">
        <f t="shared" si="1610"/>
        <v>SPS1</v>
      </c>
      <c r="C1529" t="str">
        <f t="shared" si="1611"/>
        <v>CH</v>
      </c>
      <c r="D1529" t="s">
        <v>1514</v>
      </c>
      <c r="E1529" t="str">
        <f t="shared" si="1612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1.1972322293264484E-2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7.8962083178408886E-4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0</v>
      </c>
      <c r="N1529" s="1"/>
    </row>
    <row r="1530" spans="2:14" x14ac:dyDescent="0.35">
      <c r="B1530" t="str">
        <f t="shared" si="1610"/>
        <v>SPS1</v>
      </c>
      <c r="C1530" t="str">
        <f t="shared" si="1611"/>
        <v>CH</v>
      </c>
      <c r="D1530" t="s">
        <v>1515</v>
      </c>
      <c r="E1530" t="str">
        <f t="shared" si="1612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1.0381155654307726E-2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4.682417467732982E-3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0</v>
      </c>
      <c r="N1530" s="1"/>
    </row>
    <row r="1531" spans="2:14" x14ac:dyDescent="0.35">
      <c r="B1531" t="str">
        <f t="shared" si="1610"/>
        <v>SPS1</v>
      </c>
      <c r="C1531" t="str">
        <f t="shared" si="1611"/>
        <v>CH</v>
      </c>
      <c r="D1531" t="s">
        <v>1516</v>
      </c>
      <c r="E1531" t="str">
        <f t="shared" si="1612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3.5254107608887732E-2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3.4935257266360348E-2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0</v>
      </c>
      <c r="N1531" s="1"/>
    </row>
    <row r="1532" spans="2:14" x14ac:dyDescent="0.35">
      <c r="B1532" s="9" t="str">
        <f t="shared" si="1610"/>
        <v>SPS1</v>
      </c>
      <c r="C1532" s="9" t="str">
        <f t="shared" si="1611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10"/>
        <v>SPS1</v>
      </c>
      <c r="C1533" t="str">
        <f t="shared" si="1611"/>
        <v>CH</v>
      </c>
      <c r="D1533" t="s">
        <v>1519</v>
      </c>
      <c r="E1533" t="s">
        <v>1229</v>
      </c>
      <c r="F1533" s="1">
        <f t="shared" ref="F1533:K1536" si="1613">IFERROR(F1519/F1499,"-")</f>
        <v>11.098927012431902</v>
      </c>
      <c r="G1533" s="1">
        <f t="shared" si="1613"/>
        <v>11.099208344154382</v>
      </c>
      <c r="H1533" s="1">
        <f t="shared" si="1613"/>
        <v>11.099482523051272</v>
      </c>
      <c r="I1533" s="1">
        <f t="shared" si="1613"/>
        <v>11.100697588852187</v>
      </c>
      <c r="J1533" s="1">
        <f t="shared" si="1613"/>
        <v>11.500535742189033</v>
      </c>
      <c r="K1533" s="1">
        <f t="shared" si="1613"/>
        <v>11.644841862032401</v>
      </c>
      <c r="L1533" s="1">
        <f t="shared" ref="L1533" si="1614">IFERROR(L1519/L1499,"-")</f>
        <v>11.868239709537582</v>
      </c>
      <c r="N1533" s="1"/>
    </row>
    <row r="1534" spans="2:14" x14ac:dyDescent="0.35">
      <c r="B1534" t="str">
        <f t="shared" si="1610"/>
        <v>SPS1</v>
      </c>
      <c r="C1534" t="str">
        <f t="shared" si="1611"/>
        <v>CH</v>
      </c>
      <c r="D1534" t="s">
        <v>1520</v>
      </c>
      <c r="E1534" t="s">
        <v>1229</v>
      </c>
      <c r="F1534" s="1">
        <f t="shared" si="1613"/>
        <v>6.284524362935997</v>
      </c>
      <c r="G1534" s="1">
        <f t="shared" si="1613"/>
        <v>6.2886372155481718</v>
      </c>
      <c r="H1534" s="1">
        <f t="shared" si="1613"/>
        <v>6.3000516408138507</v>
      </c>
      <c r="I1534" s="1">
        <f t="shared" si="1613"/>
        <v>6.3242030048807951</v>
      </c>
      <c r="J1534" s="1">
        <f t="shared" si="1613"/>
        <v>6.4655841944313339</v>
      </c>
      <c r="K1534" s="1">
        <f t="shared" si="1613"/>
        <v>6.5381397528651641</v>
      </c>
      <c r="L1534" s="1">
        <f t="shared" ref="L1534" si="1615">IFERROR(L1520/L1500,"-")</f>
        <v>6.6331126460404208</v>
      </c>
      <c r="N1534" s="1"/>
    </row>
    <row r="1535" spans="2:14" x14ac:dyDescent="0.35">
      <c r="B1535" t="str">
        <f t="shared" si="1610"/>
        <v>SPS1</v>
      </c>
      <c r="C1535" t="str">
        <f t="shared" si="1611"/>
        <v>CH</v>
      </c>
      <c r="D1535" t="s">
        <v>1521</v>
      </c>
      <c r="E1535" t="s">
        <v>1229</v>
      </c>
      <c r="F1535" s="1">
        <f t="shared" si="1613"/>
        <v>4.0901432735634886</v>
      </c>
      <c r="G1535" s="1">
        <f t="shared" si="1613"/>
        <v>4.0976275003010878</v>
      </c>
      <c r="H1535" s="1">
        <f t="shared" si="1613"/>
        <v>4.1109991062851057</v>
      </c>
      <c r="I1535" s="1">
        <f t="shared" si="1613"/>
        <v>4.1311633581964191</v>
      </c>
      <c r="J1535" s="1">
        <f t="shared" si="1613"/>
        <v>4.1574489578972109</v>
      </c>
      <c r="K1535" s="1">
        <f t="shared" si="1613"/>
        <v>4.2092207233803007</v>
      </c>
      <c r="L1535" s="1">
        <f t="shared" ref="L1535" si="1616">IFERROR(L1521/L1501,"-")</f>
        <v>4.3305937098829306</v>
      </c>
      <c r="N1535" s="1"/>
    </row>
    <row r="1536" spans="2:14" x14ac:dyDescent="0.35">
      <c r="B1536" t="str">
        <f t="shared" si="1610"/>
        <v>SPS1</v>
      </c>
      <c r="C1536" t="str">
        <f t="shared" si="1611"/>
        <v>CH</v>
      </c>
      <c r="D1536" t="s">
        <v>1522</v>
      </c>
      <c r="E1536" t="s">
        <v>1229</v>
      </c>
      <c r="F1536" s="1">
        <f t="shared" si="1613"/>
        <v>3.7650534829600413</v>
      </c>
      <c r="G1536" s="1">
        <f t="shared" si="1613"/>
        <v>3.7724502845093997</v>
      </c>
      <c r="H1536" s="1">
        <f t="shared" si="1613"/>
        <v>3.7878202627633759</v>
      </c>
      <c r="I1536" s="1">
        <f t="shared" si="1613"/>
        <v>3.8063083998452676</v>
      </c>
      <c r="J1536" s="1">
        <f t="shared" si="1613"/>
        <v>3.8337324681552909</v>
      </c>
      <c r="K1536" s="1">
        <f t="shared" si="1613"/>
        <v>3.8578844593576096</v>
      </c>
      <c r="L1536" s="1">
        <f t="shared" ref="L1536" si="1617">IFERROR(L1522/L1502,"-")</f>
        <v>3.9578970999817229</v>
      </c>
      <c r="N1536" s="1"/>
    </row>
    <row r="1537" spans="2:14" x14ac:dyDescent="0.35">
      <c r="B1537" t="str">
        <f t="shared" si="1610"/>
        <v>SPS1</v>
      </c>
      <c r="C1537" t="str">
        <f t="shared" si="1611"/>
        <v>CH</v>
      </c>
      <c r="D1537" t="s">
        <v>1523</v>
      </c>
      <c r="E1537" t="s">
        <v>1229</v>
      </c>
      <c r="F1537" s="1" t="str">
        <f t="shared" ref="F1537:K1540" si="1618">IFERROR(F1523/F1504,"-")</f>
        <v>-</v>
      </c>
      <c r="G1537" s="1" t="str">
        <f t="shared" si="1618"/>
        <v>-</v>
      </c>
      <c r="H1537" s="1" t="str">
        <f t="shared" si="1618"/>
        <v>-</v>
      </c>
      <c r="I1537" s="1" t="str">
        <f t="shared" si="1618"/>
        <v>-</v>
      </c>
      <c r="J1537" s="1" t="str">
        <f t="shared" si="1618"/>
        <v>-</v>
      </c>
      <c r="K1537" s="1">
        <f t="shared" si="1618"/>
        <v>4.7563848528195356</v>
      </c>
      <c r="L1537" s="1">
        <f t="shared" ref="L1537" si="1619">IFERROR(L1523/L1504,"-")</f>
        <v>4.8699672627859192</v>
      </c>
      <c r="N1537" s="1"/>
    </row>
    <row r="1538" spans="2:14" x14ac:dyDescent="0.35">
      <c r="B1538" t="str">
        <f t="shared" si="1610"/>
        <v>SPS1</v>
      </c>
      <c r="C1538" t="str">
        <f t="shared" si="1611"/>
        <v>CH</v>
      </c>
      <c r="D1538" t="s">
        <v>1524</v>
      </c>
      <c r="E1538" t="s">
        <v>1229</v>
      </c>
      <c r="F1538" s="1" t="str">
        <f t="shared" si="1618"/>
        <v>-</v>
      </c>
      <c r="G1538" s="1" t="str">
        <f t="shared" si="1618"/>
        <v>-</v>
      </c>
      <c r="H1538" s="1" t="str">
        <f t="shared" si="1618"/>
        <v>-</v>
      </c>
      <c r="I1538" s="1" t="str">
        <f t="shared" si="1618"/>
        <v>-</v>
      </c>
      <c r="J1538" s="1" t="str">
        <f t="shared" si="1618"/>
        <v>-</v>
      </c>
      <c r="K1538" s="1">
        <f t="shared" si="1618"/>
        <v>2.759539918264998</v>
      </c>
      <c r="L1538" s="1">
        <f t="shared" ref="L1538" si="1620">IFERROR(L1524/L1505,"-")</f>
        <v>2.8126100125629145</v>
      </c>
      <c r="N1538" s="1"/>
    </row>
    <row r="1539" spans="2:14" x14ac:dyDescent="0.35">
      <c r="B1539" t="str">
        <f t="shared" si="1610"/>
        <v>SPS1</v>
      </c>
      <c r="C1539" t="str">
        <f t="shared" si="1611"/>
        <v>CH</v>
      </c>
      <c r="D1539" t="s">
        <v>1525</v>
      </c>
      <c r="E1539" t="s">
        <v>1229</v>
      </c>
      <c r="F1539" s="1" t="str">
        <f t="shared" si="1618"/>
        <v>-</v>
      </c>
      <c r="G1539" s="1" t="str">
        <f t="shared" si="1618"/>
        <v>-</v>
      </c>
      <c r="H1539" s="1" t="str">
        <f t="shared" si="1618"/>
        <v>-</v>
      </c>
      <c r="I1539" s="1" t="str">
        <f t="shared" si="1618"/>
        <v>-</v>
      </c>
      <c r="J1539" s="1" t="str">
        <f t="shared" si="1618"/>
        <v>-</v>
      </c>
      <c r="K1539" s="1">
        <f t="shared" si="1618"/>
        <v>1.7948899236969509</v>
      </c>
      <c r="L1539" s="1">
        <f t="shared" ref="L1539" si="1621">IFERROR(L1525/L1506,"-")</f>
        <v>1.828087748392907</v>
      </c>
      <c r="N1539" s="1"/>
    </row>
    <row r="1540" spans="2:14" x14ac:dyDescent="0.35">
      <c r="B1540" t="str">
        <f t="shared" si="1610"/>
        <v>SPS1</v>
      </c>
      <c r="C1540" t="str">
        <f t="shared" si="1611"/>
        <v>CH</v>
      </c>
      <c r="D1540" t="s">
        <v>1526</v>
      </c>
      <c r="E1540" t="s">
        <v>1229</v>
      </c>
      <c r="F1540" s="1" t="str">
        <f t="shared" si="1618"/>
        <v>-</v>
      </c>
      <c r="G1540" s="1" t="str">
        <f t="shared" si="1618"/>
        <v>-</v>
      </c>
      <c r="H1540" s="1" t="str">
        <f t="shared" si="1618"/>
        <v>-</v>
      </c>
      <c r="I1540" s="1" t="str">
        <f t="shared" si="1618"/>
        <v>-</v>
      </c>
      <c r="J1540" s="1" t="str">
        <f t="shared" si="1618"/>
        <v>-</v>
      </c>
      <c r="K1540" s="1">
        <f t="shared" si="1618"/>
        <v>1.5983636564070167</v>
      </c>
      <c r="L1540" s="1">
        <f t="shared" ref="L1540" si="1622">IFERROR(L1526/L1507,"-")</f>
        <v>1.6253172782078471</v>
      </c>
      <c r="N1540" s="1"/>
    </row>
    <row r="1541" spans="2:14" x14ac:dyDescent="0.35">
      <c r="B1541" t="str">
        <f t="shared" si="1610"/>
        <v>SPS1</v>
      </c>
      <c r="C1541" t="str">
        <f t="shared" si="1611"/>
        <v>CH</v>
      </c>
      <c r="D1541" t="s">
        <v>1582</v>
      </c>
      <c r="E1541" t="s">
        <v>1229</v>
      </c>
      <c r="F1541" s="1">
        <f t="shared" ref="F1541:K1545" si="1623">IFERROR(F1527/F1513,"-")</f>
        <v>0.77116510534577754</v>
      </c>
      <c r="G1541" s="1">
        <f t="shared" si="1623"/>
        <v>0.78723832996732035</v>
      </c>
      <c r="H1541" s="1">
        <f t="shared" si="1623"/>
        <v>0.81134816689963374</v>
      </c>
      <c r="I1541" s="1">
        <f t="shared" si="1623"/>
        <v>0.85153122845348961</v>
      </c>
      <c r="J1541" s="1" t="str">
        <f t="shared" si="1623"/>
        <v>-</v>
      </c>
      <c r="K1541" s="1" t="str">
        <f t="shared" si="1623"/>
        <v>-</v>
      </c>
      <c r="L1541" s="1" t="str">
        <f t="shared" ref="L1541" si="1624">IFERROR(L1527/L1513,"-")</f>
        <v>-</v>
      </c>
      <c r="N1541" s="1"/>
    </row>
    <row r="1542" spans="2:14" x14ac:dyDescent="0.35">
      <c r="B1542" t="str">
        <f t="shared" si="1610"/>
        <v>SPS1</v>
      </c>
      <c r="C1542" t="str">
        <f t="shared" si="1611"/>
        <v>CH</v>
      </c>
      <c r="D1542" t="s">
        <v>1583</v>
      </c>
      <c r="E1542" t="s">
        <v>1229</v>
      </c>
      <c r="F1542" s="1">
        <f t="shared" si="1623"/>
        <v>1.9078836334110871</v>
      </c>
      <c r="G1542" s="1">
        <f t="shared" si="1623"/>
        <v>1.9092619935745083</v>
      </c>
      <c r="H1542" s="1">
        <f t="shared" si="1623"/>
        <v>1.9443467994772259</v>
      </c>
      <c r="I1542" s="1">
        <f t="shared" si="1623"/>
        <v>1.9826285440128237</v>
      </c>
      <c r="J1542" s="1">
        <f t="shared" si="1623"/>
        <v>2.0235079123661213</v>
      </c>
      <c r="K1542" s="1">
        <f t="shared" si="1623"/>
        <v>2.0401908259371742</v>
      </c>
      <c r="L1542" s="1" t="str">
        <f t="shared" ref="L1542" si="1625">IFERROR(L1528/L1514,"-")</f>
        <v>-</v>
      </c>
      <c r="N1542" s="1"/>
    </row>
    <row r="1543" spans="2:14" x14ac:dyDescent="0.35">
      <c r="B1543" t="str">
        <f t="shared" si="1610"/>
        <v>SPS1</v>
      </c>
      <c r="C1543" t="str">
        <f t="shared" si="1611"/>
        <v>CH</v>
      </c>
      <c r="D1543" t="s">
        <v>1584</v>
      </c>
      <c r="E1543" t="s">
        <v>1229</v>
      </c>
      <c r="F1543" s="1">
        <f t="shared" si="1623"/>
        <v>1.1027629847473199</v>
      </c>
      <c r="G1543" s="1">
        <f t="shared" si="1623"/>
        <v>1.1057164437492442</v>
      </c>
      <c r="H1543" s="1">
        <f t="shared" si="1623"/>
        <v>1.1058297598659594</v>
      </c>
      <c r="I1543" s="1">
        <f t="shared" si="1623"/>
        <v>1.1062031021818488</v>
      </c>
      <c r="J1543" s="1">
        <f t="shared" si="1623"/>
        <v>1.1123090814037444</v>
      </c>
      <c r="K1543" s="1">
        <f t="shared" si="1623"/>
        <v>1.1747417726775617</v>
      </c>
      <c r="L1543" s="1" t="str">
        <f t="shared" ref="L1543" si="1626">IFERROR(L1529/L1515,"-")</f>
        <v>-</v>
      </c>
      <c r="N1543" s="1"/>
    </row>
    <row r="1544" spans="2:14" x14ac:dyDescent="0.35">
      <c r="B1544" t="str">
        <f t="shared" si="1610"/>
        <v>SPS1</v>
      </c>
      <c r="C1544" t="str">
        <f t="shared" si="1611"/>
        <v>CH</v>
      </c>
      <c r="D1544" t="s">
        <v>1585</v>
      </c>
      <c r="E1544" t="s">
        <v>1229</v>
      </c>
      <c r="F1544" s="1">
        <f t="shared" si="1623"/>
        <v>0.72942698043637</v>
      </c>
      <c r="G1544" s="1">
        <f t="shared" si="1623"/>
        <v>0.73139678951736864</v>
      </c>
      <c r="H1544" s="1">
        <f t="shared" si="1623"/>
        <v>0.73168462723869421</v>
      </c>
      <c r="I1544" s="1">
        <f t="shared" si="1623"/>
        <v>0.7321841029948315</v>
      </c>
      <c r="J1544" s="1">
        <f t="shared" si="1623"/>
        <v>0.73274137898597935</v>
      </c>
      <c r="K1544" s="1">
        <f t="shared" si="1623"/>
        <v>0.73561384135789676</v>
      </c>
      <c r="L1544" s="1" t="str">
        <f t="shared" ref="L1544" si="1627">IFERROR(L1530/L1516,"-")</f>
        <v>-</v>
      </c>
      <c r="N1544" s="1"/>
    </row>
    <row r="1545" spans="2:14" x14ac:dyDescent="0.35">
      <c r="B1545" t="str">
        <f t="shared" si="1610"/>
        <v>SPS1</v>
      </c>
      <c r="C1545" t="str">
        <f t="shared" si="1611"/>
        <v>CH</v>
      </c>
      <c r="D1545" t="s">
        <v>1586</v>
      </c>
      <c r="E1545" t="s">
        <v>1229</v>
      </c>
      <c r="F1545" s="1">
        <f t="shared" si="1623"/>
        <v>0.67580166525687335</v>
      </c>
      <c r="G1545" s="1">
        <f t="shared" si="1623"/>
        <v>0.67728038723671302</v>
      </c>
      <c r="H1545" s="1">
        <f t="shared" si="1623"/>
        <v>0.67731780212541226</v>
      </c>
      <c r="I1545" s="1">
        <f t="shared" si="1623"/>
        <v>0.677383563116013</v>
      </c>
      <c r="J1545" s="1">
        <f t="shared" si="1623"/>
        <v>0.67745469688114013</v>
      </c>
      <c r="K1545" s="1">
        <f t="shared" si="1623"/>
        <v>0.6775165707423535</v>
      </c>
      <c r="L1545" s="1" t="str">
        <f t="shared" ref="L1545" si="1628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29">G1547+G1550+G1552+G1559+G1567</f>
        <v>15.562895902725327</v>
      </c>
      <c r="H1546" s="3">
        <f t="shared" si="1629"/>
        <v>13.956434937792517</v>
      </c>
      <c r="I1546" s="3">
        <f t="shared" si="1629"/>
        <v>11.304606554372187</v>
      </c>
      <c r="J1546" s="3">
        <f t="shared" si="1629"/>
        <v>8.6498592936871876</v>
      </c>
      <c r="K1546" s="3">
        <f t="shared" si="1629"/>
        <v>8.1768057581836349</v>
      </c>
      <c r="L1546" s="3">
        <f t="shared" ref="L1546" si="1630">L1547+L1550+L1552+L1559+L1567</f>
        <v>8.2724271626616641</v>
      </c>
      <c r="N1546" s="1"/>
    </row>
    <row r="1547" spans="2:14" x14ac:dyDescent="0.35">
      <c r="B1547" t="str">
        <f t="shared" ref="B1547:B1592" si="1631">B1546</f>
        <v>SPS1</v>
      </c>
      <c r="C1547" t="str">
        <f t="shared" ref="C1547:C1592" si="1632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33">SUM(G1548:G1549)</f>
        <v>0.16886741014676421</v>
      </c>
      <c r="H1547" s="1">
        <f t="shared" si="1633"/>
        <v>0.1988419153515712</v>
      </c>
      <c r="I1547" s="1">
        <f t="shared" si="1633"/>
        <v>1.7092678467708122</v>
      </c>
      <c r="J1547" s="1">
        <f t="shared" si="1633"/>
        <v>4.2771182091356579</v>
      </c>
      <c r="K1547" s="1">
        <f t="shared" si="1633"/>
        <v>5.6635218482172203</v>
      </c>
      <c r="L1547" s="1">
        <f t="shared" ref="L1547" si="1634">SUM(L1548:L1549)</f>
        <v>7.1935043312376292</v>
      </c>
      <c r="N1547" s="1"/>
    </row>
    <row r="1548" spans="2:14" x14ac:dyDescent="0.35">
      <c r="B1548" t="str">
        <f t="shared" si="1631"/>
        <v>SPS1</v>
      </c>
      <c r="C1548" t="str">
        <f t="shared" si="1632"/>
        <v>CH</v>
      </c>
      <c r="D1548" t="s">
        <v>1543</v>
      </c>
      <c r="E1548" t="str">
        <f t="shared" ref="E1548:E1572" si="1635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N1548" s="1"/>
    </row>
    <row r="1549" spans="2:14" x14ac:dyDescent="0.35">
      <c r="B1549" t="str">
        <f t="shared" si="1631"/>
        <v>SPS1</v>
      </c>
      <c r="C1549" t="str">
        <f t="shared" si="1632"/>
        <v>CH</v>
      </c>
      <c r="D1549" t="s">
        <v>1544</v>
      </c>
      <c r="E1549" t="str">
        <f t="shared" si="1635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4.2771182091356579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5.6635218482172203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7.1935043312376292</v>
      </c>
      <c r="N1549" s="1"/>
    </row>
    <row r="1550" spans="2:14" x14ac:dyDescent="0.35">
      <c r="B1550" t="str">
        <f t="shared" si="1631"/>
        <v>SPS1</v>
      </c>
      <c r="C1550" t="str">
        <f t="shared" si="1632"/>
        <v>CH</v>
      </c>
      <c r="D1550" t="s">
        <v>1537</v>
      </c>
      <c r="E1550" t="str">
        <f t="shared" si="1635"/>
        <v>PJ/yr.</v>
      </c>
      <c r="F1550" s="1">
        <f>F1551</f>
        <v>0</v>
      </c>
      <c r="G1550" s="1">
        <f t="shared" ref="G1550:L1550" si="1636">G1551</f>
        <v>1.0088491347631419E-4</v>
      </c>
      <c r="H1550" s="1">
        <f t="shared" si="1636"/>
        <v>1.4895847727274043E-4</v>
      </c>
      <c r="I1550" s="1">
        <f t="shared" si="1636"/>
        <v>0</v>
      </c>
      <c r="J1550" s="1">
        <f t="shared" si="1636"/>
        <v>0</v>
      </c>
      <c r="K1550" s="1">
        <f t="shared" si="1636"/>
        <v>9.0978909482091226E-6</v>
      </c>
      <c r="L1550" s="1">
        <f t="shared" si="1636"/>
        <v>7.5868397818254397E-6</v>
      </c>
      <c r="N1550" s="1"/>
    </row>
    <row r="1551" spans="2:14" x14ac:dyDescent="0.35">
      <c r="B1551" t="str">
        <f t="shared" si="1631"/>
        <v>SPS1</v>
      </c>
      <c r="C1551" t="str">
        <f t="shared" si="1632"/>
        <v>CH</v>
      </c>
      <c r="D1551" t="s">
        <v>1545</v>
      </c>
      <c r="E1551" t="str">
        <f t="shared" si="1635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0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9.0978909482091226E-6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7.5868397818254397E-6</v>
      </c>
      <c r="N1551" s="1"/>
    </row>
    <row r="1552" spans="2:14" x14ac:dyDescent="0.35">
      <c r="B1552" t="str">
        <f t="shared" si="1631"/>
        <v>SPS1</v>
      </c>
      <c r="C1552" t="str">
        <f t="shared" si="1632"/>
        <v>CH</v>
      </c>
      <c r="D1552" t="s">
        <v>1538</v>
      </c>
      <c r="E1552" t="str">
        <f t="shared" si="1635"/>
        <v>PJ/yr.</v>
      </c>
      <c r="F1552" s="1">
        <f>SUM(F1557:F1558)</f>
        <v>1.0019014339047747</v>
      </c>
      <c r="G1552" s="1">
        <f t="shared" ref="G1552:K1552" si="1637">SUM(G1557:G1558)</f>
        <v>2.3352259347978865</v>
      </c>
      <c r="H1552" s="1">
        <f t="shared" si="1637"/>
        <v>1.3252208476089327</v>
      </c>
      <c r="I1552" s="1">
        <f t="shared" si="1637"/>
        <v>1.630680223855145</v>
      </c>
      <c r="J1552" s="1">
        <f t="shared" si="1637"/>
        <v>0.87855142629466121</v>
      </c>
      <c r="K1552" s="1">
        <f t="shared" si="1637"/>
        <v>0.12544748850778539</v>
      </c>
      <c r="L1552" s="1">
        <f t="shared" ref="L1552" si="1638">SUM(L1557:L1558)</f>
        <v>0</v>
      </c>
      <c r="N1552" s="1"/>
    </row>
    <row r="1553" spans="2:14" x14ac:dyDescent="0.35">
      <c r="B1553" t="str">
        <f t="shared" si="1631"/>
        <v>SPS1</v>
      </c>
      <c r="C1553" t="str">
        <f t="shared" si="1632"/>
        <v>CH</v>
      </c>
      <c r="D1553" t="s">
        <v>1539</v>
      </c>
      <c r="E1553" t="str">
        <f t="shared" si="1635"/>
        <v>PJ/yr.</v>
      </c>
      <c r="F1553" s="1">
        <f>IF(F1552-F1554&lt;0,0,F1552-F1554)</f>
        <v>0.94705731480203004</v>
      </c>
      <c r="G1553" s="1">
        <f t="shared" ref="G1553:K1553" si="1639">IF(G1552-G1554&lt;0,0,G1552-G1554)</f>
        <v>2.2073953363270769</v>
      </c>
      <c r="H1553" s="1">
        <f t="shared" si="1639"/>
        <v>1.2371667008057006</v>
      </c>
      <c r="I1553" s="1">
        <f t="shared" si="1639"/>
        <v>1.5414132413447172</v>
      </c>
      <c r="J1553" s="1">
        <f t="shared" si="1639"/>
        <v>0.80922279974664535</v>
      </c>
      <c r="K1553" s="1">
        <f t="shared" si="1639"/>
        <v>9.0319862777551774E-2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31"/>
        <v>SPS1</v>
      </c>
      <c r="C1554" t="str">
        <f t="shared" si="1632"/>
        <v>CH</v>
      </c>
      <c r="D1554" t="s">
        <v>1540</v>
      </c>
      <c r="E1554" t="str">
        <f t="shared" si="1635"/>
        <v>PJ/yr.</v>
      </c>
      <c r="F1554" s="1">
        <f>SUM(F1555:F1556)</f>
        <v>5.4844119102744712E-2</v>
      </c>
      <c r="G1554" s="1">
        <f t="shared" ref="G1554:K1554" si="1640">SUM(G1555:G1556)</f>
        <v>0.12783059847080966</v>
      </c>
      <c r="H1554" s="1">
        <f t="shared" si="1640"/>
        <v>8.8054146803232161E-2</v>
      </c>
      <c r="I1554" s="1">
        <f t="shared" si="1640"/>
        <v>8.9266982510427806E-2</v>
      </c>
      <c r="J1554" s="1">
        <f t="shared" si="1640"/>
        <v>6.9328626548015859E-2</v>
      </c>
      <c r="K1554" s="1">
        <f t="shared" si="1640"/>
        <v>3.5127625730233619E-2</v>
      </c>
      <c r="L1554" s="1">
        <f>IFERROR(SUM(L1555:L1556),0)</f>
        <v>0</v>
      </c>
      <c r="N1554" s="1"/>
    </row>
    <row r="1555" spans="2:14" x14ac:dyDescent="0.35">
      <c r="B1555" t="str">
        <f t="shared" si="1631"/>
        <v>SPS1</v>
      </c>
      <c r="C1555" t="str">
        <f t="shared" si="1632"/>
        <v>CH</v>
      </c>
      <c r="D1555" t="s">
        <v>1541</v>
      </c>
      <c r="E1555" t="str">
        <f t="shared" si="1635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[1]Transport!F$25/SUM([1]Transport!F$21,[1]Transport!F$25)*J1552*(J$35+J$600)/(J$35+J$600+J$39)</f>
        <v>6.9328626548015859E-2</v>
      </c>
      <c r="K1555" s="1">
        <f>[1]Transport!G$25/SUM([1]Transport!G$21,[1]Transport!G$25)*K1552*(K$35+K$600)/(K$35+K$600+K$39)</f>
        <v>3.5127625730233619E-2</v>
      </c>
      <c r="L1555" s="1">
        <f>IFERROR([1]Transport!H$25/SUM([1]Transport!H$21,[1]Transport!H$25)*L1552*(L$35+L$600)/(L$35+L$600+L$39),0)</f>
        <v>0</v>
      </c>
      <c r="N1555" s="1"/>
    </row>
    <row r="1556" spans="2:14" x14ac:dyDescent="0.35">
      <c r="B1556" t="str">
        <f t="shared" si="1631"/>
        <v>SPS1</v>
      </c>
      <c r="C1556" t="str">
        <f t="shared" si="1632"/>
        <v>CH</v>
      </c>
      <c r="D1556" t="s">
        <v>1542</v>
      </c>
      <c r="E1556" t="str">
        <f t="shared" si="1635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IFERROR((L$39+L$719)/([1]Transport!H$21+[1]Transport!H$25)*L1552,0)</f>
        <v>0</v>
      </c>
      <c r="N1556" s="1"/>
    </row>
    <row r="1557" spans="2:14" x14ac:dyDescent="0.35">
      <c r="B1557" t="str">
        <f t="shared" si="1631"/>
        <v>SPS1</v>
      </c>
      <c r="C1557" t="str">
        <f t="shared" si="1632"/>
        <v>CH</v>
      </c>
      <c r="D1557" t="s">
        <v>1588</v>
      </c>
      <c r="E1557" t="str">
        <f t="shared" si="1635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N1557" s="1"/>
    </row>
    <row r="1558" spans="2:14" x14ac:dyDescent="0.35">
      <c r="B1558" t="str">
        <f t="shared" si="1631"/>
        <v>SPS1</v>
      </c>
      <c r="C1558" t="str">
        <f t="shared" si="1632"/>
        <v>CH</v>
      </c>
      <c r="D1558" t="s">
        <v>1587</v>
      </c>
      <c r="E1558" t="str">
        <f t="shared" si="1635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0.87855142629466121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0.12544748850778539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N1558" s="1"/>
    </row>
    <row r="1559" spans="2:14" x14ac:dyDescent="0.35">
      <c r="B1559" t="str">
        <f t="shared" si="1631"/>
        <v>SPS1</v>
      </c>
      <c r="C1559" t="str">
        <f t="shared" si="1632"/>
        <v>CH</v>
      </c>
      <c r="D1559" t="s">
        <v>1546</v>
      </c>
      <c r="E1559" t="str">
        <f t="shared" si="1635"/>
        <v>PJ/yr.</v>
      </c>
      <c r="F1559" s="1">
        <f>SUM(F1564:F1566)</f>
        <v>15.689053906828384</v>
      </c>
      <c r="G1559" s="1">
        <f t="shared" ref="G1559:K1559" si="1641">SUM(G1564:G1566)</f>
        <v>13.05752995934365</v>
      </c>
      <c r="H1559" s="1">
        <f t="shared" si="1641"/>
        <v>12.430666865444881</v>
      </c>
      <c r="I1559" s="1">
        <f t="shared" si="1641"/>
        <v>7.9644641767507718</v>
      </c>
      <c r="J1559" s="1">
        <f t="shared" si="1641"/>
        <v>3.4940009745410348</v>
      </c>
      <c r="K1559" s="1">
        <f t="shared" si="1641"/>
        <v>2.3876617154132735</v>
      </c>
      <c r="L1559" s="1">
        <f t="shared" ref="L1559" si="1642">SUM(L1564:L1566)</f>
        <v>1.0787609506259557</v>
      </c>
      <c r="N1559" s="1"/>
    </row>
    <row r="1560" spans="2:14" x14ac:dyDescent="0.35">
      <c r="B1560" t="str">
        <f t="shared" si="1631"/>
        <v>SPS1</v>
      </c>
      <c r="C1560" t="str">
        <f t="shared" si="1632"/>
        <v>CH</v>
      </c>
      <c r="D1560" t="s">
        <v>1547</v>
      </c>
      <c r="E1560" t="str">
        <f t="shared" si="1635"/>
        <v>PJ/yr.</v>
      </c>
      <c r="F1560" s="1">
        <f>IF(F1559-F1561&lt;0,0,F1559-F1561)</f>
        <v>15.310832361617841</v>
      </c>
      <c r="G1560" s="1">
        <f t="shared" ref="G1560:L1560" si="1643">IF(G1559-G1561&lt;0,0,G1559-G1561)</f>
        <v>12.717241565072836</v>
      </c>
      <c r="H1560" s="1">
        <f t="shared" si="1643"/>
        <v>12.039350409104582</v>
      </c>
      <c r="I1560" s="1">
        <f t="shared" si="1643"/>
        <v>7.6529900349526718</v>
      </c>
      <c r="J1560" s="1">
        <f t="shared" si="1643"/>
        <v>3.3379543418175111</v>
      </c>
      <c r="K1560" s="1">
        <f t="shared" si="1643"/>
        <v>2.3071216768033915</v>
      </c>
      <c r="L1560" s="1">
        <f t="shared" si="1643"/>
        <v>0</v>
      </c>
      <c r="N1560" s="1"/>
    </row>
    <row r="1561" spans="2:14" x14ac:dyDescent="0.35">
      <c r="B1561" t="str">
        <f t="shared" si="1631"/>
        <v>SPS1</v>
      </c>
      <c r="C1561" t="str">
        <f t="shared" si="1632"/>
        <v>CH</v>
      </c>
      <c r="D1561" t="s">
        <v>1548</v>
      </c>
      <c r="E1561" t="str">
        <f t="shared" si="1635"/>
        <v>PJ/yr.</v>
      </c>
      <c r="F1561" s="1">
        <f>SUM(F1562:F1563)</f>
        <v>0.37822154521054385</v>
      </c>
      <c r="G1561" s="1">
        <f t="shared" ref="G1561:K1561" si="1644">SUM(G1562:G1563)</f>
        <v>0.34028839427081387</v>
      </c>
      <c r="H1561" s="1">
        <f t="shared" si="1644"/>
        <v>0.39131645634029921</v>
      </c>
      <c r="I1561" s="1">
        <f t="shared" si="1644"/>
        <v>0.3114741417980999</v>
      </c>
      <c r="J1561" s="1">
        <f t="shared" si="1644"/>
        <v>0.1560466327235239</v>
      </c>
      <c r="K1561" s="1">
        <f t="shared" si="1644"/>
        <v>8.0540038609882195E-2</v>
      </c>
      <c r="L1561" s="1">
        <f t="shared" ref="L1561" si="1645">SUM(L1562:L1563)</f>
        <v>1.2353283511878064</v>
      </c>
      <c r="N1561" s="1"/>
    </row>
    <row r="1562" spans="2:14" x14ac:dyDescent="0.35">
      <c r="B1562" t="str">
        <f t="shared" si="1631"/>
        <v>SPS1</v>
      </c>
      <c r="C1562" t="str">
        <f t="shared" si="1632"/>
        <v>CH</v>
      </c>
      <c r="D1562" t="s">
        <v>1549</v>
      </c>
      <c r="E1562" t="str">
        <f t="shared" si="1635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[1]Transport!F$26/SUM([1]Transport!F$22,[1]Transport!F$26)*J1559*(J$34+J$582)/(J$34+J$582+J$38)</f>
        <v>0.1560466327235239</v>
      </c>
      <c r="K1562" s="1">
        <f>[1]Transport!G$26/SUM([1]Transport!G$22,[1]Transport!G$26)*K1559*(K$34+K$582)/(K$34+K$582+K$38)</f>
        <v>8.0540038609882195E-2</v>
      </c>
      <c r="L1562" s="1">
        <f>[1]Transport!H$26/SUM([1]Transport!H$22,[1]Transport!H$26)*L1559*(L$34+L$582)/(L$34+L$582+L$38)</f>
        <v>0.61177301037811982</v>
      </c>
      <c r="N1562" s="1"/>
    </row>
    <row r="1563" spans="2:14" x14ac:dyDescent="0.35">
      <c r="B1563" t="str">
        <f t="shared" si="1631"/>
        <v>SPS1</v>
      </c>
      <c r="C1563" t="str">
        <f t="shared" si="1632"/>
        <v>CH</v>
      </c>
      <c r="D1563" t="s">
        <v>1550</v>
      </c>
      <c r="E1563" t="str">
        <f t="shared" si="1635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0.62355534080968655</v>
      </c>
      <c r="N1563" s="1"/>
    </row>
    <row r="1564" spans="2:14" x14ac:dyDescent="0.35">
      <c r="B1564" t="str">
        <f t="shared" si="1631"/>
        <v>SPS1</v>
      </c>
      <c r="C1564" t="str">
        <f t="shared" si="1632"/>
        <v>CH</v>
      </c>
      <c r="D1564" t="s">
        <v>1551</v>
      </c>
      <c r="E1564" t="str">
        <f t="shared" si="1635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N1564" s="1"/>
    </row>
    <row r="1565" spans="2:14" x14ac:dyDescent="0.35">
      <c r="B1565" t="str">
        <f t="shared" si="1631"/>
        <v>SPS1</v>
      </c>
      <c r="C1565" t="str">
        <f t="shared" si="1632"/>
        <v>CH</v>
      </c>
      <c r="D1565" t="s">
        <v>1552</v>
      </c>
      <c r="E1565" t="str">
        <f t="shared" si="1635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1.0121077902432454E-2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5.1249274662495178E-3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1.4484129364376343E-3</v>
      </c>
      <c r="N1565" s="1"/>
    </row>
    <row r="1566" spans="2:14" x14ac:dyDescent="0.35">
      <c r="B1566" t="str">
        <f t="shared" si="1631"/>
        <v>SPS1</v>
      </c>
      <c r="C1566" t="str">
        <f t="shared" si="1632"/>
        <v>CH</v>
      </c>
      <c r="D1566" t="s">
        <v>1553</v>
      </c>
      <c r="E1566" t="str">
        <f t="shared" si="1635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3.4838798966386024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2.3825367879470241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1.0773125376895181</v>
      </c>
      <c r="N1566" s="1"/>
    </row>
    <row r="1567" spans="2:14" x14ac:dyDescent="0.35">
      <c r="B1567" t="str">
        <f t="shared" si="1631"/>
        <v>SPS1</v>
      </c>
      <c r="C1567" t="str">
        <f t="shared" si="1632"/>
        <v>CH</v>
      </c>
      <c r="D1567" t="s">
        <v>1554</v>
      </c>
      <c r="E1567" t="str">
        <f t="shared" si="1635"/>
        <v>PJ/yr.</v>
      </c>
      <c r="F1567" s="1">
        <f>F1572</f>
        <v>8.9440922735219263E-3</v>
      </c>
      <c r="G1567" s="1">
        <f t="shared" ref="G1567:K1567" si="1646">G1572</f>
        <v>1.1717135235494041E-3</v>
      </c>
      <c r="H1567" s="1">
        <f t="shared" si="1646"/>
        <v>1.5563509098594959E-3</v>
      </c>
      <c r="I1567" s="1">
        <f t="shared" si="1646"/>
        <v>1.9430699545948729E-4</v>
      </c>
      <c r="J1567" s="1">
        <f t="shared" si="1646"/>
        <v>1.8868371583393025E-4</v>
      </c>
      <c r="K1567" s="1">
        <f t="shared" si="1646"/>
        <v>1.6560815440823178E-4</v>
      </c>
      <c r="L1567" s="1">
        <f t="shared" ref="L1567" si="1647">L1572</f>
        <v>1.5429395829642524E-4</v>
      </c>
      <c r="N1567" s="1"/>
    </row>
    <row r="1568" spans="2:14" x14ac:dyDescent="0.35">
      <c r="B1568" t="str">
        <f t="shared" si="1631"/>
        <v>SPS1</v>
      </c>
      <c r="C1568" t="str">
        <f t="shared" si="1632"/>
        <v>CH</v>
      </c>
      <c r="D1568" t="s">
        <v>1555</v>
      </c>
      <c r="E1568" t="str">
        <f t="shared" si="1635"/>
        <v>PJ/yr.</v>
      </c>
      <c r="F1568" s="1">
        <f>IF(F1567-F1569&lt;0,0,F1567-F1569)</f>
        <v>8.262433053460326E-3</v>
      </c>
      <c r="G1568" s="1">
        <f t="shared" ref="G1568:L1568" si="1648">IF(G1567-G1569&lt;0,0,G1567-G1569)</f>
        <v>1.0571662560843696E-3</v>
      </c>
      <c r="H1568" s="1">
        <f t="shared" si="1648"/>
        <v>1.4091198130674475E-3</v>
      </c>
      <c r="I1568" s="1">
        <f t="shared" si="1648"/>
        <v>1.6215626233453839E-4</v>
      </c>
      <c r="J1568" s="1">
        <f t="shared" si="1648"/>
        <v>0</v>
      </c>
      <c r="K1568" s="1">
        <f t="shared" si="1648"/>
        <v>1.580608083967712E-4</v>
      </c>
      <c r="L1568" s="1">
        <f t="shared" si="1648"/>
        <v>1.3645975514882044E-4</v>
      </c>
      <c r="N1568" s="1"/>
    </row>
    <row r="1569" spans="2:14" x14ac:dyDescent="0.35">
      <c r="B1569" t="str">
        <f t="shared" si="1631"/>
        <v>SPS1</v>
      </c>
      <c r="C1569" t="str">
        <f t="shared" si="1632"/>
        <v>CH</v>
      </c>
      <c r="D1569" t="s">
        <v>1556</v>
      </c>
      <c r="E1569" t="str">
        <f t="shared" si="1635"/>
        <v>PJ/yr.</v>
      </c>
      <c r="F1569" s="1">
        <f>SUM(F1570:F1571)</f>
        <v>6.816592200616006E-4</v>
      </c>
      <c r="G1569" s="1">
        <f t="shared" ref="G1569:K1569" si="1649">SUM(G1570:G1571)</f>
        <v>1.1454726746503451E-4</v>
      </c>
      <c r="H1569" s="1">
        <f t="shared" si="1649"/>
        <v>1.4723109679204834E-4</v>
      </c>
      <c r="I1569" s="1">
        <f t="shared" si="1649"/>
        <v>3.2150733124948894E-5</v>
      </c>
      <c r="J1569" s="1">
        <f t="shared" si="1649"/>
        <v>6.5956884232238069E-2</v>
      </c>
      <c r="K1569" s="1">
        <f t="shared" si="1649"/>
        <v>7.547346011460585E-6</v>
      </c>
      <c r="L1569" s="1">
        <f t="shared" ref="L1569" si="1650">SUM(L1570:L1571)</f>
        <v>1.7834203147604796E-5</v>
      </c>
      <c r="N1569" s="1"/>
    </row>
    <row r="1570" spans="2:14" x14ac:dyDescent="0.35">
      <c r="B1570" t="str">
        <f t="shared" si="1631"/>
        <v>SPS1</v>
      </c>
      <c r="C1570" t="str">
        <f t="shared" si="1632"/>
        <v>CH</v>
      </c>
      <c r="D1570" t="s">
        <v>1557</v>
      </c>
      <c r="E1570" t="str">
        <f t="shared" si="1635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[1]Transport!F$27/SUM([1]Transport!F$24,[1]Transport!F$27)*J1567*(J$47+J$614)/(J$47+J$614+J$49)</f>
        <v>3.9401416936418731E-5</v>
      </c>
      <c r="K1570" s="1">
        <f>[1]Transport!G$27/SUM([1]Transport!G$24,[1]Transport!G$27)*K1567*(K$47+K$614)/(K$47+K$614+K$49)</f>
        <v>7.547346011460585E-6</v>
      </c>
      <c r="L1570" s="1">
        <f>[1]Transport!H$27/SUM([1]Transport!H$24,[1]Transport!H$27)*L1567*(L$47+L$614)/(L$47+L$614+L$49)</f>
        <v>1.7834203147604796E-5</v>
      </c>
      <c r="N1570" s="1"/>
    </row>
    <row r="1571" spans="2:14" x14ac:dyDescent="0.35">
      <c r="B1571" t="str">
        <f t="shared" si="1631"/>
        <v>SPS1</v>
      </c>
      <c r="C1571" t="str">
        <f t="shared" si="1632"/>
        <v>CH</v>
      </c>
      <c r="D1571" t="s">
        <v>1558</v>
      </c>
      <c r="E1571" t="str">
        <f t="shared" si="1635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(J$49+J$716)/([1]Transport!F$24+[1]Transport!F$27)*J1567</f>
        <v>6.5917482815301645E-2</v>
      </c>
      <c r="K1571" s="1">
        <f>(K$49+K$716)/([1]Transport!G$24+[1]Transport!G$27)*K1567</f>
        <v>0</v>
      </c>
      <c r="L1571" s="1">
        <f>(L$49+L$716)/([1]Transport!H$24+[1]Transport!H$27)*L1567</f>
        <v>0</v>
      </c>
      <c r="N1571" s="1"/>
    </row>
    <row r="1572" spans="2:14" x14ac:dyDescent="0.35">
      <c r="B1572" t="str">
        <f t="shared" si="1631"/>
        <v>SPS1</v>
      </c>
      <c r="C1572" t="str">
        <f t="shared" si="1632"/>
        <v>CH</v>
      </c>
      <c r="D1572" t="s">
        <v>1559</v>
      </c>
      <c r="E1572" t="str">
        <f t="shared" si="1635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1.8868371583393025E-4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1.6560815440823178E-4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1.5429395829642524E-4</v>
      </c>
      <c r="N1572" s="1"/>
    </row>
    <row r="1573" spans="2:14" x14ac:dyDescent="0.35">
      <c r="B1573" s="2" t="str">
        <f t="shared" si="1631"/>
        <v>SPS1</v>
      </c>
      <c r="C1573" s="2" t="str">
        <f t="shared" si="1632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51">SUM(G1574:G1582)</f>
        <v>4.7701022989645603</v>
      </c>
      <c r="H1573" s="3">
        <f t="shared" si="1651"/>
        <v>4.7102619830831394</v>
      </c>
      <c r="I1573" s="3">
        <f t="shared" si="1651"/>
        <v>4.6517060826355641</v>
      </c>
      <c r="J1573" s="3">
        <f t="shared" si="1651"/>
        <v>4.8316021544300796</v>
      </c>
      <c r="K1573" s="3">
        <f t="shared" si="1651"/>
        <v>5.0025515596912697</v>
      </c>
      <c r="L1573" s="3">
        <f t="shared" ref="L1573" si="1652">SUM(L1574:L1582)</f>
        <v>5.3982888557937221</v>
      </c>
      <c r="N1573" s="1"/>
    </row>
    <row r="1574" spans="2:14" x14ac:dyDescent="0.35">
      <c r="B1574" t="str">
        <f t="shared" si="1631"/>
        <v>SPS1</v>
      </c>
      <c r="C1574" t="str">
        <f t="shared" si="1632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N1574" s="1"/>
    </row>
    <row r="1575" spans="2:14" x14ac:dyDescent="0.35">
      <c r="B1575" t="str">
        <f t="shared" si="1631"/>
        <v>SPS1</v>
      </c>
      <c r="C1575" t="str">
        <f t="shared" si="1632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2.9142468693817061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3.858883483881387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4.901348630584013</v>
      </c>
      <c r="N1575" s="1"/>
    </row>
    <row r="1576" spans="2:14" x14ac:dyDescent="0.35">
      <c r="B1576" t="str">
        <f t="shared" si="1631"/>
        <v>SPS1</v>
      </c>
      <c r="C1576" t="str">
        <f t="shared" si="1632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0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5.0606814390464646E-6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4.5345205396052038E-6</v>
      </c>
      <c r="N1576" s="1"/>
    </row>
    <row r="1577" spans="2:14" x14ac:dyDescent="0.35">
      <c r="B1577" t="str">
        <f t="shared" si="1631"/>
        <v>SPS1</v>
      </c>
      <c r="C1577" t="str">
        <f t="shared" si="1632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N1577" s="1"/>
    </row>
    <row r="1578" spans="2:14" x14ac:dyDescent="0.35">
      <c r="B1578" t="str">
        <f t="shared" si="1631"/>
        <v>SPS1</v>
      </c>
      <c r="C1578" t="str">
        <f t="shared" si="1632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0.30857327671676821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4.4060872734561482E-2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N1578" s="1"/>
    </row>
    <row r="1579" spans="2:14" x14ac:dyDescent="0.35">
      <c r="B1579" t="str">
        <f t="shared" si="1631"/>
        <v>SPS1</v>
      </c>
      <c r="C1579" t="str">
        <f t="shared" si="1632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N1579" s="1"/>
    </row>
    <row r="1580" spans="2:14" x14ac:dyDescent="0.35">
      <c r="B1580" t="str">
        <f t="shared" si="1631"/>
        <v>SPS1</v>
      </c>
      <c r="C1580" t="str">
        <f t="shared" si="1632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3.4625676419933133E-3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1.7533120664878484E-3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4.9552308699729803E-4</v>
      </c>
      <c r="N1580" s="1"/>
    </row>
    <row r="1581" spans="2:14" x14ac:dyDescent="0.35">
      <c r="B1581" t="str">
        <f t="shared" si="1631"/>
        <v>SPS1</v>
      </c>
      <c r="C1581" t="str">
        <f t="shared" si="1632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1.6052589530437338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1.0977957401740956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0.49639070451909989</v>
      </c>
      <c r="N1581" s="1"/>
    </row>
    <row r="1582" spans="2:14" x14ac:dyDescent="0.35">
      <c r="B1582" t="str">
        <f t="shared" si="1631"/>
        <v>SPS1</v>
      </c>
      <c r="C1582" t="str">
        <f t="shared" si="1632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6.0487645879093954E-5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5.3090153298401793E-5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4.9463083072479834E-5</v>
      </c>
      <c r="N1582" s="1"/>
    </row>
    <row r="1583" spans="2:14" x14ac:dyDescent="0.35">
      <c r="B1583" s="2" t="str">
        <f t="shared" si="1631"/>
        <v>SPS1</v>
      </c>
      <c r="C1583" s="2" t="str">
        <f t="shared" si="1632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1"/>
        <v>SPS1</v>
      </c>
      <c r="C1584" t="str">
        <f t="shared" si="1632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53">IFERROR(G1574/G1548,"-")</f>
        <v>0.69564643130450543</v>
      </c>
      <c r="H1584" s="1">
        <f t="shared" si="1653"/>
        <v>0.70528179819816927</v>
      </c>
      <c r="I1584" s="1">
        <f t="shared" si="1653"/>
        <v>0.70528179819817005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1"/>
        <v>SPS1</v>
      </c>
      <c r="C1585" t="str">
        <f t="shared" si="1632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55">IFERROR(G1575/G1549,"-")</f>
        <v>0.68135756995377272</v>
      </c>
      <c r="H1585" s="1">
        <f t="shared" si="1655"/>
        <v>0.68135756995377217</v>
      </c>
      <c r="I1585" s="1">
        <f t="shared" si="1655"/>
        <v>0.68135756995377272</v>
      </c>
      <c r="J1585" s="1">
        <f t="shared" si="1655"/>
        <v>0.68135756995377317</v>
      </c>
      <c r="K1585" s="1">
        <f t="shared" si="1655"/>
        <v>0.68135756995377306</v>
      </c>
      <c r="L1585" s="1">
        <f t="shared" ref="L1585" si="1656">IFERROR(L1575/L1549,"-")</f>
        <v>0.68135756995377317</v>
      </c>
      <c r="N1585" s="1"/>
    </row>
    <row r="1586" spans="2:14" x14ac:dyDescent="0.35">
      <c r="B1586" t="str">
        <f t="shared" si="1631"/>
        <v>SPS1</v>
      </c>
      <c r="C1586" t="str">
        <f t="shared" si="1632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0.46510343171505436</v>
      </c>
      <c r="H1586" s="1">
        <f t="shared" si="1657"/>
        <v>0.47340725029320385</v>
      </c>
      <c r="I1586" s="1" t="str">
        <f t="shared" si="1657"/>
        <v>-</v>
      </c>
      <c r="J1586" s="1" t="str">
        <f t="shared" si="1657"/>
        <v>-</v>
      </c>
      <c r="K1586" s="1">
        <f t="shared" si="1657"/>
        <v>0.55624775762372003</v>
      </c>
      <c r="L1586" s="1">
        <f t="shared" ref="L1586" si="1658">IFERROR(L1576/L1551,"-")</f>
        <v>0.59768239082467756</v>
      </c>
      <c r="N1586" s="1"/>
    </row>
    <row r="1587" spans="2:14" x14ac:dyDescent="0.35">
      <c r="B1587" t="str">
        <f t="shared" si="1631"/>
        <v>SPS1</v>
      </c>
      <c r="C1587" t="str">
        <f t="shared" si="1632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59">IFERROR(G1577/G1557,"-")</f>
        <v>0.28017034051580092</v>
      </c>
      <c r="H1587" s="1">
        <f t="shared" si="1659"/>
        <v>0.28405096708428712</v>
      </c>
      <c r="I1587" s="1">
        <f t="shared" si="1659"/>
        <v>0.28405096708428718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1"/>
        <v>SPS1</v>
      </c>
      <c r="C1588" t="str">
        <f t="shared" si="1632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61">IFERROR(G1578/G1558,"-")</f>
        <v>0.35122961215622134</v>
      </c>
      <c r="H1588" s="1">
        <f t="shared" si="1661"/>
        <v>0.35122961215622117</v>
      </c>
      <c r="I1588" s="1">
        <f t="shared" si="1661"/>
        <v>0.35122961215622112</v>
      </c>
      <c r="J1588" s="1">
        <f t="shared" si="1661"/>
        <v>0.35122961215622051</v>
      </c>
      <c r="K1588" s="1">
        <f t="shared" si="1661"/>
        <v>0.35122961215622123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1"/>
        <v>SPS1</v>
      </c>
      <c r="C1589" t="str">
        <f t="shared" si="1632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63">IFERROR(G1579/G1564,"-")</f>
        <v>0.26793746277611247</v>
      </c>
      <c r="H1589" s="1">
        <f t="shared" si="1663"/>
        <v>0.28128870255134991</v>
      </c>
      <c r="I1589" s="1">
        <f t="shared" si="1663"/>
        <v>0.28128870255134997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1"/>
        <v>SPS1</v>
      </c>
      <c r="C1590" t="str">
        <f t="shared" si="1632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65">IFERROR(G1580/G1565,"-")</f>
        <v>0.3421145134315316</v>
      </c>
      <c r="H1590" s="1">
        <f t="shared" si="1665"/>
        <v>0.34211451343153265</v>
      </c>
      <c r="I1590" s="1">
        <f t="shared" si="1665"/>
        <v>0.34211451343153176</v>
      </c>
      <c r="J1590" s="1">
        <f t="shared" si="1665"/>
        <v>0.34211451343153237</v>
      </c>
      <c r="K1590" s="1">
        <f t="shared" si="1665"/>
        <v>0.3421145134315321</v>
      </c>
      <c r="L1590" s="1">
        <f t="shared" ref="L1590" si="1666">IFERROR(L1580/L1565,"-")</f>
        <v>0.34211451343153221</v>
      </c>
      <c r="N1590" s="1"/>
    </row>
    <row r="1591" spans="2:14" x14ac:dyDescent="0.35">
      <c r="B1591" t="str">
        <f t="shared" si="1631"/>
        <v>SPS1</v>
      </c>
      <c r="C1591" t="str">
        <f t="shared" si="1632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0.46076759264650785</v>
      </c>
      <c r="H1591" s="1">
        <f t="shared" si="1667"/>
        <v>0.46076759264650829</v>
      </c>
      <c r="I1591" s="1">
        <f t="shared" si="1667"/>
        <v>0.46076759264650791</v>
      </c>
      <c r="J1591" s="1">
        <f t="shared" si="1667"/>
        <v>0.46076759264650796</v>
      </c>
      <c r="K1591" s="1">
        <f t="shared" si="1667"/>
        <v>0.46076759264650868</v>
      </c>
      <c r="L1591" s="1">
        <f t="shared" ref="L1591" si="1668">IFERROR(L1581/L1566,"-")</f>
        <v>0.46076759264650824</v>
      </c>
      <c r="N1591" s="1"/>
    </row>
    <row r="1592" spans="2:14" x14ac:dyDescent="0.35">
      <c r="B1592" t="str">
        <f t="shared" si="1631"/>
        <v>SPS1</v>
      </c>
      <c r="C1592" t="str">
        <f t="shared" si="1632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69">IFERROR(G1582/G1572,"-")</f>
        <v>0.32057692743517996</v>
      </c>
      <c r="H1592" s="1">
        <f t="shared" si="1669"/>
        <v>0.32057692743517996</v>
      </c>
      <c r="I1592" s="1">
        <f t="shared" si="1669"/>
        <v>0.32057692743517957</v>
      </c>
      <c r="J1592" s="1">
        <f t="shared" si="1669"/>
        <v>0.32057692743517985</v>
      </c>
      <c r="K1592" s="1">
        <f t="shared" si="1669"/>
        <v>0.3205769274351799</v>
      </c>
      <c r="L1592" s="1">
        <f t="shared" ref="L1592" si="1670">IFERROR(L1582/L1572,"-")</f>
        <v>0.32057692743518018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71">G1594+G1597+G1599+G1606+G1614</f>
        <v>23.05603664057988</v>
      </c>
      <c r="H1593" s="3">
        <f t="shared" ref="H1593" si="1672">H1594+H1597+H1599+H1606+H1614</f>
        <v>20.482101254236863</v>
      </c>
      <c r="I1593" s="3">
        <f t="shared" ref="I1593" si="1673">I1594+I1597+I1599+I1606+I1614</f>
        <v>16.577839898656695</v>
      </c>
      <c r="J1593" s="3">
        <f t="shared" ref="J1593" si="1674">J1594+J1597+J1599+J1606+J1614</f>
        <v>14.75775106077737</v>
      </c>
      <c r="K1593" s="3">
        <f t="shared" ref="K1593:L1593" si="1675">K1594+K1597+K1599+K1606+K1614</f>
        <v>15.379158846510691</v>
      </c>
      <c r="L1593" s="3">
        <f t="shared" si="1675"/>
        <v>8.801870927902204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78">SUM(G1595:G1596)</f>
        <v>2.581968591233819E-2</v>
      </c>
      <c r="H1594" s="1">
        <f t="shared" ref="H1594" si="1679">SUM(H1595:H1596)</f>
        <v>2.6258711119645114E-2</v>
      </c>
      <c r="I1594" s="1">
        <f t="shared" ref="I1594" si="1680">SUM(I1595:I1596)</f>
        <v>9.0617746439104439E-3</v>
      </c>
      <c r="J1594" s="1">
        <f t="shared" ref="J1594" si="1681">SUM(J1595:J1596)</f>
        <v>2.1093951242954325E-3</v>
      </c>
      <c r="K1594" s="1">
        <f t="shared" ref="K1594:L1594" si="1682">SUM(K1595:K1596)</f>
        <v>2.5500624196425768E-3</v>
      </c>
      <c r="L1594" s="1">
        <f t="shared" si="1682"/>
        <v>7.208566644193934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2.1093951242954325E-3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2.5500624196425768E-3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7.208566644193934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2.8163699150701486E-3</v>
      </c>
      <c r="G1597" s="1">
        <f t="shared" ref="G1597" si="1684">G1598</f>
        <v>1.7988905817688885E-3</v>
      </c>
      <c r="H1597" s="1">
        <f t="shared" ref="H1597" si="1685">H1598</f>
        <v>1.738111547309625E-3</v>
      </c>
      <c r="I1597" s="1">
        <f t="shared" ref="I1597" si="1686">I1598</f>
        <v>0</v>
      </c>
      <c r="J1597" s="1">
        <f t="shared" ref="J1597" si="1687">J1598</f>
        <v>0</v>
      </c>
      <c r="K1597" s="1">
        <f t="shared" ref="K1597:L1597" si="1688">K1598</f>
        <v>1.8620623878450924E-4</v>
      </c>
      <c r="L1597" s="1">
        <f t="shared" si="1688"/>
        <v>1.7628059720075682E-4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0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1.8620623878450924E-4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1.7628059720075682E-4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>IFERROR(L1599-L1601,0)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2">SUM(G1602:G1603)</f>
        <v>0</v>
      </c>
      <c r="H1601" s="1">
        <f t="shared" si="1692"/>
        <v>0</v>
      </c>
      <c r="I1601" s="1">
        <f t="shared" si="1692"/>
        <v>0</v>
      </c>
      <c r="J1601" s="1">
        <f t="shared" si="1692"/>
        <v>0</v>
      </c>
      <c r="K1601" s="1">
        <f t="shared" si="1692"/>
        <v>0</v>
      </c>
      <c r="L1601" s="1">
        <f>IFERROR(SUM(L1602:L1603),0)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IFERROR([1]Transport!H$25/SUM([1]Transport!H$21,[1]Transport!H$25)*L1599*(L$35+L$600)/(L$35+L$600+L$39),0)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IFERROR((L$39+L$719)/([1]Transport!H$21+[1]Transport!H$25)*L1599,0)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24.403594051809215</v>
      </c>
      <c r="G1606" s="1">
        <f t="shared" ref="G1606:K1606" si="1693">SUM(G1611:G1613)</f>
        <v>23.026968572075003</v>
      </c>
      <c r="H1606" s="1">
        <f t="shared" si="1693"/>
        <v>20.452312832104649</v>
      </c>
      <c r="I1606" s="1">
        <f t="shared" si="1693"/>
        <v>16.56700374885466</v>
      </c>
      <c r="J1606" s="1">
        <f t="shared" si="1693"/>
        <v>14.754022592140215</v>
      </c>
      <c r="K1606" s="1">
        <f t="shared" si="1693"/>
        <v>15.374853721754979</v>
      </c>
      <c r="L1606" s="1">
        <f t="shared" ref="L1606" si="1694">SUM(L1611:L1613)</f>
        <v>1.5917716495394487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23.815288019732357</v>
      </c>
      <c r="G1607" s="1">
        <f t="shared" ref="G1607:L1607" si="1695">IF(G1606-G1608&lt;0,0,G1606-G1608)</f>
        <v>22.426869611190845</v>
      </c>
      <c r="H1607" s="1">
        <f t="shared" si="1695"/>
        <v>19.808475565121789</v>
      </c>
      <c r="I1607" s="1">
        <f t="shared" si="1695"/>
        <v>15.919101622569299</v>
      </c>
      <c r="J1607" s="1">
        <f t="shared" si="1695"/>
        <v>14.095088733390302</v>
      </c>
      <c r="K1607" s="1">
        <f t="shared" si="1695"/>
        <v>14.856232803063779</v>
      </c>
      <c r="L1607" s="1">
        <f t="shared" si="1695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0.58830603207685694</v>
      </c>
      <c r="G1608" s="1">
        <f t="shared" ref="G1608:K1608" si="1696">SUM(G1609:G1610)</f>
        <v>0.60009896088415893</v>
      </c>
      <c r="H1608" s="1">
        <f t="shared" si="1696"/>
        <v>0.64383726698285937</v>
      </c>
      <c r="I1608" s="1">
        <f t="shared" si="1696"/>
        <v>0.64790212628536059</v>
      </c>
      <c r="J1608" s="1">
        <f t="shared" si="1696"/>
        <v>0.65893385874991228</v>
      </c>
      <c r="K1608" s="1">
        <f t="shared" si="1696"/>
        <v>0.51862091869119942</v>
      </c>
      <c r="L1608" s="1">
        <f t="shared" ref="L1608" si="1697">SUM(L1609:L1610)</f>
        <v>1.8227955379290219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[1]Transport!F$26/SUM([1]Transport!F$22,[1]Transport!F$26)*J1606*(J$34+J$582)/(J$34+J$582+J$38)</f>
        <v>0.65893385874991228</v>
      </c>
      <c r="K1609" s="1">
        <f>[1]Transport!G$26/SUM([1]Transport!G$22,[1]Transport!G$26)*K1606*(K$34+K$582)/(K$34+K$582+K$38)</f>
        <v>0.51862091869119942</v>
      </c>
      <c r="L1609" s="1">
        <f>[1]Transport!H$26/SUM([1]Transport!H$22,[1]Transport!H$26)*L1606*(L$34+L$582)/(L$34+L$582+L$38)</f>
        <v>0.90270502775266448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0.92009051017635746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2.7155947822661646E-3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3.1178123883663831E-3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5.1126979531937748E-4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14.751306997357949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15.371735909366613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1.5912603797441294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6.2027344010887428E-2</v>
      </c>
      <c r="G1614" s="1">
        <f t="shared" ref="G1614:K1614" si="1698">G1619</f>
        <v>1.449492010771665E-3</v>
      </c>
      <c r="H1614" s="1">
        <f t="shared" si="1698"/>
        <v>1.791599465260748E-3</v>
      </c>
      <c r="I1614" s="1">
        <f t="shared" si="1698"/>
        <v>1.774375158124107E-3</v>
      </c>
      <c r="J1614" s="1">
        <f t="shared" si="1698"/>
        <v>1.6190735128597945E-3</v>
      </c>
      <c r="K1614" s="1">
        <f t="shared" si="1698"/>
        <v>1.5688560972850838E-3</v>
      </c>
      <c r="L1614" s="1">
        <f t="shared" ref="L1614" si="1699">L1619</f>
        <v>1.3563535716204574E-3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5.7300032434940897E-2</v>
      </c>
      <c r="G1615" s="1">
        <f t="shared" ref="G1615:L1615" si="1700">IF(G1614-G1616&lt;0,0,G1614-G1616)</f>
        <v>1.3077889872003987E-3</v>
      </c>
      <c r="H1615" s="1">
        <f t="shared" si="1700"/>
        <v>1.6221138096728313E-3</v>
      </c>
      <c r="I1615" s="1">
        <f t="shared" si="1700"/>
        <v>1.480780673594694E-3</v>
      </c>
      <c r="J1615" s="1">
        <f t="shared" si="1700"/>
        <v>0</v>
      </c>
      <c r="K1615" s="1">
        <f t="shared" si="1700"/>
        <v>1.4973578075377545E-3</v>
      </c>
      <c r="L1615" s="1">
        <f t="shared" si="1700"/>
        <v>1.1995782487021977E-3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4.7273115759465297E-3</v>
      </c>
      <c r="G1616" s="1">
        <f t="shared" ref="G1616:K1616" si="1701">SUM(G1617:G1618)</f>
        <v>1.4170302357126619E-4</v>
      </c>
      <c r="H1616" s="1">
        <f t="shared" si="1701"/>
        <v>1.6948565558791664E-4</v>
      </c>
      <c r="I1616" s="1">
        <f t="shared" si="1701"/>
        <v>2.9359448452941295E-4</v>
      </c>
      <c r="J1616" s="1">
        <f t="shared" si="1701"/>
        <v>1.9571725917810986E-3</v>
      </c>
      <c r="K1616" s="1">
        <f t="shared" si="1701"/>
        <v>7.1498289747329237E-5</v>
      </c>
      <c r="L1616" s="1">
        <f t="shared" ref="L1616" si="1702">SUM(L1617:L1618)</f>
        <v>1.5677532291825973E-4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[1]Transport!F$27/SUM([1]Transport!F$24,[1]Transport!F$27)*J1614*(J$47+J$614)/(J$47+J$614+J$49)</f>
        <v>3.3809907892130402E-4</v>
      </c>
      <c r="K1617" s="1">
        <f>[1]Transport!G$27/SUM([1]Transport!G$24,[1]Transport!G$27)*K1614*(K$47+K$614)/(K$47+K$614+K$49)</f>
        <v>7.1498289747329237E-5</v>
      </c>
      <c r="L1617" s="1">
        <f>[1]Transport!H$27/SUM([1]Transport!H$24,[1]Transport!H$27)*L1614*(L$47+L$614)/(L$47+L$614+L$49)</f>
        <v>1.5677532291825973E-4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IF((J$49+J$716)/([1]Transport!F$24+[1]Transport!F$27)*J1614&gt;J1614,J1614,(J$49+J$716)/([1]Transport!F$24+[1]Transport!F$27)*J1614)</f>
        <v>1.6190735128597945E-3</v>
      </c>
      <c r="K1618" s="1">
        <f>IF((K$49+K$716)/([1]Transport!G$24+[1]Transport!G$27)*K1614&gt;K1614,K1614,(K$49+K$716)/([1]Transport!G$24+[1]Transport!G$27)*K1614)</f>
        <v>0</v>
      </c>
      <c r="L1618" s="1">
        <f>IF((L$49+L$716)/([1]Transport!H$24+[1]Transport!H$27)*L1614&gt;L1614,L1614,(L$49+L$716)/([1]Transport!H$24+[1]Transport!H$27)*L1614)</f>
        <v>0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1.6190735128597945E-3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1.5688560972850838E-3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1.3563535716204574E-3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03">SUM(G1621:G1629)</f>
        <v>2.2263529020260253</v>
      </c>
      <c r="H1620" s="3">
        <f t="shared" ref="H1620" si="1704">SUM(H1621:H1629)</f>
        <v>2.2581758997861683</v>
      </c>
      <c r="I1620" s="3">
        <f t="shared" ref="I1620" si="1705">SUM(I1621:I1629)</f>
        <v>2.3129270923402481</v>
      </c>
      <c r="J1620" s="3">
        <f t="shared" ref="J1620" si="1706">SUM(J1621:J1629)</f>
        <v>2.4124964600437542</v>
      </c>
      <c r="K1620" s="3">
        <f t="shared" ref="K1620:L1620" si="1707">SUM(K1621:K1629)</f>
        <v>2.5141593186522559</v>
      </c>
      <c r="L1620" s="3">
        <f t="shared" si="1707"/>
        <v>2.7070761103554446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6.3760035528707829E-4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7.9675331127969362E-4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2.4466843818175934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0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3.743304335083525E-5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3.8195968396964807E-5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3.2235064586348254E-4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3.7009528948658989E-4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6.0689521797563363E-5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2.4113497191709841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2.5127692803668573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0.26011832514306454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1.8678987161946183E-4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1.8575664128172336E-4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1.745179045926367E-4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08">IFERROR(G1621/G1595,"-")</f>
        <v>-</v>
      </c>
      <c r="H1631" s="1" t="str">
        <f t="shared" si="1708"/>
        <v>-</v>
      </c>
      <c r="I1631" s="1" t="str">
        <f t="shared" si="1708"/>
        <v>-</v>
      </c>
      <c r="J1631" s="1" t="str">
        <f t="shared" si="1708"/>
        <v>-</v>
      </c>
      <c r="K1631" s="1" t="str">
        <f t="shared" si="1708"/>
        <v>-</v>
      </c>
      <c r="L1631" s="1" t="str">
        <f t="shared" ref="L1631" si="1709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0">E1631</f>
        <v>km/MJ</v>
      </c>
      <c r="F1632" s="1">
        <f>IFERROR(F1622/F1596,"-")</f>
        <v>0.26872776416540911</v>
      </c>
      <c r="G1632" s="1">
        <f t="shared" ref="G1632:K1632" si="1711">IFERROR(G1622/G1596,"-")</f>
        <v>0.27052991548024863</v>
      </c>
      <c r="H1632" s="1">
        <f t="shared" si="1711"/>
        <v>0.27151517222034321</v>
      </c>
      <c r="I1632" s="1">
        <f t="shared" si="1711"/>
        <v>0.27761766325020637</v>
      </c>
      <c r="J1632" s="1">
        <f t="shared" si="1711"/>
        <v>0.30226691431272068</v>
      </c>
      <c r="K1632" s="1">
        <f t="shared" si="1711"/>
        <v>0.31244463082255397</v>
      </c>
      <c r="L1632" s="1">
        <f t="shared" ref="L1632" si="1712">IFERROR(L1622/L1596,"-")</f>
        <v>0.33941343717592598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0"/>
        <v>km/MJ</v>
      </c>
      <c r="F1633" s="1">
        <f>IFERROR(F1623/F1598,"-")</f>
        <v>0.17445873125089906</v>
      </c>
      <c r="G1633" s="1">
        <f t="shared" ref="G1633:K1633" si="1713">IFERROR(G1623/G1598,"-")</f>
        <v>0.17509827910182418</v>
      </c>
      <c r="H1633" s="1">
        <f t="shared" si="1713"/>
        <v>0.17524384336575891</v>
      </c>
      <c r="I1633" s="1" t="str">
        <f t="shared" si="1713"/>
        <v>-</v>
      </c>
      <c r="J1633" s="1" t="str">
        <f t="shared" si="1713"/>
        <v>-</v>
      </c>
      <c r="K1633" s="1">
        <f t="shared" si="1713"/>
        <v>0.2010300170133148</v>
      </c>
      <c r="L1633" s="1">
        <f t="shared" ref="L1633" si="1714">IFERROR(L1623/L1598,"-")</f>
        <v>0.2166770989178429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0"/>
        <v>km/MJ</v>
      </c>
      <c r="F1634" s="1" t="str">
        <f>IFERROR(F1624/F1604,"-")</f>
        <v>-</v>
      </c>
      <c r="G1634" s="1" t="str">
        <f t="shared" ref="G1634:K1634" si="1715">IFERROR(G1624/G1604,"-")</f>
        <v>-</v>
      </c>
      <c r="H1634" s="1" t="str">
        <f t="shared" si="1715"/>
        <v>-</v>
      </c>
      <c r="I1634" s="1" t="str">
        <f t="shared" si="1715"/>
        <v>-</v>
      </c>
      <c r="J1634" s="1" t="str">
        <f t="shared" si="1715"/>
        <v>-</v>
      </c>
      <c r="K1634" s="1" t="str">
        <f t="shared" si="1715"/>
        <v>-</v>
      </c>
      <c r="L1634" s="1" t="str">
        <f t="shared" ref="L1634" si="1716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0"/>
        <v>km/MJ</v>
      </c>
      <c r="F1635" s="1" t="str">
        <f>IFERROR(F1625/F1605,"-")</f>
        <v>-</v>
      </c>
      <c r="G1635" s="1" t="str">
        <f t="shared" ref="G1635:K1635" si="1717">IFERROR(G1625/G1605,"-")</f>
        <v>-</v>
      </c>
      <c r="H1635" s="1" t="str">
        <f t="shared" si="1717"/>
        <v>-</v>
      </c>
      <c r="I1635" s="1" t="str">
        <f t="shared" si="1717"/>
        <v>-</v>
      </c>
      <c r="J1635" s="1" t="str">
        <f t="shared" si="1717"/>
        <v>-</v>
      </c>
      <c r="K1635" s="1" t="str">
        <f t="shared" si="1717"/>
        <v>-</v>
      </c>
      <c r="L1635" s="1" t="str">
        <f t="shared" ref="L1635" si="1718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0"/>
        <v>km/MJ</v>
      </c>
      <c r="F1636" s="1">
        <f>IFERROR(F1626/F1611,"-")</f>
        <v>8.1953661871669789E-2</v>
      </c>
      <c r="G1636" s="1">
        <f t="shared" ref="G1636:K1636" si="1719">IFERROR(G1626/G1611,"-")</f>
        <v>8.3996210615660274E-2</v>
      </c>
      <c r="H1636" s="1">
        <f t="shared" si="1719"/>
        <v>8.7060033731646072E-2</v>
      </c>
      <c r="I1636" s="1">
        <f t="shared" si="1719"/>
        <v>8.7060033731645989E-2</v>
      </c>
      <c r="J1636" s="1" t="str">
        <f t="shared" si="1719"/>
        <v>-</v>
      </c>
      <c r="K1636" s="1" t="str">
        <f t="shared" si="1719"/>
        <v>-</v>
      </c>
      <c r="L1636" s="1" t="str">
        <f t="shared" ref="L1636" si="1720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0"/>
        <v>km/MJ</v>
      </c>
      <c r="F1637" s="1">
        <f>IFERROR(F1627/F1612,"-")</f>
        <v>0.11870351496053498</v>
      </c>
      <c r="G1637" s="1">
        <f t="shared" ref="G1637:K1637" si="1721">IFERROR(G1627/G1612,"-")</f>
        <v>0.11870351496053502</v>
      </c>
      <c r="H1637" s="1">
        <f t="shared" si="1721"/>
        <v>0.1187035149605352</v>
      </c>
      <c r="I1637" s="1">
        <f t="shared" si="1721"/>
        <v>0.11870351496053494</v>
      </c>
      <c r="J1637" s="1">
        <f t="shared" si="1721"/>
        <v>0.11870351496053504</v>
      </c>
      <c r="K1637" s="1">
        <f t="shared" si="1721"/>
        <v>0.11870351496053487</v>
      </c>
      <c r="L1637" s="1">
        <f t="shared" ref="L1637" si="1722">IFERROR(L1627/L1612,"-")</f>
        <v>0.11870351496053494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0"/>
        <v>km/MJ</v>
      </c>
      <c r="F1638" s="1" t="str">
        <f>IFERROR(F1628/F1613,"-")</f>
        <v>-</v>
      </c>
      <c r="G1638" s="1">
        <f t="shared" ref="G1638:K1638" si="1723">IFERROR(G1628/G1613,"-")</f>
        <v>0.16346685209675799</v>
      </c>
      <c r="H1638" s="1">
        <f t="shared" si="1723"/>
        <v>0.1634668520967581</v>
      </c>
      <c r="I1638" s="1">
        <f t="shared" si="1723"/>
        <v>0.16346685209675801</v>
      </c>
      <c r="J1638" s="1">
        <f t="shared" si="1723"/>
        <v>0.16346685209675807</v>
      </c>
      <c r="K1638" s="1">
        <f t="shared" si="1723"/>
        <v>0.1634668520967581</v>
      </c>
      <c r="L1638" s="1">
        <f t="shared" ref="L1638" si="1724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0"/>
        <v>km/MJ</v>
      </c>
      <c r="F1639" s="1">
        <f>IFERROR(F1629/F1619,"-")</f>
        <v>0.10322365358776006</v>
      </c>
      <c r="G1639" s="1">
        <f t="shared" ref="G1639:K1639" si="1725">IFERROR(G1629/G1619,"-")</f>
        <v>0.10361478161089266</v>
      </c>
      <c r="H1639" s="1">
        <f t="shared" si="1725"/>
        <v>0.10425834681625702</v>
      </c>
      <c r="I1639" s="1">
        <f t="shared" si="1725"/>
        <v>0.10997646759712902</v>
      </c>
      <c r="J1639" s="1">
        <f t="shared" si="1725"/>
        <v>0.11536836971011402</v>
      </c>
      <c r="K1639" s="1">
        <f t="shared" si="1725"/>
        <v>0.11840260021500792</v>
      </c>
      <c r="L1639" s="1">
        <f t="shared" ref="L1639" si="1726">IFERROR(L1629/L1619,"-")</f>
        <v>0.12866697020905646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27">G1641+G1645+G1649+G1655</f>
        <v>27.900941042116301</v>
      </c>
      <c r="H1640" s="1">
        <f t="shared" si="1727"/>
        <v>27.101762674109466</v>
      </c>
      <c r="I1640" s="1">
        <f t="shared" si="1727"/>
        <v>25.175304127937533</v>
      </c>
      <c r="J1640" s="1">
        <f t="shared" si="1727"/>
        <v>25.760629396886415</v>
      </c>
      <c r="K1640" s="1">
        <f t="shared" si="1727"/>
        <v>26.477057342917021</v>
      </c>
      <c r="L1640" s="1">
        <f t="shared" ref="L1640" si="1728">L1641+L1645+L1649+L1655</f>
        <v>20.96124009861111</v>
      </c>
      <c r="N1640" s="1"/>
    </row>
    <row r="1641" spans="2:14" x14ac:dyDescent="0.35">
      <c r="B1641" t="str">
        <f t="shared" ref="B1641:B1662" si="1729">B1640</f>
        <v>SPS1</v>
      </c>
      <c r="C1641" t="str">
        <f t="shared" ref="C1641:C1687" si="1730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31">SUM(G1642:G1644)</f>
        <v>9.5324495953200401</v>
      </c>
      <c r="H1641" s="1">
        <f t="shared" si="1731"/>
        <v>10.022968313936273</v>
      </c>
      <c r="I1641" s="1">
        <f t="shared" si="1731"/>
        <v>11.803838657773326</v>
      </c>
      <c r="J1641" s="1">
        <f t="shared" si="1731"/>
        <v>12.390152901547163</v>
      </c>
      <c r="K1641" s="1">
        <f t="shared" si="1731"/>
        <v>13.116774121159532</v>
      </c>
      <c r="L1641" s="1">
        <f t="shared" ref="L1641" si="1732">SUM(L1642:L1644)</f>
        <v>18.918722603036322</v>
      </c>
      <c r="N1641" s="1"/>
    </row>
    <row r="1642" spans="2:14" x14ac:dyDescent="0.35">
      <c r="B1642" t="str">
        <f t="shared" si="1729"/>
        <v>SPS1</v>
      </c>
      <c r="C1642" t="str">
        <f t="shared" si="1730"/>
        <v>CH</v>
      </c>
      <c r="D1642" t="s">
        <v>1653</v>
      </c>
      <c r="E1642" t="str">
        <f t="shared" ref="E1642:E1644" si="1733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9.7093219886090889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10.452588275482805</v>
      </c>
      <c r="N1642" s="1"/>
    </row>
    <row r="1643" spans="2:14" x14ac:dyDescent="0.35">
      <c r="B1643" t="str">
        <f t="shared" si="1729"/>
        <v>SPS1</v>
      </c>
      <c r="C1643" t="str">
        <f t="shared" si="1730"/>
        <v>CH</v>
      </c>
      <c r="D1643" t="s">
        <v>1654</v>
      </c>
      <c r="E1643" t="str">
        <f t="shared" si="1733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1.9812968680755778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2.0281178536879931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2.180507759812703</v>
      </c>
      <c r="N1643" s="1"/>
    </row>
    <row r="1644" spans="2:14" x14ac:dyDescent="0.35">
      <c r="B1644" t="str">
        <f t="shared" si="1729"/>
        <v>SPS1</v>
      </c>
      <c r="C1644" t="str">
        <f t="shared" si="1730"/>
        <v>CH</v>
      </c>
      <c r="D1644" t="s">
        <v>1655</v>
      </c>
      <c r="E1644" t="str">
        <f t="shared" si="1733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1.1986506565409838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1.3793342788624494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6.2856265677408132</v>
      </c>
      <c r="N1644" s="1"/>
    </row>
    <row r="1645" spans="2:14" x14ac:dyDescent="0.35">
      <c r="B1645" t="str">
        <f t="shared" si="1729"/>
        <v>SPS1</v>
      </c>
      <c r="C1645" t="str">
        <f t="shared" si="1730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4">SUM(G1646:G1648)</f>
        <v>0</v>
      </c>
      <c r="H1645" s="1">
        <f t="shared" si="1734"/>
        <v>0</v>
      </c>
      <c r="I1645" s="1">
        <f t="shared" si="1734"/>
        <v>0</v>
      </c>
      <c r="J1645" s="1">
        <f t="shared" si="1734"/>
        <v>0</v>
      </c>
      <c r="K1645" s="1">
        <f t="shared" si="1734"/>
        <v>2.5768519039390597E-5</v>
      </c>
      <c r="L1645" s="1">
        <f t="shared" ref="L1645" si="1735">SUM(L1646:L1648)</f>
        <v>1.257040674605644E-4</v>
      </c>
      <c r="N1645" s="1"/>
    </row>
    <row r="1646" spans="2:14" x14ac:dyDescent="0.35">
      <c r="B1646" t="str">
        <f t="shared" si="1729"/>
        <v>SPS1</v>
      </c>
      <c r="C1646" t="str">
        <f t="shared" si="1730"/>
        <v>CH</v>
      </c>
      <c r="D1646" t="s">
        <v>1657</v>
      </c>
      <c r="E1646" t="str">
        <f t="shared" ref="E1646:E1648" si="1736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0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0</v>
      </c>
      <c r="N1646" s="1"/>
    </row>
    <row r="1647" spans="2:14" x14ac:dyDescent="0.35">
      <c r="B1647" t="str">
        <f t="shared" si="1729"/>
        <v>SPS1</v>
      </c>
      <c r="C1647" t="str">
        <f t="shared" si="1730"/>
        <v>CH</v>
      </c>
      <c r="D1647" t="s">
        <v>1658</v>
      </c>
      <c r="E1647" t="str">
        <f t="shared" si="1736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N1647" s="1"/>
    </row>
    <row r="1648" spans="2:14" x14ac:dyDescent="0.35">
      <c r="B1648" t="str">
        <f t="shared" si="1729"/>
        <v>SPS1</v>
      </c>
      <c r="C1648" t="str">
        <f t="shared" si="1730"/>
        <v>CH</v>
      </c>
      <c r="D1648" t="s">
        <v>1659</v>
      </c>
      <c r="E1648" t="str">
        <f t="shared" si="1736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0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2.5768519039390597E-5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1.257040674605644E-4</v>
      </c>
      <c r="N1648" s="1"/>
    </row>
    <row r="1649" spans="2:14" x14ac:dyDescent="0.35">
      <c r="B1649" t="str">
        <f t="shared" si="1729"/>
        <v>SPS1</v>
      </c>
      <c r="C1649" t="str">
        <f t="shared" si="1730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7">G1654</f>
        <v>0.85637739221372011</v>
      </c>
      <c r="H1649" s="1">
        <f t="shared" si="1737"/>
        <v>0.27940381756229921</v>
      </c>
      <c r="I1649" s="1">
        <f t="shared" si="1737"/>
        <v>0.23975328315757954</v>
      </c>
      <c r="J1649" s="1">
        <f t="shared" si="1737"/>
        <v>0.23883226326960277</v>
      </c>
      <c r="K1649" s="1">
        <f t="shared" si="1737"/>
        <v>8.3649810450144232E-2</v>
      </c>
      <c r="L1649" s="1">
        <f t="shared" ref="L1649" si="1738">L1654</f>
        <v>0</v>
      </c>
      <c r="N1649" s="1"/>
    </row>
    <row r="1650" spans="2:14" x14ac:dyDescent="0.35">
      <c r="B1650" t="str">
        <f t="shared" si="1729"/>
        <v>SPS1</v>
      </c>
      <c r="C1650" t="str">
        <f t="shared" si="1730"/>
        <v>CH</v>
      </c>
      <c r="D1650" t="s">
        <v>1661</v>
      </c>
      <c r="E1650" t="str">
        <f t="shared" ref="E1650:E1662" si="1739">E1649</f>
        <v>PJ/yr.</v>
      </c>
      <c r="F1650" s="1">
        <f>F1649-F1651</f>
        <v>1.6634758259491111</v>
      </c>
      <c r="G1650" s="1">
        <f t="shared" ref="G1650:K1650" si="1740">G1649-G1651</f>
        <v>0.80949917245250202</v>
      </c>
      <c r="H1650" s="1">
        <f t="shared" si="1740"/>
        <v>0.26083886303913106</v>
      </c>
      <c r="I1650" s="1">
        <f t="shared" si="1740"/>
        <v>0.22662866692604888</v>
      </c>
      <c r="J1650" s="1">
        <f t="shared" si="1740"/>
        <v>0.21998542938798288</v>
      </c>
      <c r="K1650" s="1">
        <f t="shared" si="1740"/>
        <v>6.0226310555084234E-2</v>
      </c>
      <c r="L1650" s="1">
        <f>IFERROR(L1649-L1651,0)</f>
        <v>0</v>
      </c>
      <c r="N1650" s="1"/>
    </row>
    <row r="1651" spans="2:14" x14ac:dyDescent="0.35">
      <c r="B1651" t="str">
        <f t="shared" si="1729"/>
        <v>SPS1</v>
      </c>
      <c r="C1651" t="str">
        <f t="shared" si="1730"/>
        <v>CH</v>
      </c>
      <c r="D1651" t="s">
        <v>1662</v>
      </c>
      <c r="E1651" t="str">
        <f t="shared" si="1739"/>
        <v>PJ/yr.</v>
      </c>
      <c r="F1651" s="1">
        <f>SUM(F1652:F1653)</f>
        <v>9.6331937779246785E-2</v>
      </c>
      <c r="G1651" s="1">
        <f t="shared" ref="G1651:K1651" si="1741">SUM(G1652:G1653)</f>
        <v>4.6878219761218032E-2</v>
      </c>
      <c r="H1651" s="1">
        <f t="shared" si="1741"/>
        <v>1.8564954523168156E-2</v>
      </c>
      <c r="I1651" s="1">
        <f t="shared" si="1741"/>
        <v>1.3124616231530668E-2</v>
      </c>
      <c r="J1651" s="1">
        <f t="shared" si="1741"/>
        <v>1.8846833881619885E-2</v>
      </c>
      <c r="K1651" s="1">
        <f t="shared" si="1741"/>
        <v>2.3423499895059999E-2</v>
      </c>
      <c r="L1651" s="1">
        <f>IFERROR(SUM(L1652:L1653),0)</f>
        <v>0</v>
      </c>
      <c r="N1651" s="1"/>
    </row>
    <row r="1652" spans="2:14" x14ac:dyDescent="0.35">
      <c r="B1652" t="str">
        <f t="shared" si="1729"/>
        <v>SPS1</v>
      </c>
      <c r="C1652" t="str">
        <f t="shared" si="1730"/>
        <v>CH</v>
      </c>
      <c r="D1652" t="s">
        <v>1663</v>
      </c>
      <c r="E1652" t="str">
        <f t="shared" si="1739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[1]Transport!F$25/SUM([1]Transport!F$21,[1]Transport!F$25)*J1649*(J$35+J$600)/(J$35+J$600+J$39)</f>
        <v>1.8846833881619885E-2</v>
      </c>
      <c r="K1652" s="1">
        <f>[1]Transport!G$25/SUM([1]Transport!G$21,[1]Transport!G$25)*K1649*(K$35+K$600)/(K$35+K$600+K$39)</f>
        <v>2.3423499895059999E-2</v>
      </c>
      <c r="L1652" s="1">
        <f>IFERROR([1]Transport!H$25/SUM([1]Transport!H$21,[1]Transport!H$25)*L1649*(L$35+L$600)/(L$35+L$600+L$39),0)</f>
        <v>0</v>
      </c>
      <c r="N1652" s="1"/>
    </row>
    <row r="1653" spans="2:14" x14ac:dyDescent="0.35">
      <c r="B1653" t="str">
        <f t="shared" si="1729"/>
        <v>SPS1</v>
      </c>
      <c r="C1653" t="str">
        <f t="shared" si="1730"/>
        <v>CH</v>
      </c>
      <c r="D1653" t="s">
        <v>1664</v>
      </c>
      <c r="E1653" t="str">
        <f t="shared" si="1739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IFERROR((L$39+L$719)/([1]Transport!H$21+[1]Transport!H$25)*L1649,0)</f>
        <v>0</v>
      </c>
      <c r="N1653" s="1"/>
    </row>
    <row r="1654" spans="2:14" x14ac:dyDescent="0.35">
      <c r="B1654" t="str">
        <f t="shared" si="1729"/>
        <v>SPS1</v>
      </c>
      <c r="C1654" t="str">
        <f t="shared" si="1730"/>
        <v>CH</v>
      </c>
      <c r="D1654" t="s">
        <v>1665</v>
      </c>
      <c r="E1654" t="str">
        <f t="shared" si="1739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0.23883226326960277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8.3649810450144232E-2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</v>
      </c>
      <c r="N1654" s="1"/>
    </row>
    <row r="1655" spans="2:14" x14ac:dyDescent="0.35">
      <c r="B1655" t="str">
        <f t="shared" si="1729"/>
        <v>SPS1</v>
      </c>
      <c r="C1655" t="str">
        <f t="shared" si="1730"/>
        <v>CH</v>
      </c>
      <c r="D1655" t="s">
        <v>1666</v>
      </c>
      <c r="E1655" t="str">
        <f t="shared" si="1739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[1]TRA_FuelByFleet!J$99</f>
        <v>13.131644232069648</v>
      </c>
      <c r="K1655" s="1">
        <f>[1]TRA_FuelByFleet!K$99</f>
        <v>13.276607642788305</v>
      </c>
      <c r="L1655" s="1">
        <f>[1]TRA_FuelByFleet!L$99</f>
        <v>2.0423917915073284</v>
      </c>
      <c r="N1655" s="1"/>
    </row>
    <row r="1656" spans="2:14" x14ac:dyDescent="0.35">
      <c r="B1656" t="str">
        <f t="shared" si="1729"/>
        <v>SPS1</v>
      </c>
      <c r="C1656" t="str">
        <f t="shared" si="1730"/>
        <v>CH</v>
      </c>
      <c r="D1656" t="s">
        <v>1667</v>
      </c>
      <c r="E1656" t="str">
        <f t="shared" si="1739"/>
        <v>PJ/yr.</v>
      </c>
      <c r="F1656" s="1">
        <f>F1655-F1657</f>
        <v>17.347943590737984</v>
      </c>
      <c r="G1656" s="1">
        <f t="shared" ref="G1656:K1656" si="1742">G1655-G1657</f>
        <v>17.055736072645995</v>
      </c>
      <c r="H1656" s="1">
        <f t="shared" si="1742"/>
        <v>16.270546994073246</v>
      </c>
      <c r="I1656" s="1">
        <f t="shared" si="1742"/>
        <v>12.618157389971154</v>
      </c>
      <c r="J1656" s="1">
        <f t="shared" si="1742"/>
        <v>12.545167903222337</v>
      </c>
      <c r="K1656" s="1">
        <f t="shared" si="1742"/>
        <v>12.828764263110315</v>
      </c>
      <c r="L1656" s="1">
        <f t="shared" ref="L1656" si="1743">L1655-L1657</f>
        <v>0</v>
      </c>
      <c r="N1656" s="1"/>
    </row>
    <row r="1657" spans="2:14" x14ac:dyDescent="0.35">
      <c r="B1657" t="str">
        <f t="shared" si="1729"/>
        <v>SPS1</v>
      </c>
      <c r="C1657" t="str">
        <f t="shared" si="1730"/>
        <v>CH</v>
      </c>
      <c r="D1657" t="s">
        <v>1668</v>
      </c>
      <c r="E1657" t="str">
        <f t="shared" si="1739"/>
        <v>PJ/yr.</v>
      </c>
      <c r="F1657" s="1">
        <f>SUM(F1658:F1659)</f>
        <v>0.42854404490527348</v>
      </c>
      <c r="G1657" s="1">
        <f t="shared" ref="G1657:K1657" si="1744">SUM(G1658:G1659)</f>
        <v>0.45637798193654594</v>
      </c>
      <c r="H1657" s="1">
        <f t="shared" si="1744"/>
        <v>0.52884354853764792</v>
      </c>
      <c r="I1657" s="1">
        <f t="shared" si="1744"/>
        <v>0.51355479703547302</v>
      </c>
      <c r="J1657" s="1">
        <f t="shared" si="1744"/>
        <v>0.58647632884731116</v>
      </c>
      <c r="K1657" s="1">
        <f t="shared" si="1744"/>
        <v>0.44784337967798987</v>
      </c>
      <c r="L1657" s="1">
        <f t="shared" ref="L1657" si="1745">SUM(L1658:L1659)</f>
        <v>2.0423917915073284</v>
      </c>
      <c r="N1657" s="1"/>
    </row>
    <row r="1658" spans="2:14" x14ac:dyDescent="0.35">
      <c r="B1658" t="str">
        <f t="shared" si="1729"/>
        <v>SPS1</v>
      </c>
      <c r="C1658" t="str">
        <f t="shared" si="1730"/>
        <v>CH</v>
      </c>
      <c r="D1658" t="s">
        <v>1669</v>
      </c>
      <c r="E1658" t="str">
        <f t="shared" si="1739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[1]Transport!F$26/SUM([1]Transport!F$22,[1]Transport!F$26)*J1655*(J$34+J$582)/(J$34+J$582+J$38)</f>
        <v>0.58647632884731116</v>
      </c>
      <c r="K1658" s="1">
        <f>[1]Transport!G$26/SUM([1]Transport!G$22,[1]Transport!G$26)*K1655*(K$34+K$582)/(K$34+K$582+K$38)</f>
        <v>0.44784337967798987</v>
      </c>
      <c r="L1658" s="1">
        <f>[1]Transport!H$26/SUM([1]Transport!H$22,[1]Transport!H$26)*L1655*(L$34+L$582)/(L$34+L$582+L$38)</f>
        <v>1.158254916380671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0.8841368751266574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N1660" s="1"/>
    </row>
    <row r="1661" spans="2:14" x14ac:dyDescent="0.35">
      <c r="B1661" t="str">
        <f t="shared" si="1729"/>
        <v>SPS1</v>
      </c>
      <c r="C1661" t="str">
        <f t="shared" si="1730"/>
        <v>CH</v>
      </c>
      <c r="D1661" t="s">
        <v>1672</v>
      </c>
      <c r="E1661" t="str">
        <f t="shared" si="1739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6.2929688077126647E-4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6.5317602166177404E-4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N1661" s="1"/>
    </row>
    <row r="1662" spans="2:14" x14ac:dyDescent="0.35">
      <c r="B1662" t="str">
        <f t="shared" si="1729"/>
        <v>SPS1</v>
      </c>
      <c r="C1662" t="str">
        <f t="shared" si="1730"/>
        <v>CH</v>
      </c>
      <c r="D1662" t="s">
        <v>1673</v>
      </c>
      <c r="E1662" t="str">
        <f t="shared" si="1739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13.131014935188878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13.275954466766644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2.0423917915073284</v>
      </c>
      <c r="N1662" s="1"/>
    </row>
    <row r="1663" spans="2:14" x14ac:dyDescent="0.35">
      <c r="B1663" t="str">
        <f t="shared" ref="B1663:C1665" si="1746">B1657</f>
        <v>SPS1</v>
      </c>
      <c r="C1663" t="str">
        <f t="shared" si="1746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IF([1]Transport!F$23+[1]Transport_Aviation_Intl!F$11&lt;0,0,[1]Transport!F$23+[1]Transport_Aviation_Intl!F$11)</f>
        <v>68.634108924754656</v>
      </c>
      <c r="K1663" s="1">
        <f>IF([1]Transport!G$23+[1]Transport_Aviation_Intl!G$11&lt;0,0,[1]Transport!G$23+[1]Transport_Aviation_Intl!G$11)</f>
        <v>55.177581267456141</v>
      </c>
      <c r="L1663" s="1">
        <f>IF([1]Transport!H$23+[1]Transport_Aviation_Intl!H$11&lt;0,0,[1]Transport!H$23+[1]Transport_Aviation_Intl!H$11)</f>
        <v>23.884469373970582</v>
      </c>
      <c r="N1663" s="1"/>
    </row>
    <row r="1664" spans="2:14" x14ac:dyDescent="0.35">
      <c r="B1664" t="str">
        <f t="shared" si="1746"/>
        <v>SPS1</v>
      </c>
      <c r="C1664" t="str">
        <f t="shared" si="1746"/>
        <v>CH</v>
      </c>
      <c r="D1664" t="s">
        <v>2480</v>
      </c>
      <c r="E1664" t="str">
        <f>E1658</f>
        <v>PJ/yr.</v>
      </c>
      <c r="F1664" s="1">
        <f t="shared" ref="F1664:K1664" si="1747">F36</f>
        <v>2.4842702656880998E-3</v>
      </c>
      <c r="G1664" s="1">
        <f t="shared" si="1747"/>
        <v>1.4769009814737101E-5</v>
      </c>
      <c r="H1664" s="1">
        <f t="shared" si="1747"/>
        <v>3.7230011209845102E-4</v>
      </c>
      <c r="I1664" s="1">
        <f t="shared" si="1747"/>
        <v>5.2467075825699236</v>
      </c>
      <c r="J1664" s="1">
        <f t="shared" si="1747"/>
        <v>5.2467075825699236</v>
      </c>
      <c r="K1664" s="1">
        <f t="shared" si="1747"/>
        <v>18.013392324739414</v>
      </c>
      <c r="L1664" s="1">
        <f t="shared" ref="L1664" si="1748">L36</f>
        <v>30.039933570729573</v>
      </c>
      <c r="N1664" s="1"/>
    </row>
    <row r="1665" spans="2:14" x14ac:dyDescent="0.35">
      <c r="B1665" t="str">
        <f t="shared" si="1746"/>
        <v>SPS1</v>
      </c>
      <c r="C1665" t="str">
        <f t="shared" si="1746"/>
        <v>CH</v>
      </c>
      <c r="D1665" t="s">
        <v>2481</v>
      </c>
      <c r="E1665" t="str">
        <f>E1659</f>
        <v>PJ/yr.</v>
      </c>
      <c r="F1665" s="1">
        <f t="shared" ref="F1665:K1665" si="1749">F40</f>
        <v>0</v>
      </c>
      <c r="G1665" s="1">
        <f t="shared" si="1749"/>
        <v>0</v>
      </c>
      <c r="H1665" s="1">
        <f t="shared" si="1749"/>
        <v>0</v>
      </c>
      <c r="I1665" s="1">
        <f t="shared" si="1749"/>
        <v>0</v>
      </c>
      <c r="J1665" s="1">
        <f t="shared" si="1749"/>
        <v>12.76668474216949</v>
      </c>
      <c r="K1665" s="1">
        <f t="shared" si="1749"/>
        <v>12.02654124599016</v>
      </c>
      <c r="L1665" s="1">
        <f t="shared" ref="L1665" si="1750">L40</f>
        <v>27.3812808689676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1">B1666</f>
        <v>SPS1</v>
      </c>
      <c r="C1667" t="str">
        <f t="shared" si="1730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0.24502563722589676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0.26340107396293244</v>
      </c>
      <c r="N1667" s="1"/>
    </row>
    <row r="1668" spans="2:14" x14ac:dyDescent="0.35">
      <c r="B1668" t="str">
        <f t="shared" si="1751"/>
        <v>SPS1</v>
      </c>
      <c r="C1668" t="str">
        <f t="shared" si="1730"/>
        <v>CH</v>
      </c>
      <c r="D1668" t="s">
        <v>1676</v>
      </c>
      <c r="E1668" t="str">
        <f t="shared" ref="E1668:E1671" si="1752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3.3095646720533362E-2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3.3877745972747224E-2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3.6423271874565989E-2</v>
      </c>
      <c r="N1668" s="1"/>
    </row>
    <row r="1669" spans="2:14" x14ac:dyDescent="0.35">
      <c r="B1669" t="str">
        <f t="shared" si="1751"/>
        <v>SPS1</v>
      </c>
      <c r="C1669" t="str">
        <f t="shared" si="1730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2.95696358177713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2.9535223348975199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14.128852254950299</v>
      </c>
      <c r="N1669" s="1"/>
    </row>
    <row r="1670" spans="2:14" x14ac:dyDescent="0.35">
      <c r="B1670" t="str">
        <f t="shared" si="1751"/>
        <v>SPS1</v>
      </c>
      <c r="C1670" t="str">
        <f t="shared" si="1730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0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0</v>
      </c>
      <c r="N1670" s="1"/>
    </row>
    <row r="1671" spans="2:14" x14ac:dyDescent="0.35">
      <c r="B1671" t="str">
        <f t="shared" si="1751"/>
        <v>SPS1</v>
      </c>
      <c r="C1671" t="str">
        <f t="shared" si="1730"/>
        <v>CH</v>
      </c>
      <c r="D1671" t="s">
        <v>1679</v>
      </c>
      <c r="E1671" t="str">
        <f t="shared" si="1752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N1671" s="1"/>
    </row>
    <row r="1672" spans="2:14" x14ac:dyDescent="0.35">
      <c r="B1672" t="str">
        <f t="shared" si="1751"/>
        <v>SPS1</v>
      </c>
      <c r="C1672" t="str">
        <f t="shared" si="1730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0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4.6215278711950597E-5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2.25447512293404E-4</v>
      </c>
      <c r="N1672" s="1"/>
    </row>
    <row r="1673" spans="2:14" x14ac:dyDescent="0.35">
      <c r="B1673" t="str">
        <f t="shared" si="1751"/>
        <v>SPS1</v>
      </c>
      <c r="C1673" t="str">
        <f t="shared" si="1730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0.21648049367314001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7.5821214495925396E-2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</v>
      </c>
      <c r="N1673" s="1"/>
    </row>
    <row r="1674" spans="2:14" x14ac:dyDescent="0.35">
      <c r="B1674" t="str">
        <f t="shared" si="1751"/>
        <v>SPS1</v>
      </c>
      <c r="C1674" t="str">
        <f t="shared" si="1730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N1674" s="1"/>
    </row>
    <row r="1675" spans="2:14" x14ac:dyDescent="0.35">
      <c r="B1675" t="str">
        <f t="shared" si="1751"/>
        <v>SPS1</v>
      </c>
      <c r="C1675" t="str">
        <f t="shared" si="1730"/>
        <v>CH</v>
      </c>
      <c r="D1675" t="s">
        <v>1683</v>
      </c>
      <c r="E1675" t="str">
        <f t="shared" ref="E1675" si="1753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2.5505867544895942E-6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2.6473706768717826E-6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N1675" s="1"/>
    </row>
    <row r="1676" spans="2:14" x14ac:dyDescent="0.35">
      <c r="B1676" t="str">
        <f t="shared" si="1751"/>
        <v>SPS1</v>
      </c>
      <c r="C1676" t="str">
        <f t="shared" si="1730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12.9769852431619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13.1202246021695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2.0184340867756601</v>
      </c>
      <c r="N1676" s="1"/>
    </row>
    <row r="1677" spans="2:14" x14ac:dyDescent="0.35">
      <c r="B1677" s="2" t="str">
        <f t="shared" si="1751"/>
        <v>SPS1</v>
      </c>
      <c r="C1677" s="2" t="str">
        <f t="shared" si="1730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1"/>
        <v>SPS1</v>
      </c>
      <c r="C1678" t="str">
        <f t="shared" si="1730"/>
        <v>CH</v>
      </c>
      <c r="D1678" t="s">
        <v>1686</v>
      </c>
      <c r="E1678" t="s">
        <v>1229</v>
      </c>
      <c r="F1678" s="7">
        <f t="shared" ref="F1678:K1680" si="1754">IFERROR(F1667/F1642,"-")</f>
        <v>2.5309161094553195E-2</v>
      </c>
      <c r="G1678" s="7">
        <f t="shared" si="1754"/>
        <v>2.5301857215832019E-2</v>
      </c>
      <c r="H1678" s="7">
        <f t="shared" si="1754"/>
        <v>2.5290901397750198E-2</v>
      </c>
      <c r="I1678" s="7">
        <f t="shared" si="1754"/>
        <v>2.5272641700947188E-2</v>
      </c>
      <c r="J1678" s="7">
        <f t="shared" si="1754"/>
        <v>2.5254382004144305E-2</v>
      </c>
      <c r="K1678" s="7">
        <f t="shared" si="1754"/>
        <v>2.5236122307341253E-2</v>
      </c>
      <c r="L1678" s="7">
        <f t="shared" ref="L1678" si="1755">IFERROR(L1667/L1642,"-")</f>
        <v>2.5199602913735349E-2</v>
      </c>
      <c r="N1678" s="1"/>
    </row>
    <row r="1679" spans="2:14" x14ac:dyDescent="0.35">
      <c r="B1679" t="str">
        <f t="shared" si="1751"/>
        <v>SPS1</v>
      </c>
      <c r="C1679" t="str">
        <f t="shared" si="1730"/>
        <v>CH</v>
      </c>
      <c r="D1679" t="s">
        <v>1687</v>
      </c>
      <c r="E1679" t="s">
        <v>1229</v>
      </c>
      <c r="F1679" s="7">
        <f t="shared" si="1754"/>
        <v>1.6704032219401307E-2</v>
      </c>
      <c r="G1679" s="7">
        <f t="shared" si="1754"/>
        <v>1.6704032219401289E-2</v>
      </c>
      <c r="H1679" s="7">
        <f t="shared" si="1754"/>
        <v>1.6704032219401293E-2</v>
      </c>
      <c r="I1679" s="7">
        <f t="shared" si="1754"/>
        <v>1.6704032219401303E-2</v>
      </c>
      <c r="J1679" s="7">
        <f t="shared" si="1754"/>
        <v>1.670403221940131E-2</v>
      </c>
      <c r="K1679" s="7">
        <f t="shared" si="1754"/>
        <v>1.6704032219401286E-2</v>
      </c>
      <c r="L1679" s="7">
        <f t="shared" ref="L1679" si="1756">IFERROR(L1668/L1643,"-")</f>
        <v>1.6704032219401321E-2</v>
      </c>
      <c r="N1679" s="1"/>
    </row>
    <row r="1680" spans="2:14" x14ac:dyDescent="0.35">
      <c r="B1680" t="str">
        <f t="shared" si="1751"/>
        <v>SPS1</v>
      </c>
      <c r="C1680" t="str">
        <f t="shared" si="1730"/>
        <v>CH</v>
      </c>
      <c r="D1680" t="s">
        <v>1688</v>
      </c>
      <c r="E1680" t="s">
        <v>240</v>
      </c>
      <c r="F1680" t="str">
        <f t="shared" si="1754"/>
        <v>-</v>
      </c>
      <c r="G1680">
        <f t="shared" si="1754"/>
        <v>2.4673913043478413</v>
      </c>
      <c r="H1680">
        <f t="shared" si="1754"/>
        <v>2.4673913043478239</v>
      </c>
      <c r="I1680">
        <f t="shared" si="1754"/>
        <v>2.4673913043478359</v>
      </c>
      <c r="J1680">
        <f t="shared" si="1754"/>
        <v>2.4669102424806679</v>
      </c>
      <c r="K1680">
        <f t="shared" si="1754"/>
        <v>2.1412665371684367</v>
      </c>
      <c r="L1680">
        <f t="shared" ref="L1680" si="1757">IFERROR(L1669/L1644,"-")</f>
        <v>2.2478033180435197</v>
      </c>
      <c r="N1680" s="1"/>
    </row>
    <row r="1681" spans="2:14" x14ac:dyDescent="0.35">
      <c r="B1681" t="str">
        <f t="shared" si="1751"/>
        <v>SPS1</v>
      </c>
      <c r="C1681" t="str">
        <f t="shared" si="1730"/>
        <v>CH</v>
      </c>
      <c r="D1681" t="s">
        <v>1689</v>
      </c>
      <c r="E1681" t="s">
        <v>1229</v>
      </c>
      <c r="F1681" t="str">
        <f t="shared" ref="F1681:K1683" si="1758">IFERROR(F1670/F1646,"-")</f>
        <v>-</v>
      </c>
      <c r="G1681" t="str">
        <f t="shared" si="1758"/>
        <v>-</v>
      </c>
      <c r="H1681" t="str">
        <f t="shared" si="1758"/>
        <v>-</v>
      </c>
      <c r="I1681" t="str">
        <f t="shared" si="1758"/>
        <v>-</v>
      </c>
      <c r="J1681" t="str">
        <f t="shared" si="1758"/>
        <v>-</v>
      </c>
      <c r="K1681" t="str">
        <f t="shared" si="1758"/>
        <v>-</v>
      </c>
      <c r="L1681" t="str">
        <f t="shared" ref="L1681" si="1759">IFERROR(L1670/L1646,"-")</f>
        <v>-</v>
      </c>
      <c r="N1681" s="1"/>
    </row>
    <row r="1682" spans="2:14" x14ac:dyDescent="0.35">
      <c r="B1682" t="str">
        <f t="shared" si="1751"/>
        <v>SPS1</v>
      </c>
      <c r="C1682" t="str">
        <f t="shared" si="1730"/>
        <v>CH</v>
      </c>
      <c r="D1682" t="s">
        <v>1690</v>
      </c>
      <c r="E1682" t="s">
        <v>1229</v>
      </c>
      <c r="F1682" t="str">
        <f t="shared" si="1758"/>
        <v>-</v>
      </c>
      <c r="G1682" t="str">
        <f t="shared" si="1758"/>
        <v>-</v>
      </c>
      <c r="H1682" t="str">
        <f t="shared" si="1758"/>
        <v>-</v>
      </c>
      <c r="I1682" t="str">
        <f t="shared" si="1758"/>
        <v>-</v>
      </c>
      <c r="J1682" t="str">
        <f t="shared" si="1758"/>
        <v>-</v>
      </c>
      <c r="K1682" t="str">
        <f t="shared" si="1758"/>
        <v>-</v>
      </c>
      <c r="L1682" t="str">
        <f t="shared" ref="L1682" si="1760">IFERROR(L1671/L1647,"-")</f>
        <v>-</v>
      </c>
      <c r="N1682" s="1"/>
    </row>
    <row r="1683" spans="2:14" x14ac:dyDescent="0.35">
      <c r="B1683" t="str">
        <f t="shared" si="1751"/>
        <v>SPS1</v>
      </c>
      <c r="C1683" t="str">
        <f t="shared" si="1730"/>
        <v>CH</v>
      </c>
      <c r="D1683" t="s">
        <v>1691</v>
      </c>
      <c r="E1683" t="s">
        <v>240</v>
      </c>
      <c r="F1683" t="str">
        <f t="shared" si="1758"/>
        <v>-</v>
      </c>
      <c r="G1683" t="str">
        <f t="shared" si="1758"/>
        <v>-</v>
      </c>
      <c r="H1683" t="str">
        <f t="shared" si="1758"/>
        <v>-</v>
      </c>
      <c r="I1683" t="str">
        <f t="shared" si="1758"/>
        <v>-</v>
      </c>
      <c r="J1683" t="str">
        <f t="shared" si="1758"/>
        <v>-</v>
      </c>
      <c r="K1683">
        <f t="shared" si="1758"/>
        <v>1.7934782608695679</v>
      </c>
      <c r="L1683">
        <f t="shared" ref="L1683" si="1761">IFERROR(L1672/L1648,"-")</f>
        <v>1.793478260869569</v>
      </c>
      <c r="N1683" s="1"/>
    </row>
    <row r="1684" spans="2:14" x14ac:dyDescent="0.35">
      <c r="B1684" t="str">
        <f t="shared" si="1751"/>
        <v>SPS1</v>
      </c>
      <c r="C1684" t="str">
        <f t="shared" si="1730"/>
        <v>CH</v>
      </c>
      <c r="D1684" t="s">
        <v>1692</v>
      </c>
      <c r="E1684" t="s">
        <v>240</v>
      </c>
      <c r="F1684" s="4">
        <f t="shared" ref="F1684:K1684" si="1762">IFERROR(F1673/F1654,"-")</f>
        <v>0.90641226905247907</v>
      </c>
      <c r="G1684" s="4">
        <f t="shared" si="1762"/>
        <v>0.90641226905247696</v>
      </c>
      <c r="H1684" s="4">
        <f t="shared" si="1762"/>
        <v>0.90641226905247718</v>
      </c>
      <c r="I1684" s="4">
        <f t="shared" si="1762"/>
        <v>0.90641226905247407</v>
      </c>
      <c r="J1684" s="4">
        <f t="shared" si="1762"/>
        <v>0.9064122690524804</v>
      </c>
      <c r="K1684" s="4">
        <f t="shared" si="1762"/>
        <v>0.90641226905248373</v>
      </c>
      <c r="L1684" s="4" t="str">
        <f t="shared" ref="L1684" si="1763">IFERROR(L1673/L1654,"-")</f>
        <v>-</v>
      </c>
      <c r="N1684" s="1"/>
    </row>
    <row r="1685" spans="2:14" x14ac:dyDescent="0.35">
      <c r="B1685" t="str">
        <f t="shared" si="1751"/>
        <v>SPS1</v>
      </c>
      <c r="C1685" t="str">
        <f t="shared" si="1730"/>
        <v>CH</v>
      </c>
      <c r="D1685" t="s">
        <v>1693</v>
      </c>
      <c r="E1685" t="s">
        <v>1229</v>
      </c>
      <c r="F1685" t="str">
        <f t="shared" ref="F1685:K1687" si="1764">IFERROR(F1674/F1660,"-")</f>
        <v>-</v>
      </c>
      <c r="G1685" t="str">
        <f t="shared" si="1764"/>
        <v>-</v>
      </c>
      <c r="H1685" t="str">
        <f t="shared" si="1764"/>
        <v>-</v>
      </c>
      <c r="I1685" t="str">
        <f t="shared" si="1764"/>
        <v>-</v>
      </c>
      <c r="J1685" t="str">
        <f t="shared" si="1764"/>
        <v>-</v>
      </c>
      <c r="K1685" t="str">
        <f t="shared" si="1764"/>
        <v>-</v>
      </c>
      <c r="L1685" t="str">
        <f t="shared" ref="L1685" si="1765">IFERROR(L1674/L1660,"-")</f>
        <v>-</v>
      </c>
      <c r="N1685" s="1"/>
    </row>
    <row r="1686" spans="2:14" x14ac:dyDescent="0.35">
      <c r="B1686" t="str">
        <f t="shared" si="1751"/>
        <v>SPS1</v>
      </c>
      <c r="C1686" t="str">
        <f t="shared" si="1730"/>
        <v>CH</v>
      </c>
      <c r="D1686" t="s">
        <v>1694</v>
      </c>
      <c r="E1686" t="s">
        <v>1229</v>
      </c>
      <c r="F1686" s="1">
        <f t="shared" si="1764"/>
        <v>4.0530738867855113E-3</v>
      </c>
      <c r="G1686" s="1">
        <f t="shared" si="1764"/>
        <v>4.0530738867855061E-3</v>
      </c>
      <c r="H1686">
        <f t="shared" si="1764"/>
        <v>4.0530738867855095E-3</v>
      </c>
      <c r="I1686">
        <f t="shared" si="1764"/>
        <v>4.0530738867855078E-3</v>
      </c>
      <c r="J1686">
        <f t="shared" si="1764"/>
        <v>4.0530738867855095E-3</v>
      </c>
      <c r="K1686">
        <f t="shared" si="1764"/>
        <v>4.0530738867855095E-3</v>
      </c>
      <c r="L1686" t="str">
        <f t="shared" ref="L1686" si="1766">IFERROR(L1675/L1661,"-")</f>
        <v>-</v>
      </c>
      <c r="N1686" s="1"/>
    </row>
    <row r="1687" spans="2:14" x14ac:dyDescent="0.35">
      <c r="B1687" t="str">
        <f t="shared" si="1751"/>
        <v>SPS1</v>
      </c>
      <c r="C1687" t="str">
        <f t="shared" si="1730"/>
        <v>CH</v>
      </c>
      <c r="D1687" t="s">
        <v>1695</v>
      </c>
      <c r="E1687" t="s">
        <v>240</v>
      </c>
      <c r="F1687" s="4">
        <f t="shared" si="1764"/>
        <v>0.98826978015125178</v>
      </c>
      <c r="G1687" s="4">
        <f t="shared" si="1764"/>
        <v>0.98826978015125033</v>
      </c>
      <c r="H1687" s="4">
        <f t="shared" si="1764"/>
        <v>0.98826978015124811</v>
      </c>
      <c r="I1687" s="4">
        <f t="shared" si="1764"/>
        <v>0.988269780151249</v>
      </c>
      <c r="J1687" s="4">
        <f t="shared" si="1764"/>
        <v>0.98826978015125055</v>
      </c>
      <c r="K1687" s="4">
        <f t="shared" si="1764"/>
        <v>0.98826978015125178</v>
      </c>
      <c r="L1687" s="4">
        <f t="shared" ref="L1687" si="1767">IFERROR(L1676/L1662,"-")</f>
        <v>0.98826978015124756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68">SUM(G1689:G1691,G1694:G1696,-G1701)</f>
        <v>32.478226523999972</v>
      </c>
      <c r="H1688" s="3">
        <f t="shared" si="1768"/>
        <v>30.104374609990408</v>
      </c>
      <c r="I1688" s="3">
        <f t="shared" si="1768"/>
        <v>22.53155244443494</v>
      </c>
      <c r="J1688" s="3">
        <f t="shared" si="1768"/>
        <v>15.129411961739745</v>
      </c>
      <c r="K1688" s="3">
        <f t="shared" si="1768"/>
        <v>10.89024799945461</v>
      </c>
      <c r="L1688" s="3">
        <f t="shared" ref="L1688" si="1769">SUM(L1689:L1691,L1694:L1696,-L1701)</f>
        <v>1.3832309665360407E-5</v>
      </c>
      <c r="N1688" s="1"/>
    </row>
    <row r="1689" spans="2:14" x14ac:dyDescent="0.35">
      <c r="B1689" t="str">
        <f>B1688</f>
        <v>SPS1</v>
      </c>
      <c r="C1689" t="str">
        <f t="shared" ref="C1689" si="1770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[1]Summary!F53+[1]Summary!F59</f>
        <v>2.5764589116274688</v>
      </c>
      <c r="K1689" s="1">
        <f>[1]Summary!G53+[1]Summary!G59</f>
        <v>2.382061853585038</v>
      </c>
      <c r="L1689" s="1">
        <f>[1]Summary!H53+[1]Summary!H59</f>
        <v>-2.7727549568505188</v>
      </c>
      <c r="N1689" s="1"/>
    </row>
    <row r="1690" spans="2:14" x14ac:dyDescent="0.35">
      <c r="B1690" t="str">
        <f t="shared" ref="B1690:B1701" si="1771">B1689</f>
        <v>SPS1</v>
      </c>
      <c r="C1690" t="str">
        <f t="shared" ref="C1690:C1701" si="1772">C1689</f>
        <v>CH</v>
      </c>
      <c r="D1690" t="s">
        <v>1703</v>
      </c>
      <c r="E1690" t="str">
        <f t="shared" ref="E1690:E1701" si="1773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N1690" s="1"/>
    </row>
    <row r="1691" spans="2:14" x14ac:dyDescent="0.35">
      <c r="B1691" t="str">
        <f t="shared" si="1771"/>
        <v>SPS1</v>
      </c>
      <c r="C1691" t="str">
        <f t="shared" si="1772"/>
        <v>CH</v>
      </c>
      <c r="D1691" t="s">
        <v>1704</v>
      </c>
      <c r="E1691" t="str">
        <f t="shared" si="1773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[1]Summary!F55+[1]Summary!F60</f>
        <v>3.9560584202378983</v>
      </c>
      <c r="K1691" s="1">
        <f>[1]Summary!G55+[1]Summary!G60</f>
        <v>3.3224320498981945</v>
      </c>
      <c r="L1691" s="1">
        <f>[1]Summary!H55+[1]Summary!H60</f>
        <v>2.2335162725401232</v>
      </c>
      <c r="N1691" s="1"/>
    </row>
    <row r="1692" spans="2:14" x14ac:dyDescent="0.35">
      <c r="B1692" t="str">
        <f t="shared" si="1771"/>
        <v>SPS1</v>
      </c>
      <c r="C1692" t="str">
        <f t="shared" si="1772"/>
        <v>CH</v>
      </c>
      <c r="D1692" t="s">
        <v>1714</v>
      </c>
      <c r="E1692" t="str">
        <f t="shared" si="1773"/>
        <v>Mt/yr.</v>
      </c>
      <c r="F1692" s="1">
        <f>F1691-F1693</f>
        <v>4.4044284316229625</v>
      </c>
      <c r="G1692" s="1">
        <f t="shared" ref="G1692:K1692" si="1774">G1691-G1693</f>
        <v>4.0161248502696623</v>
      </c>
      <c r="H1692" s="1">
        <f t="shared" si="1774"/>
        <v>3.6431191384215138</v>
      </c>
      <c r="I1692" s="1">
        <f t="shared" si="1774"/>
        <v>2.7781959579784492</v>
      </c>
      <c r="J1692" s="1">
        <f t="shared" si="1774"/>
        <v>1.8705226722752282</v>
      </c>
      <c r="K1692" s="1">
        <f t="shared" si="1774"/>
        <v>1.2450179868964946</v>
      </c>
      <c r="L1692" s="1">
        <f t="shared" ref="L1692" si="1775">L1691-L1693</f>
        <v>0.50027313660622208</v>
      </c>
      <c r="N1692" s="1"/>
    </row>
    <row r="1693" spans="2:14" x14ac:dyDescent="0.35">
      <c r="B1693" t="str">
        <f t="shared" si="1771"/>
        <v>SPS1</v>
      </c>
      <c r="C1693" t="str">
        <f t="shared" si="1772"/>
        <v>CH</v>
      </c>
      <c r="D1693" t="s">
        <v>1713</v>
      </c>
      <c r="E1693" t="str">
        <f t="shared" si="1773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2.0855357479626702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2.0774140630017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1.7332431359339011</v>
      </c>
      <c r="N1693" s="1"/>
    </row>
    <row r="1694" spans="2:14" x14ac:dyDescent="0.35">
      <c r="B1694" t="str">
        <f t="shared" si="1771"/>
        <v>SPS1</v>
      </c>
      <c r="C1694" t="str">
        <f t="shared" si="1772"/>
        <v>CH</v>
      </c>
      <c r="D1694" t="s">
        <v>1705</v>
      </c>
      <c r="E1694" t="str">
        <f t="shared" si="1773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[1]Summary!F56</f>
        <v>1.165924604513964</v>
      </c>
      <c r="K1694" s="1">
        <f>[1]Summary!G56</f>
        <v>0.48718411604592399</v>
      </c>
      <c r="L1694" s="1">
        <f>[1]Summary!H56</f>
        <v>0.17099556487655101</v>
      </c>
      <c r="N1694" s="1"/>
    </row>
    <row r="1695" spans="2:14" x14ac:dyDescent="0.35">
      <c r="B1695" t="str">
        <f t="shared" si="1771"/>
        <v>SPS1</v>
      </c>
      <c r="C1695" t="str">
        <f t="shared" si="1772"/>
        <v>CH</v>
      </c>
      <c r="D1695" t="s">
        <v>1706</v>
      </c>
      <c r="E1695" t="str">
        <f t="shared" si="1773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[1]Summary!F57</f>
        <v>2.5154370351942021</v>
      </c>
      <c r="K1695" s="1">
        <f>[1]Summary!G57</f>
        <v>1.3029660478514851</v>
      </c>
      <c r="L1695" s="1">
        <f>[1]Summary!H57</f>
        <v>0.36818556977830791</v>
      </c>
      <c r="N1695" s="1"/>
    </row>
    <row r="1696" spans="2:14" x14ac:dyDescent="0.35">
      <c r="B1696" t="str">
        <f t="shared" si="1771"/>
        <v>SPS1</v>
      </c>
      <c r="C1696" t="str">
        <f t="shared" si="1772"/>
        <v>CH</v>
      </c>
      <c r="D1696" t="s">
        <v>1707</v>
      </c>
      <c r="E1696" t="str">
        <f t="shared" si="1773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[1]Summary!F58</f>
        <v>4.915532990166211</v>
      </c>
      <c r="K1696" s="1">
        <f>[1]Summary!G58</f>
        <v>3.395603932073969</v>
      </c>
      <c r="L1696" s="1">
        <f>[1]Summary!H58</f>
        <v>8.7166895647563004E-5</v>
      </c>
      <c r="N1696" s="1"/>
    </row>
    <row r="1697" spans="2:14" x14ac:dyDescent="0.35">
      <c r="B1697" t="str">
        <f t="shared" si="1771"/>
        <v>SPS1</v>
      </c>
      <c r="C1697" t="str">
        <f t="shared" si="1772"/>
        <v>CH</v>
      </c>
      <c r="D1697" t="s">
        <v>1708</v>
      </c>
      <c r="E1697" t="str">
        <f t="shared" si="1773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5.1786195104832879</v>
      </c>
      <c r="N1697" s="1"/>
    </row>
    <row r="1698" spans="2:14" x14ac:dyDescent="0.35">
      <c r="B1698" t="str">
        <f t="shared" si="1771"/>
        <v>SPS1</v>
      </c>
      <c r="C1698" t="str">
        <f t="shared" si="1772"/>
        <v>CH</v>
      </c>
      <c r="D1698" t="s">
        <v>1709</v>
      </c>
      <c r="E1698" t="str">
        <f t="shared" si="1773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1.0704112467621498</v>
      </c>
      <c r="N1698" s="1"/>
    </row>
    <row r="1699" spans="2:14" x14ac:dyDescent="0.35">
      <c r="B1699" t="str">
        <f t="shared" si="1771"/>
        <v>SPS1</v>
      </c>
      <c r="C1699" t="str">
        <f t="shared" si="1772"/>
        <v>CH</v>
      </c>
      <c r="D1699" t="s">
        <v>1710</v>
      </c>
      <c r="E1699" t="str">
        <f t="shared" si="1773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N1699" s="1"/>
    </row>
    <row r="1700" spans="2:14" x14ac:dyDescent="0.35">
      <c r="B1700" t="str">
        <f t="shared" si="1771"/>
        <v>SPS1</v>
      </c>
      <c r="C1700" t="str">
        <f t="shared" si="1772"/>
        <v>CH</v>
      </c>
      <c r="D1700" t="s">
        <v>1711</v>
      </c>
      <c r="E1700" t="str">
        <f t="shared" si="1773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N1700" s="1"/>
    </row>
    <row r="1701" spans="2:14" x14ac:dyDescent="0.35">
      <c r="B1701" t="str">
        <f t="shared" si="1771"/>
        <v>SPS1</v>
      </c>
      <c r="C1701" t="str">
        <f t="shared" si="1772"/>
        <v>CH</v>
      </c>
      <c r="D1701" t="s">
        <v>1712</v>
      </c>
      <c r="E1701" t="str">
        <f t="shared" si="1773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1.5784930445532023E-5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76">SUM(G1703:G1705)</f>
        <v>0</v>
      </c>
      <c r="H1702" s="3">
        <f t="shared" si="1776"/>
        <v>0</v>
      </c>
      <c r="I1702" s="3">
        <f t="shared" si="1776"/>
        <v>0</v>
      </c>
      <c r="J1702" s="3">
        <f t="shared" si="1776"/>
        <v>0</v>
      </c>
      <c r="K1702" s="3">
        <f t="shared" si="1776"/>
        <v>0</v>
      </c>
      <c r="L1702" s="3">
        <f t="shared" ref="L1702" si="1777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N1703" s="1"/>
    </row>
    <row r="1704" spans="2:14" x14ac:dyDescent="0.35">
      <c r="B1704" t="str">
        <f t="shared" ref="B1704:B1705" si="1778">B1703</f>
        <v>SPS1</v>
      </c>
      <c r="C1704" t="str">
        <f t="shared" ref="C1704:C1705" si="1779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N1704" s="1"/>
    </row>
    <row r="1705" spans="2:14" x14ac:dyDescent="0.35">
      <c r="B1705" t="str">
        <f t="shared" si="1778"/>
        <v>SPS1</v>
      </c>
      <c r="C1705" t="str">
        <f t="shared" si="1779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N1705" s="1"/>
    </row>
    <row r="1706" spans="2:14" x14ac:dyDescent="0.35">
      <c r="B1706" s="2" t="str">
        <f t="shared" ref="B1706:C1711" si="1780">B1705</f>
        <v>SPS1</v>
      </c>
      <c r="C1706" s="2" t="str">
        <f t="shared" si="1780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0"/>
        <v>SPS1</v>
      </c>
      <c r="C1707" t="str">
        <f t="shared" si="1780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1">SUM(G1708:G1709)</f>
        <v>0</v>
      </c>
      <c r="H1707" s="1">
        <f t="shared" si="1781"/>
        <v>0</v>
      </c>
      <c r="I1707" s="1">
        <f t="shared" si="1781"/>
        <v>0</v>
      </c>
      <c r="J1707" s="1">
        <f t="shared" si="1781"/>
        <v>0</v>
      </c>
      <c r="K1707" s="1">
        <f t="shared" si="1781"/>
        <v>0</v>
      </c>
      <c r="L1707" s="1">
        <f t="shared" ref="L1707" si="1782">SUM(L1708:L1709)</f>
        <v>1.1497381059433356E-4</v>
      </c>
      <c r="N1707" s="1"/>
    </row>
    <row r="1708" spans="2:14" x14ac:dyDescent="0.35">
      <c r="B1708" t="str">
        <f t="shared" si="1780"/>
        <v>SPS1</v>
      </c>
      <c r="C1708" t="str">
        <f t="shared" si="1780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1.4364286705434166E-5</v>
      </c>
      <c r="N1708" s="1"/>
    </row>
    <row r="1709" spans="2:14" x14ac:dyDescent="0.35">
      <c r="B1709" t="str">
        <f t="shared" si="1780"/>
        <v>SPS1</v>
      </c>
      <c r="C1709" t="str">
        <f t="shared" si="1780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1.006095238888994E-4</v>
      </c>
      <c r="N1709" s="1"/>
    </row>
    <row r="1710" spans="2:14" x14ac:dyDescent="0.35">
      <c r="B1710" t="str">
        <f t="shared" si="1780"/>
        <v>SPS1</v>
      </c>
      <c r="C1710" t="str">
        <f t="shared" si="1780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3">G1701</f>
        <v>0</v>
      </c>
      <c r="H1710" s="1">
        <f t="shared" si="1783"/>
        <v>0</v>
      </c>
      <c r="I1710" s="1">
        <f t="shared" si="1783"/>
        <v>0</v>
      </c>
      <c r="J1710" s="1">
        <f t="shared" si="1783"/>
        <v>0</v>
      </c>
      <c r="K1710" s="1">
        <f t="shared" si="1783"/>
        <v>0</v>
      </c>
      <c r="L1710" s="1">
        <f t="shared" ref="L1710" si="1784">L1701</f>
        <v>1.5784930445532023E-5</v>
      </c>
      <c r="N1710" s="1"/>
    </row>
    <row r="1711" spans="2:14" x14ac:dyDescent="0.35">
      <c r="B1711" s="2" t="str">
        <f t="shared" si="1780"/>
        <v>SPS1</v>
      </c>
      <c r="C1711" s="2" t="str">
        <f t="shared" si="1780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85">SUM(G1712:G1713,G1730,G1739:G1740,G1741,G1742,G1747,G1750,,G1755:G1758,G1751)</f>
        <v>961.7925757747754</v>
      </c>
      <c r="H1711" s="3">
        <f t="shared" si="1785"/>
        <v>908.27532365117918</v>
      </c>
      <c r="I1711" s="3">
        <f t="shared" si="1785"/>
        <v>858.90533272457401</v>
      </c>
      <c r="J1711" s="3">
        <f t="shared" si="1785"/>
        <v>756.83993240406312</v>
      </c>
      <c r="K1711" s="3">
        <f t="shared" si="1785"/>
        <v>685.01288885186489</v>
      </c>
      <c r="L1711" s="3">
        <f t="shared" ref="L1711" si="1786">SUM(L1712:L1713,L1730,L1739:L1740,L1741,L1742,L1747,L1750,,L1755:L1758,L1751)</f>
        <v>580.06306656369043</v>
      </c>
      <c r="N1711" s="1"/>
    </row>
    <row r="1712" spans="2:14" x14ac:dyDescent="0.35">
      <c r="B1712" t="str">
        <f>B1711</f>
        <v>SPS1</v>
      </c>
      <c r="C1712" t="str">
        <f t="shared" ref="C1712" si="1787">C1711</f>
        <v>CH</v>
      </c>
      <c r="D1712" t="s">
        <v>1738</v>
      </c>
      <c r="E1712" t="str">
        <f>E1711</f>
        <v>PJ/yr.</v>
      </c>
      <c r="F1712" s="1">
        <f t="shared" ref="F1712:K1722" si="1788">F21</f>
        <v>3.6600301925056655</v>
      </c>
      <c r="G1712" s="1">
        <f t="shared" si="1788"/>
        <v>3.5647245036537694</v>
      </c>
      <c r="H1712" s="1">
        <f t="shared" si="1788"/>
        <v>1.015348537801664</v>
      </c>
      <c r="I1712" s="1">
        <f t="shared" si="1788"/>
        <v>4.4505442796075246E-4</v>
      </c>
      <c r="J1712" s="1">
        <f t="shared" si="1788"/>
        <v>1.1535659190434952E-3</v>
      </c>
      <c r="K1712" s="1">
        <f t="shared" si="1788"/>
        <v>3.3862827112816783E-5</v>
      </c>
      <c r="L1712" s="1">
        <f t="shared" ref="L1712" si="1789">L21</f>
        <v>4.4640298456509399E-4</v>
      </c>
      <c r="N1712" s="1"/>
    </row>
    <row r="1713" spans="2:14" x14ac:dyDescent="0.35">
      <c r="B1713" t="str">
        <f t="shared" ref="B1713:B1765" si="1790">B1712</f>
        <v>SPS1</v>
      </c>
      <c r="C1713" t="str">
        <f t="shared" ref="C1713:C1765" si="1791">C1712</f>
        <v>CH</v>
      </c>
      <c r="D1713" t="s">
        <v>1739</v>
      </c>
      <c r="E1713" t="str">
        <f t="shared" ref="E1713:E1741" si="1792">E1712</f>
        <v>PJ/yr.</v>
      </c>
      <c r="F1713" s="1">
        <f t="shared" si="1788"/>
        <v>311.9251512066121</v>
      </c>
      <c r="G1713" s="1">
        <f t="shared" si="1788"/>
        <v>288.66006589881744</v>
      </c>
      <c r="H1713" s="1">
        <f t="shared" si="1788"/>
        <v>261.49557346238208</v>
      </c>
      <c r="I1713" s="1">
        <f t="shared" si="1788"/>
        <v>184.10766878344154</v>
      </c>
      <c r="J1713" s="1">
        <f t="shared" si="1788"/>
        <v>116.27881890627926</v>
      </c>
      <c r="K1713" s="1">
        <f t="shared" si="1788"/>
        <v>91.075097205682511</v>
      </c>
      <c r="L1713" s="1">
        <f t="shared" ref="L1713" si="1793">L22</f>
        <v>64.210331617510121</v>
      </c>
      <c r="N1713" s="1"/>
    </row>
    <row r="1714" spans="2:14" x14ac:dyDescent="0.35">
      <c r="B1714" t="str">
        <f t="shared" si="1790"/>
        <v>SPS1</v>
      </c>
      <c r="C1714" t="str">
        <f t="shared" si="1791"/>
        <v>CH</v>
      </c>
      <c r="D1714" t="s">
        <v>1740</v>
      </c>
      <c r="E1714" t="str">
        <f t="shared" si="1792"/>
        <v>PJ/yr.</v>
      </c>
      <c r="F1714" s="1">
        <f t="shared" si="1788"/>
        <v>305.33184798729502</v>
      </c>
      <c r="G1714" s="1">
        <f t="shared" si="1788"/>
        <v>281.88343700152564</v>
      </c>
      <c r="H1714" s="1">
        <f t="shared" si="1788"/>
        <v>254.58843199973015</v>
      </c>
      <c r="I1714" s="1">
        <f t="shared" si="1788"/>
        <v>171.65599130129391</v>
      </c>
      <c r="J1714" s="1">
        <f t="shared" si="1788"/>
        <v>93.09389723766067</v>
      </c>
      <c r="K1714" s="1">
        <f t="shared" si="1788"/>
        <v>54.342555983323457</v>
      </c>
      <c r="L1714" s="1">
        <f t="shared" ref="L1714" si="1794">L23</f>
        <v>0</v>
      </c>
      <c r="N1714" s="1"/>
    </row>
    <row r="1715" spans="2:14" x14ac:dyDescent="0.35">
      <c r="B1715" t="str">
        <f t="shared" si="1790"/>
        <v>SPS1</v>
      </c>
      <c r="C1715" t="str">
        <f t="shared" si="1791"/>
        <v>CH</v>
      </c>
      <c r="D1715" t="s">
        <v>1741</v>
      </c>
      <c r="E1715" t="str">
        <f t="shared" si="1792"/>
        <v>PJ/yr.</v>
      </c>
      <c r="F1715" s="1">
        <f t="shared" si="1788"/>
        <v>101.77479041962813</v>
      </c>
      <c r="G1715" s="1">
        <f t="shared" si="1788"/>
        <v>88.214731466403308</v>
      </c>
      <c r="H1715" s="1">
        <f t="shared" si="1788"/>
        <v>85.424661713999356</v>
      </c>
      <c r="I1715" s="1">
        <f t="shared" si="1788"/>
        <v>41.482708882093839</v>
      </c>
      <c r="J1715" s="1">
        <f t="shared" si="1788"/>
        <v>26.207119588248101</v>
      </c>
      <c r="K1715" s="1">
        <f t="shared" si="1788"/>
        <v>8.0947184179825804</v>
      </c>
      <c r="L1715" s="1">
        <f t="shared" ref="L1715" si="1795">L24</f>
        <v>0</v>
      </c>
      <c r="N1715" s="1"/>
    </row>
    <row r="1716" spans="2:14" x14ac:dyDescent="0.35">
      <c r="B1716" t="str">
        <f t="shared" si="1790"/>
        <v>SPS1</v>
      </c>
      <c r="C1716" t="str">
        <f t="shared" si="1791"/>
        <v>CH</v>
      </c>
      <c r="D1716" t="s">
        <v>1742</v>
      </c>
      <c r="E1716" t="str">
        <f t="shared" si="1792"/>
        <v>PJ/yr.</v>
      </c>
      <c r="F1716" s="1">
        <f t="shared" si="1788"/>
        <v>2.7763812609812386</v>
      </c>
      <c r="G1716" s="1">
        <f t="shared" si="1788"/>
        <v>2.7644141004072029</v>
      </c>
      <c r="H1716" s="1">
        <f t="shared" si="1788"/>
        <v>6.1040016997173426E-3</v>
      </c>
      <c r="I1716" s="1">
        <f t="shared" si="1788"/>
        <v>5.7215508914488719E-4</v>
      </c>
      <c r="J1716" s="1">
        <f t="shared" si="1788"/>
        <v>1.4842473332170856E-3</v>
      </c>
      <c r="K1716" s="1">
        <f t="shared" si="1788"/>
        <v>3.80130664086212E-5</v>
      </c>
      <c r="L1716" s="1">
        <f t="shared" ref="L1716" si="1796">L25</f>
        <v>0</v>
      </c>
      <c r="N1716" s="1"/>
    </row>
    <row r="1717" spans="2:14" x14ac:dyDescent="0.35">
      <c r="B1717" t="str">
        <f t="shared" si="1790"/>
        <v>SPS1</v>
      </c>
      <c r="C1717" t="str">
        <f t="shared" si="1791"/>
        <v>CH</v>
      </c>
      <c r="D1717" t="s">
        <v>1743</v>
      </c>
      <c r="E1717" t="str">
        <f t="shared" si="1792"/>
        <v>PJ/yr.</v>
      </c>
      <c r="F1717" s="1">
        <f t="shared" si="1788"/>
        <v>122.16104762033362</v>
      </c>
      <c r="G1717" s="1">
        <f t="shared" si="1788"/>
        <v>112.68604527998711</v>
      </c>
      <c r="H1717" s="1">
        <f t="shared" si="1788"/>
        <v>97.37049135531646</v>
      </c>
      <c r="I1717" s="1">
        <f t="shared" si="1788"/>
        <v>69.421194260625285</v>
      </c>
      <c r="J1717" s="1">
        <f t="shared" si="1788"/>
        <v>38.714726224310986</v>
      </c>
      <c r="K1717" s="1">
        <f t="shared" si="1788"/>
        <v>34.565657336244008</v>
      </c>
      <c r="L1717" s="1">
        <f t="shared" ref="L1717" si="1797">L26</f>
        <v>0</v>
      </c>
      <c r="N1717" s="1"/>
    </row>
    <row r="1718" spans="2:14" x14ac:dyDescent="0.35">
      <c r="B1718" t="str">
        <f t="shared" si="1790"/>
        <v>SPS1</v>
      </c>
      <c r="C1718" t="str">
        <f t="shared" si="1791"/>
        <v>CH</v>
      </c>
      <c r="D1718" t="s">
        <v>1744</v>
      </c>
      <c r="E1718" t="str">
        <f t="shared" si="1792"/>
        <v>PJ/yr.</v>
      </c>
      <c r="F1718" s="1">
        <f t="shared" si="1788"/>
        <v>77.512763226318825</v>
      </c>
      <c r="G1718" s="1">
        <f t="shared" si="1788"/>
        <v>76.813041715937189</v>
      </c>
      <c r="H1718" s="1">
        <f t="shared" si="1788"/>
        <v>69.938593008278062</v>
      </c>
      <c r="I1718" s="1">
        <f t="shared" si="1788"/>
        <v>58.353187665012669</v>
      </c>
      <c r="J1718" s="1">
        <f t="shared" si="1788"/>
        <v>26.79383117201704</v>
      </c>
      <c r="K1718" s="1">
        <f t="shared" si="1788"/>
        <v>11.343525770092832</v>
      </c>
      <c r="L1718" s="1">
        <f t="shared" ref="L1718" si="1798">L27</f>
        <v>0</v>
      </c>
      <c r="N1718" s="1"/>
    </row>
    <row r="1719" spans="2:14" x14ac:dyDescent="0.35">
      <c r="B1719" t="str">
        <f t="shared" si="1790"/>
        <v>SPS1</v>
      </c>
      <c r="C1719" t="str">
        <f t="shared" si="1791"/>
        <v>CH</v>
      </c>
      <c r="D1719" t="s">
        <v>1745</v>
      </c>
      <c r="E1719" t="str">
        <f t="shared" si="1792"/>
        <v>PJ/yr.</v>
      </c>
      <c r="F1719" s="1">
        <f t="shared" si="1788"/>
        <v>1.1068654600332086</v>
      </c>
      <c r="G1719" s="1">
        <f t="shared" si="1788"/>
        <v>1.4052044387908236</v>
      </c>
      <c r="H1719" s="1">
        <f t="shared" si="1788"/>
        <v>1.8485819204365332</v>
      </c>
      <c r="I1719" s="1">
        <f t="shared" si="1788"/>
        <v>2.3983283384729965</v>
      </c>
      <c r="J1719" s="1">
        <f t="shared" si="1788"/>
        <v>1.3767360057513194</v>
      </c>
      <c r="K1719" s="1">
        <f t="shared" si="1788"/>
        <v>0.3386164459376283</v>
      </c>
      <c r="L1719" s="1">
        <f t="shared" ref="L1719" si="1799">L28</f>
        <v>0</v>
      </c>
      <c r="N1719" s="1"/>
    </row>
    <row r="1720" spans="2:14" x14ac:dyDescent="0.35">
      <c r="B1720" t="str">
        <f t="shared" si="1790"/>
        <v>SPS1</v>
      </c>
      <c r="C1720" t="str">
        <f t="shared" si="1791"/>
        <v>CH</v>
      </c>
      <c r="D1720" t="s">
        <v>1746</v>
      </c>
      <c r="E1720" t="str">
        <f t="shared" si="1792"/>
        <v>PJ/yr.</v>
      </c>
      <c r="F1720" s="1">
        <f t="shared" si="1788"/>
        <v>6.5933032193170895</v>
      </c>
      <c r="G1720" s="1">
        <f t="shared" si="1788"/>
        <v>6.7766288972917819</v>
      </c>
      <c r="H1720" s="1">
        <f t="shared" si="1788"/>
        <v>6.9071414626519552</v>
      </c>
      <c r="I1720" s="1">
        <f t="shared" si="1788"/>
        <v>12.45167748214763</v>
      </c>
      <c r="J1720" s="1">
        <f t="shared" si="1788"/>
        <v>23.184921668618582</v>
      </c>
      <c r="K1720" s="1">
        <f t="shared" si="1788"/>
        <v>36.73254122235906</v>
      </c>
      <c r="L1720" s="1">
        <f t="shared" ref="L1720" si="1800">L29</f>
        <v>64.210331617510121</v>
      </c>
      <c r="N1720" s="1"/>
    </row>
    <row r="1721" spans="2:14" x14ac:dyDescent="0.35">
      <c r="B1721" t="str">
        <f t="shared" si="1790"/>
        <v>SPS1</v>
      </c>
      <c r="C1721" t="str">
        <f t="shared" si="1791"/>
        <v>CH</v>
      </c>
      <c r="D1721" t="s">
        <v>1747</v>
      </c>
      <c r="E1721" t="str">
        <f t="shared" si="1792"/>
        <v>PJ/yr.</v>
      </c>
      <c r="F1721" s="1">
        <f t="shared" si="1788"/>
        <v>2.1566668421127706</v>
      </c>
      <c r="G1721" s="1">
        <f t="shared" si="1788"/>
        <v>2.3779981698109096</v>
      </c>
      <c r="H1721" s="1">
        <f t="shared" si="1788"/>
        <v>1.9625688087491817</v>
      </c>
      <c r="I1721" s="1">
        <f t="shared" si="1788"/>
        <v>3.8501566554391911</v>
      </c>
      <c r="J1721" s="1">
        <f t="shared" si="1788"/>
        <v>2.8760187432177275</v>
      </c>
      <c r="K1721" s="1">
        <f t="shared" si="1788"/>
        <v>2.2808302700088632</v>
      </c>
      <c r="L1721" s="1">
        <f t="shared" ref="L1721" si="1801">L30</f>
        <v>6.7891171778129475</v>
      </c>
      <c r="N1721" s="1"/>
    </row>
    <row r="1722" spans="2:14" x14ac:dyDescent="0.35">
      <c r="B1722" t="str">
        <f t="shared" si="1790"/>
        <v>SPS1</v>
      </c>
      <c r="C1722" t="str">
        <f t="shared" si="1791"/>
        <v>CH</v>
      </c>
      <c r="D1722" t="s">
        <v>1748</v>
      </c>
      <c r="E1722" t="str">
        <f t="shared" si="1792"/>
        <v>PJ/yr.</v>
      </c>
      <c r="F1722" s="1">
        <f t="shared" si="1788"/>
        <v>4.4341521069386314</v>
      </c>
      <c r="G1722" s="1">
        <f t="shared" si="1788"/>
        <v>4.3986159584710576</v>
      </c>
      <c r="H1722" s="1">
        <f t="shared" si="1788"/>
        <v>4.9442003537906754</v>
      </c>
      <c r="I1722" s="1">
        <f t="shared" si="1788"/>
        <v>3.3548132441385157</v>
      </c>
      <c r="J1722" s="1">
        <f t="shared" si="1788"/>
        <v>2.2955106006614416</v>
      </c>
      <c r="K1722" s="1">
        <f t="shared" si="1788"/>
        <v>4.4117773816206203</v>
      </c>
      <c r="L1722" s="1">
        <f t="shared" ref="L1722" si="1802">L31</f>
        <v>0</v>
      </c>
      <c r="N1722" s="1"/>
    </row>
    <row r="1723" spans="2:14" x14ac:dyDescent="0.35">
      <c r="B1723" t="str">
        <f t="shared" si="1790"/>
        <v>SPS1</v>
      </c>
      <c r="C1723" t="str">
        <f t="shared" si="1791"/>
        <v>CH</v>
      </c>
      <c r="D1723" t="s">
        <v>1749</v>
      </c>
      <c r="E1723" t="str">
        <f t="shared" si="1792"/>
        <v>PJ/yr.</v>
      </c>
      <c r="F1723" s="1">
        <f t="shared" ref="F1723:K1725" si="1803">F33</f>
        <v>6.5933032193170895</v>
      </c>
      <c r="G1723" s="1">
        <f t="shared" si="1803"/>
        <v>6.7766288972917819</v>
      </c>
      <c r="H1723" s="1">
        <f t="shared" si="1803"/>
        <v>6.9071414626519552</v>
      </c>
      <c r="I1723" s="1">
        <f t="shared" si="1803"/>
        <v>12.45167748214763</v>
      </c>
      <c r="J1723" s="1">
        <f t="shared" si="1803"/>
        <v>10.418236926449094</v>
      </c>
      <c r="K1723" s="1">
        <f t="shared" si="1803"/>
        <v>24.705999976368897</v>
      </c>
      <c r="L1723" s="1">
        <f t="shared" ref="L1723" si="1804">L33</f>
        <v>33.890090226168766</v>
      </c>
      <c r="N1723" s="1"/>
    </row>
    <row r="1724" spans="2:14" x14ac:dyDescent="0.35">
      <c r="B1724" t="str">
        <f t="shared" si="1790"/>
        <v>SPS1</v>
      </c>
      <c r="C1724" t="str">
        <f t="shared" si="1791"/>
        <v>CH</v>
      </c>
      <c r="D1724" t="s">
        <v>1750</v>
      </c>
      <c r="E1724" t="str">
        <f t="shared" si="1792"/>
        <v>PJ/yr.</v>
      </c>
      <c r="F1724" s="1">
        <f t="shared" si="1803"/>
        <v>2.1566668421127706</v>
      </c>
      <c r="G1724" s="1">
        <f t="shared" si="1803"/>
        <v>2.3779981698109096</v>
      </c>
      <c r="H1724" s="1">
        <f t="shared" si="1803"/>
        <v>1.9625688087491817</v>
      </c>
      <c r="I1724" s="1">
        <f t="shared" si="1803"/>
        <v>3.8501566554391911</v>
      </c>
      <c r="J1724" s="1">
        <f t="shared" si="1803"/>
        <v>2.8760187432177275</v>
      </c>
      <c r="K1724" s="1">
        <f t="shared" si="1803"/>
        <v>2.2808302700088632</v>
      </c>
      <c r="L1724" s="1">
        <f t="shared" ref="L1724" si="1805">L34</f>
        <v>3.8501566554391911</v>
      </c>
      <c r="N1724" s="1"/>
    </row>
    <row r="1725" spans="2:14" x14ac:dyDescent="0.35">
      <c r="B1725" t="str">
        <f t="shared" si="1790"/>
        <v>SPS1</v>
      </c>
      <c r="C1725" t="str">
        <f t="shared" si="1791"/>
        <v>CH</v>
      </c>
      <c r="D1725" t="s">
        <v>1751</v>
      </c>
      <c r="E1725" t="str">
        <f t="shared" si="1792"/>
        <v>PJ/yr.</v>
      </c>
      <c r="F1725" s="1">
        <f t="shared" si="1803"/>
        <v>4.4341521069386314</v>
      </c>
      <c r="G1725" s="1">
        <f t="shared" si="1803"/>
        <v>4.3986159584710576</v>
      </c>
      <c r="H1725" s="1">
        <f t="shared" si="1803"/>
        <v>4.9442003537906754</v>
      </c>
      <c r="I1725" s="1">
        <f t="shared" si="1803"/>
        <v>3.3548132441385157</v>
      </c>
      <c r="J1725" s="1">
        <f t="shared" si="1803"/>
        <v>2.2955106006614416</v>
      </c>
      <c r="K1725" s="1">
        <f t="shared" si="1803"/>
        <v>4.4117773816206203</v>
      </c>
      <c r="L1725" s="1">
        <f t="shared" ref="L1725" si="1806">L35</f>
        <v>0</v>
      </c>
      <c r="N1725" s="1"/>
    </row>
    <row r="1726" spans="2:14" x14ac:dyDescent="0.35">
      <c r="B1726" t="str">
        <f t="shared" si="1790"/>
        <v>SPS1</v>
      </c>
      <c r="C1726" t="str">
        <f t="shared" si="1791"/>
        <v>CH</v>
      </c>
      <c r="D1726" t="s">
        <v>1752</v>
      </c>
      <c r="E1726" t="str">
        <f t="shared" si="1792"/>
        <v>PJ/yr.</v>
      </c>
      <c r="F1726" s="1">
        <f t="shared" ref="F1726:K1739" si="1807">F37</f>
        <v>0</v>
      </c>
      <c r="G1726" s="1">
        <f t="shared" si="1807"/>
        <v>0</v>
      </c>
      <c r="H1726" s="1">
        <f t="shared" si="1807"/>
        <v>0</v>
      </c>
      <c r="I1726" s="1">
        <f t="shared" si="1807"/>
        <v>0</v>
      </c>
      <c r="J1726" s="1">
        <f t="shared" si="1807"/>
        <v>12.76668474216949</v>
      </c>
      <c r="K1726" s="1">
        <f t="shared" si="1807"/>
        <v>12.02654124599016</v>
      </c>
      <c r="L1726" s="1">
        <f t="shared" ref="L1726" si="1808">L37</f>
        <v>30.320241391341355</v>
      </c>
      <c r="N1726" s="1"/>
    </row>
    <row r="1727" spans="2:14" x14ac:dyDescent="0.35">
      <c r="B1727" t="str">
        <f t="shared" si="1790"/>
        <v>SPS1</v>
      </c>
      <c r="C1727" t="str">
        <f t="shared" si="1791"/>
        <v>CH</v>
      </c>
      <c r="D1727" t="s">
        <v>1753</v>
      </c>
      <c r="E1727" t="str">
        <f t="shared" si="1792"/>
        <v>PJ/yr.</v>
      </c>
      <c r="F1727" s="1">
        <f t="shared" si="1807"/>
        <v>0</v>
      </c>
      <c r="G1727" s="1">
        <f t="shared" si="1807"/>
        <v>0</v>
      </c>
      <c r="H1727" s="1">
        <f t="shared" si="1807"/>
        <v>0</v>
      </c>
      <c r="I1727" s="1">
        <f t="shared" si="1807"/>
        <v>0</v>
      </c>
      <c r="J1727" s="1">
        <f t="shared" si="1807"/>
        <v>0</v>
      </c>
      <c r="K1727" s="1">
        <f t="shared" si="1807"/>
        <v>0</v>
      </c>
      <c r="L1727" s="1">
        <f t="shared" ref="L1727" si="1809">L38</f>
        <v>2.9389605223737565</v>
      </c>
      <c r="N1727" s="1"/>
    </row>
    <row r="1728" spans="2:14" x14ac:dyDescent="0.35">
      <c r="B1728" t="str">
        <f t="shared" si="1790"/>
        <v>SPS1</v>
      </c>
      <c r="C1728" t="str">
        <f t="shared" si="1791"/>
        <v>CH</v>
      </c>
      <c r="D1728" t="s">
        <v>1754</v>
      </c>
      <c r="E1728" t="str">
        <f t="shared" si="1792"/>
        <v>PJ/yr.</v>
      </c>
      <c r="F1728" s="1">
        <f t="shared" si="1807"/>
        <v>0</v>
      </c>
      <c r="G1728" s="1">
        <f t="shared" si="1807"/>
        <v>0</v>
      </c>
      <c r="H1728" s="1">
        <f t="shared" si="1807"/>
        <v>0</v>
      </c>
      <c r="I1728" s="1">
        <f t="shared" si="1807"/>
        <v>0</v>
      </c>
      <c r="J1728" s="1">
        <f t="shared" si="1807"/>
        <v>0</v>
      </c>
      <c r="K1728" s="1">
        <f t="shared" si="1807"/>
        <v>0</v>
      </c>
      <c r="L1728" s="1">
        <f t="shared" ref="L1728" si="1810">L39</f>
        <v>0</v>
      </c>
      <c r="N1728" s="1"/>
    </row>
    <row r="1729" spans="2:14" x14ac:dyDescent="0.35">
      <c r="B1729" t="str">
        <f t="shared" si="1790"/>
        <v>SPS1</v>
      </c>
      <c r="C1729" t="str">
        <f t="shared" si="1791"/>
        <v>CH</v>
      </c>
      <c r="D1729" t="s">
        <v>1755</v>
      </c>
      <c r="E1729" t="str">
        <f t="shared" si="1792"/>
        <v>PJ/yr.</v>
      </c>
      <c r="F1729" s="1">
        <f t="shared" si="1807"/>
        <v>0</v>
      </c>
      <c r="G1729" s="1">
        <f t="shared" si="1807"/>
        <v>0</v>
      </c>
      <c r="H1729" s="1">
        <f t="shared" si="1807"/>
        <v>0</v>
      </c>
      <c r="I1729" s="1">
        <f t="shared" si="1807"/>
        <v>0</v>
      </c>
      <c r="J1729" s="1">
        <f t="shared" si="1807"/>
        <v>12.76668474216949</v>
      </c>
      <c r="K1729" s="1">
        <f t="shared" si="1807"/>
        <v>12.02654124599016</v>
      </c>
      <c r="L1729" s="1">
        <f t="shared" ref="L1729" si="1811">L40</f>
        <v>27.3812808689676</v>
      </c>
      <c r="N1729" s="1"/>
    </row>
    <row r="1730" spans="2:14" x14ac:dyDescent="0.35">
      <c r="B1730" t="str">
        <f t="shared" si="1790"/>
        <v>SPS1</v>
      </c>
      <c r="C1730" t="str">
        <f t="shared" si="1791"/>
        <v>CH</v>
      </c>
      <c r="D1730" t="s">
        <v>1756</v>
      </c>
      <c r="E1730" t="str">
        <f t="shared" si="1792"/>
        <v>PJ/yr.</v>
      </c>
      <c r="F1730" s="1">
        <f t="shared" si="1807"/>
        <v>117.19647199814379</v>
      </c>
      <c r="G1730" s="1">
        <f t="shared" si="1807"/>
        <v>107.23650955336298</v>
      </c>
      <c r="H1730" s="1">
        <f t="shared" si="1807"/>
        <v>105.06956777504824</v>
      </c>
      <c r="I1730" s="1">
        <f t="shared" si="1807"/>
        <v>84.076814439714809</v>
      </c>
      <c r="J1730" s="1">
        <f t="shared" si="1807"/>
        <v>56.640053860485359</v>
      </c>
      <c r="K1730" s="1">
        <f t="shared" si="1807"/>
        <v>29.771255713936107</v>
      </c>
      <c r="L1730" s="1">
        <f t="shared" ref="L1730" si="1812">L41</f>
        <v>17.359168415812341</v>
      </c>
      <c r="N1730" s="1"/>
    </row>
    <row r="1731" spans="2:14" x14ac:dyDescent="0.35">
      <c r="B1731" t="str">
        <f t="shared" si="1790"/>
        <v>SPS1</v>
      </c>
      <c r="C1731" t="str">
        <f t="shared" si="1791"/>
        <v>CH</v>
      </c>
      <c r="D1731" t="s">
        <v>1757</v>
      </c>
      <c r="E1731" t="str">
        <f t="shared" si="1792"/>
        <v>PJ/yr.</v>
      </c>
      <c r="F1731" s="1">
        <f t="shared" si="1807"/>
        <v>117.19647199814379</v>
      </c>
      <c r="G1731" s="1">
        <f t="shared" si="1807"/>
        <v>106.72000712196059</v>
      </c>
      <c r="H1731" s="1">
        <f t="shared" si="1807"/>
        <v>104.68092671429676</v>
      </c>
      <c r="I1731" s="1">
        <f t="shared" si="1807"/>
        <v>80.854602441500703</v>
      </c>
      <c r="J1731" s="1">
        <f t="shared" si="1807"/>
        <v>52.39219261221487</v>
      </c>
      <c r="K1731" s="1">
        <f t="shared" si="1807"/>
        <v>27.636155595933612</v>
      </c>
      <c r="L1731" s="1">
        <f t="shared" ref="L1731" si="1813">L42</f>
        <v>15.224610753669696</v>
      </c>
      <c r="N1731" s="1"/>
    </row>
    <row r="1732" spans="2:14" x14ac:dyDescent="0.35">
      <c r="B1732" t="str">
        <f t="shared" si="1790"/>
        <v>SPS1</v>
      </c>
      <c r="C1732" t="str">
        <f t="shared" si="1791"/>
        <v>CH</v>
      </c>
      <c r="D1732" t="s">
        <v>1758</v>
      </c>
      <c r="E1732" t="str">
        <f t="shared" si="1792"/>
        <v>PJ/yr.</v>
      </c>
      <c r="F1732" s="1">
        <f t="shared" si="1807"/>
        <v>117.19647199814379</v>
      </c>
      <c r="G1732" s="1">
        <f t="shared" si="1807"/>
        <v>106.72000712196059</v>
      </c>
      <c r="H1732" s="1">
        <f t="shared" si="1807"/>
        <v>104.68092671429676</v>
      </c>
      <c r="I1732" s="1">
        <f t="shared" si="1807"/>
        <v>80.85366590750165</v>
      </c>
      <c r="J1732" s="1">
        <f t="shared" si="1807"/>
        <v>52.3900413434664</v>
      </c>
      <c r="K1732" s="1">
        <f t="shared" si="1807"/>
        <v>27.635321779047906</v>
      </c>
      <c r="L1732" s="1">
        <f t="shared" ref="L1732" si="1814">L43</f>
        <v>15.223408557313753</v>
      </c>
      <c r="N1732" s="1"/>
    </row>
    <row r="1733" spans="2:14" x14ac:dyDescent="0.35">
      <c r="B1733" t="str">
        <f t="shared" si="1790"/>
        <v>SPS1</v>
      </c>
      <c r="C1733" t="str">
        <f t="shared" si="1791"/>
        <v>CH</v>
      </c>
      <c r="D1733" t="s">
        <v>1759</v>
      </c>
      <c r="E1733" t="str">
        <f t="shared" si="1792"/>
        <v>PJ/yr.</v>
      </c>
      <c r="F1733" s="1">
        <f t="shared" si="1807"/>
        <v>0</v>
      </c>
      <c r="G1733" s="1">
        <f t="shared" si="1807"/>
        <v>0</v>
      </c>
      <c r="H1733" s="1">
        <f t="shared" si="1807"/>
        <v>0</v>
      </c>
      <c r="I1733" s="1">
        <f t="shared" si="1807"/>
        <v>9.3653399905918903E-4</v>
      </c>
      <c r="J1733" s="1">
        <f t="shared" si="1807"/>
        <v>2.1512687484730687E-3</v>
      </c>
      <c r="K1733" s="1">
        <f t="shared" si="1807"/>
        <v>8.3381688570501858E-4</v>
      </c>
      <c r="L1733" s="1">
        <f t="shared" ref="L1733" si="1815">L44</f>
        <v>1.2021963559427301E-3</v>
      </c>
      <c r="N1733" s="1"/>
    </row>
    <row r="1734" spans="2:14" x14ac:dyDescent="0.35">
      <c r="B1734" t="str">
        <f t="shared" si="1790"/>
        <v>SPS1</v>
      </c>
      <c r="C1734" t="str">
        <f t="shared" si="1791"/>
        <v>CH</v>
      </c>
      <c r="D1734" t="s">
        <v>1760</v>
      </c>
      <c r="E1734" t="str">
        <f t="shared" si="1792"/>
        <v>PJ/yr.</v>
      </c>
      <c r="F1734" s="1">
        <f t="shared" si="1807"/>
        <v>0</v>
      </c>
      <c r="G1734" s="1">
        <f t="shared" si="1807"/>
        <v>0.51650243140238616</v>
      </c>
      <c r="H1734" s="1">
        <f t="shared" si="1807"/>
        <v>0.38864106075147814</v>
      </c>
      <c r="I1734" s="1">
        <f t="shared" si="1807"/>
        <v>3.2222119982141058</v>
      </c>
      <c r="J1734" s="1">
        <f t="shared" si="1807"/>
        <v>4.2478612482704907</v>
      </c>
      <c r="K1734" s="1">
        <f t="shared" si="1807"/>
        <v>2.1351001180024949</v>
      </c>
      <c r="L1734" s="1">
        <f t="shared" ref="L1734" si="1816">L45</f>
        <v>2.1345576621426461</v>
      </c>
      <c r="N1734" s="1"/>
    </row>
    <row r="1735" spans="2:14" x14ac:dyDescent="0.35">
      <c r="B1735" t="str">
        <f t="shared" si="1790"/>
        <v>SPS1</v>
      </c>
      <c r="C1735" t="str">
        <f t="shared" si="1791"/>
        <v>CH</v>
      </c>
      <c r="D1735" t="s">
        <v>1761</v>
      </c>
      <c r="E1735" t="str">
        <f t="shared" si="1792"/>
        <v>PJ/yr.</v>
      </c>
      <c r="F1735" s="1">
        <f t="shared" si="1807"/>
        <v>0</v>
      </c>
      <c r="G1735" s="1">
        <f t="shared" si="1807"/>
        <v>0.51650243140238616</v>
      </c>
      <c r="H1735" s="1">
        <f t="shared" si="1807"/>
        <v>0.38864106075147814</v>
      </c>
      <c r="I1735" s="1">
        <f t="shared" si="1807"/>
        <v>3.2222119982141058</v>
      </c>
      <c r="J1735" s="1">
        <f t="shared" si="1807"/>
        <v>3.2222119982141058</v>
      </c>
      <c r="K1735" s="1">
        <f t="shared" si="1807"/>
        <v>2.1351001180024949</v>
      </c>
      <c r="L1735" s="1">
        <f t="shared" ref="L1735" si="1817">L46</f>
        <v>2.1345576621426461</v>
      </c>
      <c r="N1735" s="1"/>
    </row>
    <row r="1736" spans="2:14" x14ac:dyDescent="0.35">
      <c r="B1736" t="str">
        <f t="shared" si="1790"/>
        <v>SPS1</v>
      </c>
      <c r="C1736" t="str">
        <f t="shared" si="1791"/>
        <v>CH</v>
      </c>
      <c r="D1736" t="s">
        <v>1762</v>
      </c>
      <c r="E1736" t="str">
        <f t="shared" si="1792"/>
        <v>PJ/yr.</v>
      </c>
      <c r="F1736" s="1">
        <f t="shared" si="1807"/>
        <v>0</v>
      </c>
      <c r="G1736" s="1">
        <f t="shared" si="1807"/>
        <v>0.51650243140238616</v>
      </c>
      <c r="H1736" s="1">
        <f t="shared" si="1807"/>
        <v>0.38864106075147814</v>
      </c>
      <c r="I1736" s="1">
        <f t="shared" si="1807"/>
        <v>3.2222119982141058</v>
      </c>
      <c r="J1736" s="1">
        <f t="shared" si="1807"/>
        <v>3.2222119982141058</v>
      </c>
      <c r="K1736" s="1">
        <f t="shared" si="1807"/>
        <v>2.1351001180024949</v>
      </c>
      <c r="L1736" s="1">
        <f t="shared" ref="L1736" si="1818">L47</f>
        <v>2.1345576621426461</v>
      </c>
      <c r="N1736" s="1"/>
    </row>
    <row r="1737" spans="2:14" x14ac:dyDescent="0.35">
      <c r="B1737" t="str">
        <f t="shared" si="1790"/>
        <v>SPS1</v>
      </c>
      <c r="C1737" t="str">
        <f t="shared" si="1791"/>
        <v>CH</v>
      </c>
      <c r="D1737" t="s">
        <v>1763</v>
      </c>
      <c r="E1737" t="str">
        <f t="shared" si="1792"/>
        <v>PJ/yr.</v>
      </c>
      <c r="F1737" s="1">
        <f t="shared" si="1807"/>
        <v>0</v>
      </c>
      <c r="G1737" s="1">
        <f t="shared" si="1807"/>
        <v>0</v>
      </c>
      <c r="H1737" s="1">
        <f t="shared" si="1807"/>
        <v>0</v>
      </c>
      <c r="I1737" s="1">
        <f t="shared" si="1807"/>
        <v>0</v>
      </c>
      <c r="J1737" s="1">
        <f t="shared" si="1807"/>
        <v>1.025649250056385</v>
      </c>
      <c r="K1737" s="1">
        <f t="shared" si="1807"/>
        <v>0</v>
      </c>
      <c r="L1737" s="1">
        <f t="shared" ref="L1737" si="1819">L48</f>
        <v>0</v>
      </c>
      <c r="N1737" s="1"/>
    </row>
    <row r="1738" spans="2:14" x14ac:dyDescent="0.35">
      <c r="B1738" t="str">
        <f t="shared" si="1790"/>
        <v>SPS1</v>
      </c>
      <c r="C1738" t="str">
        <f t="shared" si="1791"/>
        <v>CH</v>
      </c>
      <c r="D1738" t="s">
        <v>1764</v>
      </c>
      <c r="E1738" t="str">
        <f t="shared" si="1792"/>
        <v>PJ/yr.</v>
      </c>
      <c r="F1738" s="1">
        <f t="shared" si="1807"/>
        <v>0</v>
      </c>
      <c r="G1738" s="1">
        <f t="shared" si="1807"/>
        <v>0</v>
      </c>
      <c r="H1738" s="1">
        <f t="shared" si="1807"/>
        <v>0</v>
      </c>
      <c r="I1738" s="1">
        <f t="shared" si="1807"/>
        <v>0</v>
      </c>
      <c r="J1738" s="1">
        <f t="shared" si="1807"/>
        <v>1.025649250056385</v>
      </c>
      <c r="K1738" s="1">
        <f t="shared" si="1807"/>
        <v>0</v>
      </c>
      <c r="L1738" s="1">
        <f t="shared" ref="L1738" si="1820">L49</f>
        <v>0</v>
      </c>
      <c r="N1738" s="1"/>
    </row>
    <row r="1739" spans="2:14" x14ac:dyDescent="0.35">
      <c r="B1739" t="str">
        <f t="shared" si="1790"/>
        <v>SPS1</v>
      </c>
      <c r="C1739" t="str">
        <f t="shared" si="1791"/>
        <v>CH</v>
      </c>
      <c r="D1739" t="s">
        <v>1765</v>
      </c>
      <c r="E1739" t="str">
        <f t="shared" si="1792"/>
        <v>PJ/yr.</v>
      </c>
      <c r="F1739" s="1">
        <f t="shared" si="1807"/>
        <v>250.94820421254295</v>
      </c>
      <c r="G1739" s="1">
        <f t="shared" si="1807"/>
        <v>253.29988923882391</v>
      </c>
      <c r="H1739" s="1">
        <f t="shared" si="1807"/>
        <v>233.1760463712923</v>
      </c>
      <c r="I1739" s="1">
        <f t="shared" si="1807"/>
        <v>187.17906433080435</v>
      </c>
      <c r="J1739" s="1">
        <f t="shared" si="1807"/>
        <v>167.60150505187323</v>
      </c>
      <c r="K1739" s="1">
        <f t="shared" si="1807"/>
        <v>98.945494553568864</v>
      </c>
      <c r="L1739" s="1">
        <f t="shared" ref="L1739" si="1821">L50</f>
        <v>0</v>
      </c>
      <c r="N1739" s="1"/>
    </row>
    <row r="1740" spans="2:14" x14ac:dyDescent="0.35">
      <c r="B1740" t="str">
        <f t="shared" si="1790"/>
        <v>SPS1</v>
      </c>
      <c r="C1740" t="str">
        <f t="shared" si="1791"/>
        <v>CH</v>
      </c>
      <c r="D1740" t="s">
        <v>1766</v>
      </c>
      <c r="E1740" t="str">
        <f t="shared" si="1792"/>
        <v>PJ/yr.</v>
      </c>
      <c r="F1740" s="1">
        <f t="shared" ref="F1740:K1740" si="1822">-F58+F51</f>
        <v>-20.009996295823484</v>
      </c>
      <c r="G1740" s="1">
        <f t="shared" si="1822"/>
        <v>13.630024181984503</v>
      </c>
      <c r="H1740" s="1">
        <f t="shared" si="1822"/>
        <v>-25.271158294909448</v>
      </c>
      <c r="I1740" s="1">
        <f t="shared" si="1822"/>
        <v>2.711623849904754E-7</v>
      </c>
      <c r="J1740" s="1">
        <f t="shared" si="1822"/>
        <v>4.3299345707375352</v>
      </c>
      <c r="K1740" s="1">
        <f t="shared" si="1822"/>
        <v>15.493706587217265</v>
      </c>
      <c r="L1740" s="1">
        <f t="shared" ref="L1740" si="1823">-L58+L51</f>
        <v>13.650792304331432</v>
      </c>
      <c r="N1740" s="1"/>
    </row>
    <row r="1741" spans="2:14" x14ac:dyDescent="0.35">
      <c r="B1741" t="str">
        <f t="shared" si="1790"/>
        <v>SPS1</v>
      </c>
      <c r="C1741" t="str">
        <f t="shared" si="1791"/>
        <v>CH</v>
      </c>
      <c r="D1741" t="s">
        <v>1767</v>
      </c>
      <c r="E1741" t="str">
        <f t="shared" si="1792"/>
        <v>PJ/yr.</v>
      </c>
      <c r="F1741" s="1">
        <f t="shared" ref="F1741:K1741" si="1824">F56</f>
        <v>0</v>
      </c>
      <c r="G1741" s="1">
        <f t="shared" si="1824"/>
        <v>0</v>
      </c>
      <c r="H1741" s="1">
        <f t="shared" si="1824"/>
        <v>0</v>
      </c>
      <c r="I1741" s="1">
        <f t="shared" si="1824"/>
        <v>0</v>
      </c>
      <c r="J1741" s="1">
        <f t="shared" si="1824"/>
        <v>0</v>
      </c>
      <c r="K1741" s="1">
        <f t="shared" si="1824"/>
        <v>0</v>
      </c>
      <c r="L1741" s="1">
        <f t="shared" ref="L1741" si="1825">L56</f>
        <v>0</v>
      </c>
      <c r="N1741" s="1"/>
    </row>
    <row r="1742" spans="2:14" x14ac:dyDescent="0.35">
      <c r="B1742" t="str">
        <f t="shared" si="1790"/>
        <v>SPS1</v>
      </c>
      <c r="C1742" t="str">
        <f t="shared" si="1791"/>
        <v>CH</v>
      </c>
      <c r="D1742" t="s">
        <v>1769</v>
      </c>
      <c r="E1742" t="str">
        <f t="shared" ref="E1742:K1751" si="1826">E3</f>
        <v>PJ/yr.</v>
      </c>
      <c r="F1742" s="1">
        <f t="shared" si="1826"/>
        <v>44.972461591864374</v>
      </c>
      <c r="G1742" s="1">
        <f t="shared" si="1826"/>
        <v>47.710014930490367</v>
      </c>
      <c r="H1742" s="1">
        <f t="shared" si="1826"/>
        <v>47.710008604701798</v>
      </c>
      <c r="I1742" s="1">
        <f t="shared" si="1826"/>
        <v>47.710006574565298</v>
      </c>
      <c r="J1742" s="1">
        <f t="shared" si="1826"/>
        <v>47.710008800393581</v>
      </c>
      <c r="K1742" s="1">
        <f t="shared" si="1826"/>
        <v>47.710007919799537</v>
      </c>
      <c r="L1742" s="1">
        <f t="shared" ref="L1742" si="1827">L3</f>
        <v>47.71001312910002</v>
      </c>
      <c r="N1742" s="1"/>
    </row>
    <row r="1743" spans="2:14" x14ac:dyDescent="0.35">
      <c r="B1743" t="str">
        <f t="shared" si="1790"/>
        <v>SPS1</v>
      </c>
      <c r="C1743" t="str">
        <f t="shared" si="1791"/>
        <v>CH</v>
      </c>
      <c r="D1743" t="s">
        <v>1770</v>
      </c>
      <c r="E1743" t="str">
        <f t="shared" si="1826"/>
        <v>PJ/yr.</v>
      </c>
      <c r="F1743" s="1">
        <f t="shared" si="1826"/>
        <v>11.111883612464171</v>
      </c>
      <c r="G1743" s="1">
        <f t="shared" si="1826"/>
        <v>11.952883870571489</v>
      </c>
      <c r="H1743" s="1">
        <f t="shared" si="1826"/>
        <v>13.214391579020344</v>
      </c>
      <c r="I1743" s="1">
        <f t="shared" si="1826"/>
        <v>15.316909749719466</v>
      </c>
      <c r="J1743" s="1">
        <f t="shared" si="1826"/>
        <v>15.849135732873483</v>
      </c>
      <c r="K1743" s="1">
        <f t="shared" si="1826"/>
        <v>16.266394093671817</v>
      </c>
      <c r="L1743" s="1">
        <f t="shared" ref="L1743" si="1828">L4</f>
        <v>16.956994922867857</v>
      </c>
      <c r="N1743" s="1"/>
    </row>
    <row r="1744" spans="2:14" x14ac:dyDescent="0.35">
      <c r="B1744" t="str">
        <f t="shared" si="1790"/>
        <v>SPS1</v>
      </c>
      <c r="C1744" t="str">
        <f t="shared" si="1791"/>
        <v>CH</v>
      </c>
      <c r="D1744" t="s">
        <v>1771</v>
      </c>
      <c r="E1744" t="str">
        <f t="shared" si="1826"/>
        <v>PJ/yr.</v>
      </c>
      <c r="F1744" s="1">
        <f t="shared" si="1826"/>
        <v>7.5116767340058983</v>
      </c>
      <c r="G1744" s="1">
        <f t="shared" si="1826"/>
        <v>7.5431417483062084</v>
      </c>
      <c r="H1744" s="1">
        <f t="shared" si="1826"/>
        <v>7.5903467656905947</v>
      </c>
      <c r="I1744" s="1">
        <f t="shared" si="1826"/>
        <v>7.6690270709706336</v>
      </c>
      <c r="J1744" s="1">
        <f t="shared" si="1826"/>
        <v>7.6690246858529774</v>
      </c>
      <c r="K1744" s="1">
        <f t="shared" si="1826"/>
        <v>7.6690258810768253</v>
      </c>
      <c r="L1744" s="1">
        <f t="shared" ref="L1744" si="1829">L5</f>
        <v>7.6690284365955339</v>
      </c>
      <c r="N1744" s="1"/>
    </row>
    <row r="1745" spans="2:14" x14ac:dyDescent="0.35">
      <c r="B1745" t="str">
        <f t="shared" si="1790"/>
        <v>SPS1</v>
      </c>
      <c r="C1745" t="str">
        <f t="shared" si="1791"/>
        <v>CH</v>
      </c>
      <c r="D1745" t="s">
        <v>1772</v>
      </c>
      <c r="E1745" t="str">
        <f t="shared" si="1826"/>
        <v>PJ/yr.</v>
      </c>
      <c r="F1745" s="1">
        <f t="shared" si="1826"/>
        <v>3.1682506306825062</v>
      </c>
      <c r="G1745" s="1">
        <f t="shared" si="1826"/>
        <v>3.4956722364813468</v>
      </c>
      <c r="H1745" s="1">
        <f t="shared" si="1826"/>
        <v>3.9868128606010207</v>
      </c>
      <c r="I1745" s="1">
        <f t="shared" si="1826"/>
        <v>4.8053859017374396</v>
      </c>
      <c r="J1745" s="1">
        <f t="shared" si="1826"/>
        <v>4.8053827120180399</v>
      </c>
      <c r="K1745" s="1">
        <f t="shared" si="1826"/>
        <v>4.8053842914062042</v>
      </c>
      <c r="L1745" s="1">
        <f t="shared" ref="L1745" si="1830">L6</f>
        <v>4.8053873011821269</v>
      </c>
      <c r="N1745" s="1"/>
    </row>
    <row r="1746" spans="2:14" x14ac:dyDescent="0.35">
      <c r="B1746" t="str">
        <f t="shared" si="1790"/>
        <v>SPS1</v>
      </c>
      <c r="C1746" t="str">
        <f t="shared" si="1791"/>
        <v>CH</v>
      </c>
      <c r="D1746" t="s">
        <v>1773</v>
      </c>
      <c r="E1746" t="str">
        <f t="shared" si="1826"/>
        <v>PJ/yr.</v>
      </c>
      <c r="F1746" s="1">
        <f t="shared" si="1826"/>
        <v>23.180650614711801</v>
      </c>
      <c r="G1746" s="1">
        <f t="shared" si="1826"/>
        <v>24.718317075131324</v>
      </c>
      <c r="H1746" s="1">
        <f t="shared" si="1826"/>
        <v>22.918457399389837</v>
      </c>
      <c r="I1746" s="1">
        <f t="shared" si="1826"/>
        <v>19.918683852137761</v>
      </c>
      <c r="J1746" s="1">
        <f t="shared" si="1826"/>
        <v>19.38646566964908</v>
      </c>
      <c r="K1746" s="1">
        <f t="shared" si="1826"/>
        <v>18.969203653644687</v>
      </c>
      <c r="L1746" s="1">
        <f t="shared" ref="L1746" si="1831">L7</f>
        <v>18.278602468454505</v>
      </c>
      <c r="N1746" s="1"/>
    </row>
    <row r="1747" spans="2:14" x14ac:dyDescent="0.35">
      <c r="B1747" t="str">
        <f t="shared" si="1790"/>
        <v>SPS1</v>
      </c>
      <c r="C1747" t="str">
        <f t="shared" si="1791"/>
        <v>CH</v>
      </c>
      <c r="D1747" t="s">
        <v>1774</v>
      </c>
      <c r="E1747" t="str">
        <f t="shared" si="1826"/>
        <v>PJ/yr.</v>
      </c>
      <c r="F1747" s="1">
        <f t="shared" si="1826"/>
        <v>70.031550156482695</v>
      </c>
      <c r="G1747" s="1">
        <f t="shared" si="1826"/>
        <v>70.696993377344256</v>
      </c>
      <c r="H1747" s="1">
        <f t="shared" si="1826"/>
        <v>70.304051128228977</v>
      </c>
      <c r="I1747" s="1">
        <f t="shared" si="1826"/>
        <v>70.761667088324273</v>
      </c>
      <c r="J1747" s="1">
        <f t="shared" si="1826"/>
        <v>72.060311257488493</v>
      </c>
      <c r="K1747" s="1">
        <f t="shared" si="1826"/>
        <v>74.178221169183757</v>
      </c>
      <c r="L1747" s="1">
        <f t="shared" ref="L1747" si="1832">L8</f>
        <v>78.171004826056333</v>
      </c>
      <c r="N1747" s="1"/>
    </row>
    <row r="1748" spans="2:14" x14ac:dyDescent="0.35">
      <c r="B1748" t="str">
        <f t="shared" si="1790"/>
        <v>SPS1</v>
      </c>
      <c r="C1748" t="str">
        <f t="shared" si="1791"/>
        <v>CH</v>
      </c>
      <c r="D1748" t="s">
        <v>1775</v>
      </c>
      <c r="E1748" t="str">
        <f t="shared" si="1826"/>
        <v>PJ/yr.</v>
      </c>
      <c r="F1748" s="1">
        <f t="shared" si="1826"/>
        <v>35.931102390996308</v>
      </c>
      <c r="G1748" s="1">
        <f t="shared" si="1826"/>
        <v>35.882392031879647</v>
      </c>
      <c r="H1748" s="1">
        <f t="shared" si="1826"/>
        <v>35.489435266881891</v>
      </c>
      <c r="I1748" s="1">
        <f t="shared" si="1826"/>
        <v>35.039963709971552</v>
      </c>
      <c r="J1748" s="1">
        <f t="shared" si="1826"/>
        <v>34.93760162948027</v>
      </c>
      <c r="K1748" s="1">
        <f t="shared" si="1826"/>
        <v>35.159448732412471</v>
      </c>
      <c r="L1748" s="1">
        <f t="shared" ref="L1748" si="1833">L9</f>
        <v>35.852898963112906</v>
      </c>
      <c r="N1748" s="1"/>
    </row>
    <row r="1749" spans="2:14" x14ac:dyDescent="0.35">
      <c r="B1749" t="str">
        <f t="shared" si="1790"/>
        <v>SPS1</v>
      </c>
      <c r="C1749" t="str">
        <f t="shared" si="1791"/>
        <v>CH</v>
      </c>
      <c r="D1749" t="s">
        <v>1776</v>
      </c>
      <c r="E1749" t="str">
        <f t="shared" si="1826"/>
        <v>PJ/yr.</v>
      </c>
      <c r="F1749" s="1">
        <f t="shared" si="1826"/>
        <v>34.100447765486386</v>
      </c>
      <c r="G1749" s="1">
        <f t="shared" si="1826"/>
        <v>34.814601345464617</v>
      </c>
      <c r="H1749" s="1">
        <f t="shared" si="1826"/>
        <v>34.814615861347086</v>
      </c>
      <c r="I1749" s="1">
        <f t="shared" si="1826"/>
        <v>35.721703378352721</v>
      </c>
      <c r="J1749" s="1">
        <f t="shared" si="1826"/>
        <v>37.122709628008224</v>
      </c>
      <c r="K1749" s="1">
        <f t="shared" si="1826"/>
        <v>39.018772436771279</v>
      </c>
      <c r="L1749" s="1">
        <f t="shared" ref="L1749" si="1834">L10</f>
        <v>42.318105862943426</v>
      </c>
      <c r="N1749" s="1"/>
    </row>
    <row r="1750" spans="2:14" x14ac:dyDescent="0.35">
      <c r="B1750" t="str">
        <f t="shared" si="1790"/>
        <v>SPS1</v>
      </c>
      <c r="C1750" t="str">
        <f t="shared" si="1791"/>
        <v>CH</v>
      </c>
      <c r="D1750" t="s">
        <v>1777</v>
      </c>
      <c r="E1750" t="str">
        <f t="shared" si="1826"/>
        <v>PJ/yr.</v>
      </c>
      <c r="F1750" s="1">
        <f t="shared" si="1826"/>
        <v>3.7980976375255682</v>
      </c>
      <c r="G1750" s="1">
        <f t="shared" si="1826"/>
        <v>12.540437081035764</v>
      </c>
      <c r="H1750" s="1">
        <f t="shared" si="1826"/>
        <v>12.540437578469644</v>
      </c>
      <c r="I1750" s="1">
        <f t="shared" si="1826"/>
        <v>12.540432358427442</v>
      </c>
      <c r="J1750" s="1">
        <f t="shared" si="1826"/>
        <v>12.540439512048358</v>
      </c>
      <c r="K1750" s="1">
        <f t="shared" si="1826"/>
        <v>16.962819166944538</v>
      </c>
      <c r="L1750" s="1">
        <f t="shared" ref="L1750" si="1835">L11</f>
        <v>22.180614445703981</v>
      </c>
      <c r="N1750" s="1"/>
    </row>
    <row r="1751" spans="2:14" x14ac:dyDescent="0.35">
      <c r="B1751" t="str">
        <f t="shared" si="1790"/>
        <v>SPS1</v>
      </c>
      <c r="C1751" t="str">
        <f t="shared" si="1791"/>
        <v>CH</v>
      </c>
      <c r="D1751" t="s">
        <v>1778</v>
      </c>
      <c r="E1751" t="str">
        <f t="shared" si="1826"/>
        <v>PJ/yr.</v>
      </c>
      <c r="F1751" s="1">
        <f t="shared" si="1826"/>
        <v>149.43048821932658</v>
      </c>
      <c r="G1751" s="1">
        <f t="shared" si="1826"/>
        <v>125.60779835461643</v>
      </c>
      <c r="H1751" s="1">
        <f t="shared" si="1826"/>
        <v>137.24453937980664</v>
      </c>
      <c r="I1751" s="1">
        <f t="shared" si="1826"/>
        <v>178.65652776019766</v>
      </c>
      <c r="J1751" s="1">
        <f t="shared" si="1826"/>
        <v>151.92336608352662</v>
      </c>
      <c r="K1751" s="1">
        <f t="shared" si="1826"/>
        <v>152.16086087397204</v>
      </c>
      <c r="L1751" s="1">
        <f t="shared" ref="L1751" si="1836">L12</f>
        <v>152.52842564430136</v>
      </c>
      <c r="N1751" s="1"/>
    </row>
    <row r="1752" spans="2:14" x14ac:dyDescent="0.35">
      <c r="B1752" t="str">
        <f t="shared" si="1790"/>
        <v>SPS1</v>
      </c>
      <c r="C1752" t="str">
        <f t="shared" si="1791"/>
        <v>CH</v>
      </c>
      <c r="D1752" t="s">
        <v>1779</v>
      </c>
      <c r="E1752" t="str">
        <f t="shared" ref="E1752:K1758" si="1837">E13</f>
        <v>PJ/yr.</v>
      </c>
      <c r="F1752" s="1">
        <f t="shared" si="1837"/>
        <v>66.745680187895957</v>
      </c>
      <c r="G1752" s="1">
        <f t="shared" si="1837"/>
        <v>49.798797958533733</v>
      </c>
      <c r="H1752" s="1">
        <f t="shared" si="1837"/>
        <v>69.082959718964602</v>
      </c>
      <c r="I1752" s="1">
        <f t="shared" si="1837"/>
        <v>69.713682638439238</v>
      </c>
      <c r="J1752" s="1">
        <f t="shared" si="1837"/>
        <v>72.138715427381754</v>
      </c>
      <c r="K1752" s="1">
        <f t="shared" si="1837"/>
        <v>72.144661683375418</v>
      </c>
      <c r="L1752" s="1">
        <f t="shared" ref="L1752" si="1838">L13</f>
        <v>68.851731887437211</v>
      </c>
      <c r="N1752" s="1"/>
    </row>
    <row r="1753" spans="2:14" x14ac:dyDescent="0.35">
      <c r="B1753" t="str">
        <f t="shared" si="1790"/>
        <v>SPS1</v>
      </c>
      <c r="C1753" t="str">
        <f t="shared" si="1791"/>
        <v>CH</v>
      </c>
      <c r="D1753" t="s">
        <v>1780</v>
      </c>
      <c r="E1753" t="str">
        <f t="shared" si="1837"/>
        <v>PJ/yr.</v>
      </c>
      <c r="F1753" s="1">
        <f t="shared" si="1837"/>
        <v>66.632402849791305</v>
      </c>
      <c r="G1753" s="1">
        <f t="shared" si="1837"/>
        <v>55.763999829976299</v>
      </c>
      <c r="H1753" s="1">
        <f t="shared" si="1837"/>
        <v>65.56163759729597</v>
      </c>
      <c r="I1753" s="1">
        <f t="shared" si="1837"/>
        <v>64.930930936670293</v>
      </c>
      <c r="J1753" s="1">
        <f t="shared" si="1837"/>
        <v>63.847364707117038</v>
      </c>
      <c r="K1753" s="1">
        <f t="shared" si="1837"/>
        <v>63.841746569486027</v>
      </c>
      <c r="L1753" s="1">
        <f t="shared" ref="L1753" si="1839">L14</f>
        <v>67.134678889880689</v>
      </c>
      <c r="N1753" s="1"/>
    </row>
    <row r="1754" spans="2:14" x14ac:dyDescent="0.35">
      <c r="B1754" t="str">
        <f t="shared" si="1790"/>
        <v>SPS1</v>
      </c>
      <c r="C1754" t="str">
        <f t="shared" si="1791"/>
        <v>CH</v>
      </c>
      <c r="D1754" t="s">
        <v>1781</v>
      </c>
      <c r="E1754" t="str">
        <f t="shared" si="1837"/>
        <v>PJ/yr.</v>
      </c>
      <c r="F1754" s="1">
        <f t="shared" si="1837"/>
        <v>16.05240518163934</v>
      </c>
      <c r="G1754" s="1">
        <f t="shared" si="1837"/>
        <v>20.045000566106399</v>
      </c>
      <c r="H1754" s="1">
        <f t="shared" si="1837"/>
        <v>2.5999420635460826</v>
      </c>
      <c r="I1754" s="1">
        <f t="shared" si="1837"/>
        <v>44.011914185088131</v>
      </c>
      <c r="J1754" s="1">
        <f t="shared" si="1837"/>
        <v>15.93728594902783</v>
      </c>
      <c r="K1754" s="1">
        <f t="shared" si="1837"/>
        <v>16.174452621110593</v>
      </c>
      <c r="L1754" s="1">
        <f t="shared" ref="L1754" si="1840">L15</f>
        <v>16.542014866983465</v>
      </c>
      <c r="N1754" s="1"/>
    </row>
    <row r="1755" spans="2:14" x14ac:dyDescent="0.35">
      <c r="B1755" t="str">
        <f t="shared" si="1790"/>
        <v>SPS1</v>
      </c>
      <c r="C1755" t="str">
        <f t="shared" si="1791"/>
        <v>CH</v>
      </c>
      <c r="D1755" t="s">
        <v>1782</v>
      </c>
      <c r="E1755" t="str">
        <f t="shared" si="1837"/>
        <v>PJ/yr.</v>
      </c>
      <c r="F1755" s="1">
        <f t="shared" si="1837"/>
        <v>12.556480224862469</v>
      </c>
      <c r="G1755" s="1">
        <f t="shared" si="1837"/>
        <v>16.522288790907528</v>
      </c>
      <c r="H1755" s="1">
        <f t="shared" si="1837"/>
        <v>30.505487253586391</v>
      </c>
      <c r="I1755" s="1">
        <f t="shared" si="1837"/>
        <v>33.952978007595654</v>
      </c>
      <c r="J1755" s="1">
        <f t="shared" si="1837"/>
        <v>52.986078390124369</v>
      </c>
      <c r="K1755" s="1">
        <f t="shared" si="1837"/>
        <v>67.483187107516756</v>
      </c>
      <c r="L1755" s="1">
        <f t="shared" ref="L1755" si="1841">L16</f>
        <v>94.006893980840331</v>
      </c>
      <c r="N1755" s="1"/>
    </row>
    <row r="1756" spans="2:14" x14ac:dyDescent="0.35">
      <c r="B1756" t="str">
        <f t="shared" si="1790"/>
        <v>SPS1</v>
      </c>
      <c r="C1756" t="str">
        <f t="shared" si="1791"/>
        <v>CH</v>
      </c>
      <c r="D1756" t="s">
        <v>1783</v>
      </c>
      <c r="E1756" t="str">
        <f t="shared" si="1837"/>
        <v>PJ/yr.</v>
      </c>
      <c r="F1756" s="1">
        <f t="shared" si="1837"/>
        <v>0.52401835247362338</v>
      </c>
      <c r="G1756" s="1">
        <f t="shared" si="1837"/>
        <v>0.54529499845466467</v>
      </c>
      <c r="H1756" s="1">
        <f t="shared" si="1837"/>
        <v>0.50316759802165822</v>
      </c>
      <c r="I1756" s="1">
        <f t="shared" si="1837"/>
        <v>1.6453522125012729</v>
      </c>
      <c r="J1756" s="1">
        <f t="shared" si="1837"/>
        <v>2.9171696115772812</v>
      </c>
      <c r="K1756" s="1">
        <f t="shared" si="1837"/>
        <v>5.7748074247483627</v>
      </c>
      <c r="L1756" s="1">
        <f t="shared" ref="L1756" si="1842">L17</f>
        <v>6.1200153056855848</v>
      </c>
      <c r="N1756" s="1"/>
    </row>
    <row r="1757" spans="2:14" x14ac:dyDescent="0.35">
      <c r="B1757" t="str">
        <f t="shared" si="1790"/>
        <v>SPS1</v>
      </c>
      <c r="C1757" t="str">
        <f t="shared" si="1791"/>
        <v>CH</v>
      </c>
      <c r="D1757" t="s">
        <v>1784</v>
      </c>
      <c r="E1757" t="str">
        <f t="shared" si="1837"/>
        <v>PJ/yr.</v>
      </c>
      <c r="F1757" s="1">
        <f t="shared" si="1837"/>
        <v>18.873117222715901</v>
      </c>
      <c r="G1757" s="1">
        <f t="shared" si="1837"/>
        <v>21.778534865283806</v>
      </c>
      <c r="H1757" s="1">
        <f t="shared" si="1837"/>
        <v>33.982254256749307</v>
      </c>
      <c r="I1757" s="1">
        <f t="shared" si="1837"/>
        <v>58.274375843411519</v>
      </c>
      <c r="J1757" s="1">
        <f t="shared" si="1837"/>
        <v>71.851092793610022</v>
      </c>
      <c r="K1757" s="1">
        <f t="shared" si="1837"/>
        <v>85.457397266467936</v>
      </c>
      <c r="L1757" s="1">
        <f t="shared" ref="L1757" si="1843">L18</f>
        <v>84.125360491364447</v>
      </c>
      <c r="N1757" s="1"/>
    </row>
    <row r="1758" spans="2:14" x14ac:dyDescent="0.35">
      <c r="B1758" t="str">
        <f t="shared" si="1790"/>
        <v>SPS1</v>
      </c>
      <c r="C1758" t="str">
        <f t="shared" si="1791"/>
        <v>CH</v>
      </c>
      <c r="D1758" t="s">
        <v>1785</v>
      </c>
      <c r="E1758" t="str">
        <f t="shared" si="1837"/>
        <v>PJ/yr.</v>
      </c>
      <c r="F1758" s="1">
        <f t="shared" si="1837"/>
        <v>0</v>
      </c>
      <c r="G1758" s="1">
        <f t="shared" si="1837"/>
        <v>0</v>
      </c>
      <c r="H1758" s="1">
        <f t="shared" si="1837"/>
        <v>0</v>
      </c>
      <c r="I1758" s="1">
        <f t="shared" si="1837"/>
        <v>0</v>
      </c>
      <c r="J1758" s="1">
        <f t="shared" si="1837"/>
        <v>0</v>
      </c>
      <c r="K1758" s="1">
        <f t="shared" si="1837"/>
        <v>0</v>
      </c>
      <c r="L1758" s="1">
        <f t="shared" ref="L1758" si="1844">L19</f>
        <v>0</v>
      </c>
      <c r="N1758" s="1"/>
    </row>
    <row r="1759" spans="2:14" x14ac:dyDescent="0.35">
      <c r="B1759" s="9" t="str">
        <f t="shared" si="1790"/>
        <v>SPS1</v>
      </c>
      <c r="C1759" s="2" t="str">
        <f t="shared" si="1791"/>
        <v>CH</v>
      </c>
      <c r="D1759" s="2" t="s">
        <v>1788</v>
      </c>
      <c r="E1759" s="2" t="s">
        <v>1857</v>
      </c>
      <c r="F1759" s="3">
        <f t="shared" ref="F1759:K1759" si="1845">SUM(F1760,F1762,F1766,F1770,F1786,F1793,F1801,F1803,F1811,F1815,F1809)</f>
        <v>22.328110974233493</v>
      </c>
      <c r="G1759" s="3">
        <f t="shared" si="1845"/>
        <v>24.337636507632201</v>
      </c>
      <c r="H1759" s="3">
        <f t="shared" si="1845"/>
        <v>29.772414439004496</v>
      </c>
      <c r="I1759" s="3">
        <f t="shared" si="1845"/>
        <v>29.467083459883973</v>
      </c>
      <c r="J1759" s="3">
        <f t="shared" si="1845"/>
        <v>35.162478375100655</v>
      </c>
      <c r="K1759" s="3">
        <f t="shared" si="1845"/>
        <v>39.265899870315849</v>
      </c>
      <c r="L1759" s="3">
        <f t="shared" ref="L1759" si="1846">SUM(L1760,L1762,L1766,L1770,L1786,L1793,L1801,L1803,L1811,L1815,L1809)</f>
        <v>47.701696390629415</v>
      </c>
      <c r="N1759" s="1"/>
    </row>
    <row r="1760" spans="2:14" x14ac:dyDescent="0.35">
      <c r="B1760" s="5" t="str">
        <f t="shared" si="1790"/>
        <v>SPS1</v>
      </c>
      <c r="C1760" s="5" t="str">
        <f t="shared" si="1791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47">+G1761</f>
        <v>3.080557875959506</v>
      </c>
      <c r="H1760" s="1">
        <f t="shared" si="1847"/>
        <v>2.8402389634809211</v>
      </c>
      <c r="I1760" s="1">
        <f t="shared" si="1847"/>
        <v>2.3425161625536033</v>
      </c>
      <c r="J1760" s="1">
        <f t="shared" si="1847"/>
        <v>2.0753085395487068</v>
      </c>
      <c r="K1760" s="1">
        <f t="shared" si="1847"/>
        <v>1.2356851276190504</v>
      </c>
      <c r="L1760" s="1">
        <f t="shared" si="1847"/>
        <v>0</v>
      </c>
      <c r="N1760" s="1"/>
    </row>
    <row r="1761" spans="2:14" x14ac:dyDescent="0.35">
      <c r="B1761" s="5" t="str">
        <f t="shared" si="1790"/>
        <v>SPS1</v>
      </c>
      <c r="C1761" s="5" t="str">
        <f t="shared" si="1791"/>
        <v>CH</v>
      </c>
      <c r="D1761" t="s">
        <v>1791</v>
      </c>
      <c r="E1761" t="str">
        <f t="shared" ref="E1761:E1822" si="1848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'[1]Electricity and CHPs_CAP'!F$14</f>
        <v>2.0753085395487068</v>
      </c>
      <c r="K1761" s="1">
        <f>'[1]Electricity and CHPs_CAP'!G$14</f>
        <v>1.2356851276190504</v>
      </c>
      <c r="L1761" s="1">
        <f>'[1]Electricity and CHPs_CAP'!H$14</f>
        <v>0</v>
      </c>
      <c r="N1761" s="1"/>
    </row>
    <row r="1762" spans="2:14" x14ac:dyDescent="0.35">
      <c r="B1762" s="5" t="str">
        <f t="shared" si="1790"/>
        <v>SPS1</v>
      </c>
      <c r="C1762" s="5" t="str">
        <f t="shared" si="1791"/>
        <v>CH</v>
      </c>
      <c r="D1762" t="s">
        <v>1792</v>
      </c>
      <c r="E1762" t="str">
        <f t="shared" si="1848"/>
        <v>GWe/yr.</v>
      </c>
      <c r="F1762" s="1">
        <f>SUM(F1763:F1765)</f>
        <v>15.403610001059999</v>
      </c>
      <c r="G1762" s="1">
        <f t="shared" ref="G1762:K1762" si="1849">SUM(G1763:G1765)</f>
        <v>16.134038248824005</v>
      </c>
      <c r="H1762" s="1">
        <f t="shared" si="1849"/>
        <v>16.578941138072427</v>
      </c>
      <c r="I1762" s="1">
        <f t="shared" si="1849"/>
        <v>16.629967195373279</v>
      </c>
      <c r="J1762" s="1">
        <f t="shared" si="1849"/>
        <v>16.671371343516363</v>
      </c>
      <c r="K1762" s="1">
        <f t="shared" si="1849"/>
        <v>16.735101651635144</v>
      </c>
      <c r="L1762" s="1">
        <f t="shared" ref="L1762" si="1850">SUM(L1763:L1765)</f>
        <v>17.415709963904781</v>
      </c>
      <c r="N1762" s="1"/>
    </row>
    <row r="1763" spans="2:14" x14ac:dyDescent="0.35">
      <c r="B1763" s="5" t="str">
        <f t="shared" si="1790"/>
        <v>SPS1</v>
      </c>
      <c r="C1763" s="5" t="str">
        <f t="shared" si="1791"/>
        <v>CH</v>
      </c>
      <c r="D1763" t="s">
        <v>1793</v>
      </c>
      <c r="E1763" t="str">
        <f t="shared" si="1848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'[1]Electricity and CHPs_CAP'!F$15</f>
        <v>7.4163488359816441</v>
      </c>
      <c r="K1763" s="1">
        <f>'[1]Electricity and CHPs_CAP'!G$15</f>
        <v>7.4166396785007134</v>
      </c>
      <c r="L1763" s="1">
        <f>'[1]Electricity and CHPs_CAP'!H$15</f>
        <v>7.7286876494585766</v>
      </c>
      <c r="N1763" s="1"/>
    </row>
    <row r="1764" spans="2:14" x14ac:dyDescent="0.35">
      <c r="B1764" s="5" t="str">
        <f t="shared" si="1790"/>
        <v>SPS1</v>
      </c>
      <c r="C1764" s="5" t="str">
        <f t="shared" si="1791"/>
        <v>CH</v>
      </c>
      <c r="D1764" t="s">
        <v>1794</v>
      </c>
      <c r="E1764" t="str">
        <f t="shared" si="1848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'[1]Electricity and CHPs_CAP'!F$16</f>
        <v>4.8952146862768187</v>
      </c>
      <c r="K1764" s="1">
        <f>'[1]Electricity and CHPs_CAP'!G$16</f>
        <v>4.9586540887662069</v>
      </c>
      <c r="L1764" s="1">
        <f>'[1]Electricity and CHPs_CAP'!H$16</f>
        <v>5.3272141353910865</v>
      </c>
      <c r="N1764" s="1"/>
    </row>
    <row r="1765" spans="2:14" x14ac:dyDescent="0.35">
      <c r="B1765" s="5" t="str">
        <f t="shared" si="1790"/>
        <v>SPS1</v>
      </c>
      <c r="C1765" s="5" t="str">
        <f t="shared" si="1791"/>
        <v>CH</v>
      </c>
      <c r="D1765" t="s">
        <v>1795</v>
      </c>
      <c r="E1765" t="str">
        <f t="shared" si="1848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'[1]Electricity and CHPs_CAP'!F$17</f>
        <v>4.3598078212579008</v>
      </c>
      <c r="K1765" s="1">
        <f>'[1]Electricity and CHPs_CAP'!G$17</f>
        <v>4.359807884368224</v>
      </c>
      <c r="L1765" s="1">
        <f>'[1]Electricity and CHPs_CAP'!H$17</f>
        <v>4.3598081790551175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48"/>
        <v>GWe/yr.</v>
      </c>
      <c r="F1766" s="1">
        <f>SUM(F1767:F1769)</f>
        <v>3.5757835452997995E-2</v>
      </c>
      <c r="G1766" s="1">
        <f t="shared" ref="G1766:K1766" si="1851">SUM(G1767:G1769)</f>
        <v>3.6884767207229968E-2</v>
      </c>
      <c r="H1766" s="1">
        <f t="shared" si="1851"/>
        <v>2.924456616146591E-2</v>
      </c>
      <c r="I1766" s="1">
        <f t="shared" si="1851"/>
        <v>3.4863353590184526E-2</v>
      </c>
      <c r="J1766" s="1">
        <f t="shared" si="1851"/>
        <v>3.9680283760097947E-2</v>
      </c>
      <c r="K1766" s="1">
        <f t="shared" si="1851"/>
        <v>6.4485254779573066E-3</v>
      </c>
      <c r="L1766" s="1">
        <f t="shared" ref="L1766" si="1852">SUM(L1767:L1769)</f>
        <v>1.5238150855160157E-2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48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'[1]Electricity and CHPs_CAP'!F$18</f>
        <v>8.9988321595204125E-3</v>
      </c>
      <c r="K1767" s="1">
        <f>'[1]Electricity and CHPs_CAP'!G$18</f>
        <v>4.8977093005753303E-3</v>
      </c>
      <c r="L1767" s="1">
        <f>'[1]Electricity and CHPs_CAP'!H$18</f>
        <v>1.9468308398936376E-3</v>
      </c>
      <c r="N1767" s="1"/>
    </row>
    <row r="1768" spans="2:14" x14ac:dyDescent="0.35">
      <c r="B1768" s="5" t="str">
        <f t="shared" ref="B1768:C1769" si="1853">B1767</f>
        <v>SPS1</v>
      </c>
      <c r="C1768" s="5" t="str">
        <f t="shared" si="1853"/>
        <v>CH</v>
      </c>
      <c r="D1768" t="s">
        <v>1798</v>
      </c>
      <c r="E1768" t="str">
        <f t="shared" si="1848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'[1]Electricity and CHPs_CAP'!F$28</f>
        <v>7.1452906060601694E-4</v>
      </c>
      <c r="K1768" s="1">
        <f>'[1]Electricity and CHPs_CAP'!G$28</f>
        <v>2.3977815865837678E-4</v>
      </c>
      <c r="L1768" s="1">
        <f>'[1]Electricity and CHPs_CAP'!H$28</f>
        <v>1.1913142823156868E-4</v>
      </c>
      <c r="N1768" s="1"/>
    </row>
    <row r="1769" spans="2:14" x14ac:dyDescent="0.35">
      <c r="B1769" s="5" t="str">
        <f t="shared" si="1853"/>
        <v>SPS1</v>
      </c>
      <c r="C1769" s="5" t="str">
        <f t="shared" si="1853"/>
        <v>CH</v>
      </c>
      <c r="D1769" t="s">
        <v>1799</v>
      </c>
      <c r="E1769" t="str">
        <f t="shared" si="1848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'[1]Electricity and CHPs_CAP'!F$41</f>
        <v>2.9966922539971519E-2</v>
      </c>
      <c r="K1769" s="1">
        <f>'[1]Electricity and CHPs_CAP'!G$41</f>
        <v>1.3110380187235995E-3</v>
      </c>
      <c r="L1769" s="1">
        <f>'[1]Electricity and CHPs_CAP'!H$41</f>
        <v>1.317218858703495E-2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48"/>
        <v>GWe/yr.</v>
      </c>
      <c r="F1770" s="1">
        <f>SUM(F1771:F1785)</f>
        <v>0.23090410455871258</v>
      </c>
      <c r="G1770" s="1">
        <f t="shared" ref="G1770:K1770" si="1854">SUM(G1771:G1785)</f>
        <v>0.15704438870860102</v>
      </c>
      <c r="H1770" s="1">
        <f t="shared" si="1854"/>
        <v>0.14856280614139408</v>
      </c>
      <c r="I1770" s="1">
        <f t="shared" si="1854"/>
        <v>0.23923324325021883</v>
      </c>
      <c r="J1770" s="1">
        <f t="shared" si="1854"/>
        <v>0.27660850207040399</v>
      </c>
      <c r="K1770" s="1">
        <f t="shared" si="1854"/>
        <v>0.2773076307075934</v>
      </c>
      <c r="L1770" s="1">
        <f t="shared" ref="L1770" si="1855">SUM(L1771:L1785)</f>
        <v>0.35910058296881076</v>
      </c>
      <c r="N1770" s="1"/>
    </row>
    <row r="1771" spans="2:14" x14ac:dyDescent="0.35">
      <c r="B1771" s="5" t="str">
        <f t="shared" ref="B1771:C1784" si="1856">B1770</f>
        <v>SPS1</v>
      </c>
      <c r="C1771" s="5" t="str">
        <f t="shared" si="1856"/>
        <v>CH</v>
      </c>
      <c r="D1771" t="s">
        <v>1801</v>
      </c>
      <c r="E1771" t="str">
        <f t="shared" si="1848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1.70608919488105E-4</v>
      </c>
      <c r="L1771" s="1">
        <f>'[1]Electricity and CHPs_CAP'!H$21</f>
        <v>1.3087854861058715E-2</v>
      </c>
      <c r="N1771" s="1"/>
    </row>
    <row r="1772" spans="2:14" x14ac:dyDescent="0.35">
      <c r="B1772" s="5" t="str">
        <f t="shared" si="1856"/>
        <v>SPS1</v>
      </c>
      <c r="C1772" s="5" t="str">
        <f t="shared" si="1856"/>
        <v>CH</v>
      </c>
      <c r="D1772" t="s">
        <v>1802</v>
      </c>
      <c r="E1772" t="str">
        <f t="shared" si="1848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'[1]Electricity and CHPs_CAP'!F$22</f>
        <v>1.5176168121705851E-2</v>
      </c>
      <c r="K1772" s="1">
        <f>'[1]Electricity and CHPs_CAP'!G$22</f>
        <v>1.5183140704279076E-2</v>
      </c>
      <c r="L1772" s="1">
        <f>'[1]Electricity and CHPs_CAP'!H$22</f>
        <v>2.9001259403495627E-2</v>
      </c>
      <c r="N1772" s="1"/>
    </row>
    <row r="1773" spans="2:14" x14ac:dyDescent="0.35">
      <c r="B1773" s="5" t="str">
        <f t="shared" si="1856"/>
        <v>SPS1</v>
      </c>
      <c r="C1773" s="5" t="str">
        <f t="shared" si="1856"/>
        <v>CH</v>
      </c>
      <c r="D1773" t="s">
        <v>1803</v>
      </c>
      <c r="E1773" t="str">
        <f t="shared" si="1848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5.8967521656492103E-7</v>
      </c>
      <c r="L1773" s="1">
        <f>'[1]Electricity and CHPs_CAP'!H$23</f>
        <v>6.0776817702452489E-2</v>
      </c>
      <c r="N1773" s="1"/>
    </row>
    <row r="1774" spans="2:14" x14ac:dyDescent="0.35">
      <c r="B1774" s="5" t="str">
        <f t="shared" si="1856"/>
        <v>SPS1</v>
      </c>
      <c r="C1774" s="5" t="str">
        <f t="shared" si="1856"/>
        <v>CH</v>
      </c>
      <c r="D1774" t="s">
        <v>1804</v>
      </c>
      <c r="E1774" t="str">
        <f t="shared" si="1848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IF('[1]Electricity and CHPs_CAP'!F$24&lt;0,0,'[1]Electricity and CHPs_CAP'!F$24)</f>
        <v>7.4104848224310765E-4</v>
      </c>
      <c r="K1774" s="1">
        <f>IF('[1]Electricity and CHPs_CAP'!G$24&lt;0,0,'[1]Electricity and CHPs_CAP'!G$24)</f>
        <v>1.1477750626780192E-4</v>
      </c>
      <c r="L1774" s="1">
        <f>IF('[1]Electricity and CHPs_CAP'!H$24&lt;0,0,'[1]Electricity and CHPs_CAP'!H$24)</f>
        <v>4.2543910351269837E-2</v>
      </c>
      <c r="N1774" s="1"/>
    </row>
    <row r="1775" spans="2:14" x14ac:dyDescent="0.35">
      <c r="B1775" s="5" t="str">
        <f t="shared" si="1856"/>
        <v>SPS1</v>
      </c>
      <c r="C1775" s="5" t="str">
        <f t="shared" si="1856"/>
        <v>CH</v>
      </c>
      <c r="D1775" t="s">
        <v>1805</v>
      </c>
      <c r="E1775" t="str">
        <f t="shared" si="1848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6.3355152822972205E-5</v>
      </c>
      <c r="L1775" s="1">
        <f>'[1]Electricity and CHPs_CAP'!H$29</f>
        <v>3.5185027006261867E-2</v>
      </c>
      <c r="N1775" s="1"/>
    </row>
    <row r="1776" spans="2:14" x14ac:dyDescent="0.35">
      <c r="B1776" s="5" t="str">
        <f t="shared" si="1856"/>
        <v>SPS1</v>
      </c>
      <c r="C1776" s="5" t="str">
        <f t="shared" si="1856"/>
        <v>CH</v>
      </c>
      <c r="D1776" t="s">
        <v>1806</v>
      </c>
      <c r="E1776" t="str">
        <f t="shared" si="1848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'[1]Electricity and CHPs_CAP'!F$39</f>
        <v>3.3671523721447065E-3</v>
      </c>
      <c r="K1776" s="1">
        <f>'[1]Electricity and CHPs_CAP'!G$39</f>
        <v>1.5837367453015098E-3</v>
      </c>
      <c r="L1776" s="1">
        <f>'[1]Electricity and CHPs_CAP'!H$39</f>
        <v>6.4143816163666368E-3</v>
      </c>
      <c r="N1776" s="1"/>
    </row>
    <row r="1777" spans="2:14" x14ac:dyDescent="0.35">
      <c r="B1777" s="5" t="str">
        <f t="shared" si="1856"/>
        <v>SPS1</v>
      </c>
      <c r="C1777" s="5" t="str">
        <f t="shared" si="1856"/>
        <v>CH</v>
      </c>
      <c r="D1777" t="s">
        <v>1807</v>
      </c>
      <c r="E1777" t="str">
        <f t="shared" si="1848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2.0600410106312102E-3</v>
      </c>
      <c r="N1777" s="1"/>
    </row>
    <row r="1778" spans="2:14" x14ac:dyDescent="0.35">
      <c r="B1778" s="5" t="str">
        <f t="shared" si="1856"/>
        <v>SPS1</v>
      </c>
      <c r="C1778" s="5" t="str">
        <f t="shared" si="1856"/>
        <v>CH</v>
      </c>
      <c r="D1778" t="s">
        <v>1808</v>
      </c>
      <c r="E1778" t="str">
        <f t="shared" si="1848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1.8133978741337E-4</v>
      </c>
      <c r="K1778" s="1">
        <f>'[1]Electricity and CHPs_CAP'!G$47</f>
        <v>1.811274882270414E-4</v>
      </c>
      <c r="L1778" s="1">
        <f>'[1]Electricity and CHPs_CAP'!H$47</f>
        <v>8.415893697799727E-2</v>
      </c>
      <c r="N1778" s="1"/>
    </row>
    <row r="1779" spans="2:14" x14ac:dyDescent="0.35">
      <c r="B1779" s="5" t="str">
        <f t="shared" si="1856"/>
        <v>SPS1</v>
      </c>
      <c r="C1779" s="5" t="str">
        <f t="shared" si="1856"/>
        <v>CH</v>
      </c>
      <c r="D1779" t="s">
        <v>1809</v>
      </c>
      <c r="E1779" t="str">
        <f t="shared" si="1848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'[1]Electricity and CHPs_CAP'!F$48</f>
        <v>7.7264741013479841E-4</v>
      </c>
      <c r="K1779" s="1">
        <f>'[1]Electricity and CHPs_CAP'!G$48</f>
        <v>5.0185227137644378E-4</v>
      </c>
      <c r="L1779" s="1">
        <f>'[1]Electricity and CHPs_CAP'!H$48</f>
        <v>6.5384322534981629E-5</v>
      </c>
      <c r="N1779" s="1"/>
    </row>
    <row r="1780" spans="2:14" x14ac:dyDescent="0.35">
      <c r="B1780" s="5" t="str">
        <f t="shared" si="1856"/>
        <v>SPS1</v>
      </c>
      <c r="C1780" s="5" t="str">
        <f t="shared" si="1856"/>
        <v>CH</v>
      </c>
      <c r="D1780" t="s">
        <v>1810</v>
      </c>
      <c r="E1780" t="str">
        <f t="shared" si="1848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'[1]Electricity and CHPs_CAP'!F$49</f>
        <v>1.1635177439743908E-4</v>
      </c>
      <c r="K1780" s="1">
        <f>'[1]Electricity and CHPs_CAP'!G$49</f>
        <v>1.1657173178014708E-4</v>
      </c>
      <c r="L1780" s="1">
        <f>'[1]Electricity and CHPs_CAP'!H$49</f>
        <v>2.2823093810802301E-5</v>
      </c>
      <c r="N1780" s="1"/>
    </row>
    <row r="1781" spans="2:14" x14ac:dyDescent="0.35">
      <c r="B1781" s="5" t="str">
        <f t="shared" si="1856"/>
        <v>SPS1</v>
      </c>
      <c r="C1781" s="5" t="str">
        <f t="shared" si="1856"/>
        <v>CH</v>
      </c>
      <c r="D1781" t="s">
        <v>1811</v>
      </c>
      <c r="E1781" t="str">
        <f t="shared" si="1848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'[1]Electricity and CHPs_CAP'!F$51</f>
        <v>0.16619338475445275</v>
      </c>
      <c r="K1781" s="1">
        <f>'[1]Electricity and CHPs_CAP'!G$51</f>
        <v>0.17111139576455189</v>
      </c>
      <c r="L1781" s="1">
        <f>'[1]Electricity and CHPs_CAP'!H$51</f>
        <v>8.0078349039937389E-4</v>
      </c>
      <c r="N1781" s="1"/>
    </row>
    <row r="1782" spans="2:14" x14ac:dyDescent="0.35">
      <c r="B1782" s="5" t="str">
        <f t="shared" si="1856"/>
        <v>SPS1</v>
      </c>
      <c r="C1782" s="5" t="str">
        <f t="shared" si="1856"/>
        <v>CH</v>
      </c>
      <c r="D1782" t="s">
        <v>1812</v>
      </c>
      <c r="E1782" t="str">
        <f t="shared" si="1848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'[1]Electricity and CHPs_CAP'!F$52</f>
        <v>1.2059155211197163E-3</v>
      </c>
      <c r="K1782" s="1">
        <f>'[1]Electricity and CHPs_CAP'!G$52</f>
        <v>1.2522874779181538E-3</v>
      </c>
      <c r="L1782" s="1">
        <f>'[1]Electricity and CHPs_CAP'!H$52</f>
        <v>8.5451454017819927E-5</v>
      </c>
      <c r="N1782" s="1"/>
    </row>
    <row r="1783" spans="2:14" x14ac:dyDescent="0.35">
      <c r="B1783" s="5" t="str">
        <f t="shared" si="1856"/>
        <v>SPS1</v>
      </c>
      <c r="C1783" s="5" t="str">
        <f t="shared" si="1856"/>
        <v>CH</v>
      </c>
      <c r="D1783" t="s">
        <v>1813</v>
      </c>
      <c r="E1783" t="str">
        <f t="shared" si="1848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'[1]Electricity and CHPs_CAP'!F$54</f>
        <v>8.4746828638925839E-2</v>
      </c>
      <c r="K1783" s="1">
        <f>'[1]Electricity and CHPs_CAP'!G$54</f>
        <v>8.4745429984321996E-2</v>
      </c>
      <c r="L1783" s="1">
        <f>'[1]Electricity and CHPs_CAP'!H$54</f>
        <v>8.474426450661636E-2</v>
      </c>
      <c r="N1783" s="1"/>
    </row>
    <row r="1784" spans="2:14" x14ac:dyDescent="0.35">
      <c r="B1784" s="5" t="str">
        <f t="shared" si="1856"/>
        <v>SPS1</v>
      </c>
      <c r="C1784" s="5" t="str">
        <f t="shared" si="1856"/>
        <v>CH</v>
      </c>
      <c r="D1784" t="s">
        <v>1814</v>
      </c>
      <c r="E1784" t="str">
        <f t="shared" si="1848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'[1]Electricity and CHPs_CAP'!F$55</f>
        <v>3.8340489747592417E-3</v>
      </c>
      <c r="K1784" s="1">
        <f>'[1]Electricity and CHPs_CAP'!G$55</f>
        <v>2.0310630032647006E-3</v>
      </c>
      <c r="L1784" s="1">
        <f>'[1]Electricity and CHPs_CAP'!H$55</f>
        <v>6.8465816843868684E-5</v>
      </c>
      <c r="N1784" s="1"/>
    </row>
    <row r="1785" spans="2:14" x14ac:dyDescent="0.35">
      <c r="B1785" s="5" t="str">
        <f t="shared" ref="B1785:C1785" si="1857">B1784</f>
        <v>SPS1</v>
      </c>
      <c r="C1785" s="5" t="str">
        <f t="shared" si="1857"/>
        <v>CH</v>
      </c>
      <c r="D1785" t="s">
        <v>1815</v>
      </c>
      <c r="E1785" t="str">
        <f t="shared" si="1848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'[1]Electricity and CHPs_CAP'!F$58</f>
        <v>2.7361623310719941E-4</v>
      </c>
      <c r="K1785" s="1">
        <f>'[1]Electricity and CHPs_CAP'!G$58</f>
        <v>2.5169428277701389E-4</v>
      </c>
      <c r="L1785" s="1">
        <f>'[1]Electricity and CHPs_CAP'!H$58</f>
        <v>8.5181355053870022E-5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48"/>
        <v>GWe/yr.</v>
      </c>
      <c r="F1786" s="1">
        <f>SUM(F1787:F1792)</f>
        <v>0.39563935257983052</v>
      </c>
      <c r="G1786" s="1">
        <f t="shared" ref="G1786:K1786" si="1858">SUM(G1787:G1792)</f>
        <v>0.35286656144322082</v>
      </c>
      <c r="H1786" s="1">
        <f t="shared" si="1858"/>
        <v>0.37804686664751547</v>
      </c>
      <c r="I1786" s="1">
        <f t="shared" si="1858"/>
        <v>0.3481696768981602</v>
      </c>
      <c r="J1786" s="1">
        <f t="shared" si="1858"/>
        <v>0.35110055569427179</v>
      </c>
      <c r="K1786" s="1">
        <f t="shared" si="1858"/>
        <v>0.35782345239348062</v>
      </c>
      <c r="L1786" s="1">
        <f t="shared" ref="L1786" si="1859">SUM(L1787:L1792)</f>
        <v>0.42343103150837241</v>
      </c>
      <c r="N1786" s="1"/>
    </row>
    <row r="1787" spans="2:14" x14ac:dyDescent="0.35">
      <c r="B1787" s="5" t="str">
        <f t="shared" ref="B1787:C1792" si="1860">B1786</f>
        <v>SPS1</v>
      </c>
      <c r="C1787" s="5" t="str">
        <f t="shared" si="1860"/>
        <v>CH</v>
      </c>
      <c r="D1787" t="s">
        <v>1817</v>
      </c>
      <c r="E1787" t="str">
        <f t="shared" si="1848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'[1]Electricity and CHPs_CAP'!F$19</f>
        <v>0.27949088831616137</v>
      </c>
      <c r="K1787" s="1">
        <f>'[1]Electricity and CHPs_CAP'!G$19</f>
        <v>0.28606090896359188</v>
      </c>
      <c r="L1787" s="1">
        <f>'[1]Electricity and CHPs_CAP'!H$19</f>
        <v>1.229122356457002E-4</v>
      </c>
      <c r="N1787" s="1"/>
    </row>
    <row r="1788" spans="2:14" x14ac:dyDescent="0.35">
      <c r="B1788" s="5" t="str">
        <f t="shared" si="1860"/>
        <v>SPS1</v>
      </c>
      <c r="C1788" s="5" t="str">
        <f t="shared" si="1860"/>
        <v>CH</v>
      </c>
      <c r="D1788" t="s">
        <v>1818</v>
      </c>
      <c r="E1788" t="str">
        <f t="shared" si="1848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0.31917391084021401</v>
      </c>
      <c r="N1788" s="1"/>
    </row>
    <row r="1789" spans="2:14" x14ac:dyDescent="0.35">
      <c r="B1789" s="5" t="str">
        <f t="shared" si="1860"/>
        <v>SPS1</v>
      </c>
      <c r="C1789" s="5" t="str">
        <f t="shared" si="1860"/>
        <v>CH</v>
      </c>
      <c r="D1789" t="s">
        <v>1819</v>
      </c>
      <c r="E1789" t="str">
        <f t="shared" si="1848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'[1]Electricity and CHPs_CAP'!F$26</f>
        <v>6.9926377703688355E-2</v>
      </c>
      <c r="K1789" s="1">
        <f>'[1]Electricity and CHPs_CAP'!G$26</f>
        <v>7.0079115964299138E-2</v>
      </c>
      <c r="L1789" s="1">
        <f>'[1]Electricity and CHPs_CAP'!H$26</f>
        <v>4.5410232620494984E-5</v>
      </c>
      <c r="N1789" s="1"/>
    </row>
    <row r="1790" spans="2:14" x14ac:dyDescent="0.35">
      <c r="B1790" s="5" t="str">
        <f t="shared" si="1860"/>
        <v>SPS1</v>
      </c>
      <c r="C1790" s="5" t="str">
        <f t="shared" si="1860"/>
        <v>CH</v>
      </c>
      <c r="D1790" t="s">
        <v>1820</v>
      </c>
      <c r="E1790" t="str">
        <f t="shared" si="1848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7.4863743508299496E-2</v>
      </c>
      <c r="N1790" s="1"/>
    </row>
    <row r="1791" spans="2:14" x14ac:dyDescent="0.35">
      <c r="B1791" s="5" t="str">
        <f t="shared" si="1860"/>
        <v>SPS1</v>
      </c>
      <c r="C1791" s="5" t="str">
        <f t="shared" si="1860"/>
        <v>CH</v>
      </c>
      <c r="D1791" t="s">
        <v>1821</v>
      </c>
      <c r="E1791" t="str">
        <f t="shared" si="1848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'[1]Electricity and CHPs_CAP'!F$44</f>
        <v>1.6832896744220392E-3</v>
      </c>
      <c r="K1791" s="1">
        <f>'[1]Electricity and CHPs_CAP'!G$44</f>
        <v>1.6834274655896314E-3</v>
      </c>
      <c r="L1791" s="1">
        <f>'[1]Electricity and CHPs_CAP'!H$44</f>
        <v>8.2071980652386953E-5</v>
      </c>
      <c r="N1791" s="1"/>
    </row>
    <row r="1792" spans="2:14" x14ac:dyDescent="0.35">
      <c r="B1792" s="5" t="str">
        <f t="shared" si="1860"/>
        <v>SPS1</v>
      </c>
      <c r="C1792" s="5" t="str">
        <f t="shared" si="1860"/>
        <v>CH</v>
      </c>
      <c r="D1792" t="s">
        <v>1822</v>
      </c>
      <c r="E1792" t="str">
        <f t="shared" si="1848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2.9142982710940301E-2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48"/>
        <v>GWe/yr.</v>
      </c>
      <c r="F1793" s="1">
        <f>SUM(F1794:F1800)</f>
        <v>1.1668211127705932E-2</v>
      </c>
      <c r="G1793" s="1">
        <f t="shared" ref="G1793:K1793" si="1861">SUM(G1794:G1800)</f>
        <v>6.4780911394819382E-3</v>
      </c>
      <c r="H1793" s="1">
        <f t="shared" si="1861"/>
        <v>5.3588917715319172E-2</v>
      </c>
      <c r="I1793" s="1">
        <f t="shared" si="1861"/>
        <v>0.1167661011504162</v>
      </c>
      <c r="J1793" s="1">
        <f t="shared" si="1861"/>
        <v>0.15461529952801814</v>
      </c>
      <c r="K1793" s="1">
        <f t="shared" si="1861"/>
        <v>0.23822012451805624</v>
      </c>
      <c r="L1793" s="1">
        <f t="shared" ref="L1793" si="1862">SUM(L1794:L1800)</f>
        <v>0.26181005148513486</v>
      </c>
      <c r="N1793" s="1"/>
    </row>
    <row r="1794" spans="2:14" x14ac:dyDescent="0.35">
      <c r="B1794" s="5" t="str">
        <f t="shared" ref="B1794:C1804" si="1863">B1793</f>
        <v>SPS1</v>
      </c>
      <c r="C1794" s="5" t="str">
        <f t="shared" si="1863"/>
        <v>CH</v>
      </c>
      <c r="D1794" t="s">
        <v>1824</v>
      </c>
      <c r="E1794" t="str">
        <f t="shared" si="1848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'[1]Electricity and CHPs_CAP'!F$25</f>
        <v>4.4071107716658897E-4</v>
      </c>
      <c r="K1794" s="1">
        <f>'[1]Electricity and CHPs_CAP'!G$25</f>
        <v>3.9102476993676605E-4</v>
      </c>
      <c r="L1794" s="1">
        <f>'[1]Electricity and CHPs_CAP'!H$25</f>
        <v>1.6637392388713809E-4</v>
      </c>
      <c r="N1794" s="1"/>
    </row>
    <row r="1795" spans="2:14" x14ac:dyDescent="0.35">
      <c r="B1795" s="5" t="str">
        <f t="shared" si="1863"/>
        <v>SPS1</v>
      </c>
      <c r="C1795" s="5" t="str">
        <f t="shared" si="1863"/>
        <v>CH</v>
      </c>
      <c r="D1795" t="s">
        <v>1825</v>
      </c>
      <c r="E1795" t="str">
        <f t="shared" si="1848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2.77114525816287E-7</v>
      </c>
      <c r="L1795" s="1">
        <f>'[1]Electricity and CHPs_CAP'!H$31</f>
        <v>6.6285829998691426E-2</v>
      </c>
      <c r="N1795" s="1"/>
    </row>
    <row r="1796" spans="2:14" x14ac:dyDescent="0.35">
      <c r="B1796" s="5" t="str">
        <f t="shared" si="1863"/>
        <v>SPS1</v>
      </c>
      <c r="C1796" s="5" t="str">
        <f t="shared" si="1863"/>
        <v>CH</v>
      </c>
      <c r="D1796" t="s">
        <v>1826</v>
      </c>
      <c r="E1796" t="str">
        <f t="shared" si="1848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'[1]Electricity and CHPs_CAP'!F$42</f>
        <v>0.15312395956502231</v>
      </c>
      <c r="K1796" s="1">
        <f>'[1]Electricity and CHPs_CAP'!G$42</f>
        <v>0.21598564839938214</v>
      </c>
      <c r="L1796" s="1">
        <f>'[1]Electricity and CHPs_CAP'!H$42</f>
        <v>0.12033680310153883</v>
      </c>
      <c r="N1796" s="1"/>
    </row>
    <row r="1797" spans="2:14" x14ac:dyDescent="0.35">
      <c r="B1797" s="5" t="str">
        <f t="shared" si="1863"/>
        <v>SPS1</v>
      </c>
      <c r="C1797" s="5" t="str">
        <f t="shared" si="1863"/>
        <v>CH</v>
      </c>
      <c r="D1797" t="s">
        <v>1827</v>
      </c>
      <c r="E1797" t="str">
        <f t="shared" si="1848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7.4909965661849306E-2</v>
      </c>
      <c r="N1797" s="1"/>
    </row>
    <row r="1798" spans="2:14" x14ac:dyDescent="0.35">
      <c r="B1798" s="5" t="str">
        <f t="shared" si="1863"/>
        <v>SPS1</v>
      </c>
      <c r="C1798" s="5" t="str">
        <f t="shared" si="1863"/>
        <v>CH</v>
      </c>
      <c r="D1798" t="s">
        <v>1828</v>
      </c>
      <c r="E1798" t="str">
        <f t="shared" si="1848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'[1]Electricity and CHPs_CAP'!F$50</f>
        <v>2.7507856458592277E-4</v>
      </c>
      <c r="K1798" s="1">
        <f>'[1]Electricity and CHPs_CAP'!G$50</f>
        <v>2.3583344660770876E-4</v>
      </c>
      <c r="L1798" s="1">
        <f>'[1]Electricity and CHPs_CAP'!H$50</f>
        <v>2.9036953019879404E-5</v>
      </c>
      <c r="N1798" s="1"/>
    </row>
    <row r="1799" spans="2:14" x14ac:dyDescent="0.35">
      <c r="B1799" s="5" t="str">
        <f t="shared" si="1863"/>
        <v>SPS1</v>
      </c>
      <c r="C1799" s="5" t="str">
        <f t="shared" si="1863"/>
        <v>CH</v>
      </c>
      <c r="D1799" t="s">
        <v>1829</v>
      </c>
      <c r="E1799" t="str">
        <f t="shared" si="1848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'[1]Electricity and CHPs_CAP'!F$53</f>
        <v>5.6082345700788434E-4</v>
      </c>
      <c r="K1799" s="1">
        <f>'[1]Electricity and CHPs_CAP'!G$53</f>
        <v>2.1433149301354735E-2</v>
      </c>
      <c r="L1799" s="1">
        <f>'[1]Electricity and CHPs_CAP'!H$53</f>
        <v>4.9203273234367609E-5</v>
      </c>
      <c r="N1799" s="1"/>
    </row>
    <row r="1800" spans="2:14" x14ac:dyDescent="0.35">
      <c r="B1800" s="5" t="str">
        <f t="shared" si="1863"/>
        <v>SPS1</v>
      </c>
      <c r="C1800" s="5" t="str">
        <f t="shared" si="1863"/>
        <v>CH</v>
      </c>
      <c r="D1800" t="s">
        <v>1830</v>
      </c>
      <c r="E1800" t="str">
        <f t="shared" si="1848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'[1]Electricity and CHPs_CAP'!F$56</f>
        <v>2.1472686423544381E-4</v>
      </c>
      <c r="K1800" s="1">
        <f>'[1]Electricity and CHPs_CAP'!G$56</f>
        <v>1.7419148624908329E-4</v>
      </c>
      <c r="L1800" s="1">
        <f>'[1]Electricity and CHPs_CAP'!H$56</f>
        <v>3.2838572913945248E-5</v>
      </c>
      <c r="N1800" s="1"/>
    </row>
    <row r="1801" spans="2:14" x14ac:dyDescent="0.35">
      <c r="B1801" s="5" t="str">
        <f t="shared" si="1863"/>
        <v>SPS1</v>
      </c>
      <c r="C1801" s="5" t="str">
        <f t="shared" si="1863"/>
        <v>CH</v>
      </c>
      <c r="D1801" t="s">
        <v>1831</v>
      </c>
      <c r="E1801" t="str">
        <f t="shared" si="1848"/>
        <v>GWe/yr.</v>
      </c>
      <c r="F1801" s="1">
        <f>F1802</f>
        <v>8.7120000000000003E-2</v>
      </c>
      <c r="G1801" s="1">
        <f t="shared" ref="G1801:L1801" si="1864">G1802</f>
        <v>9.0660038621025937E-2</v>
      </c>
      <c r="H1801" s="1">
        <f t="shared" si="1864"/>
        <v>8.3655956114954938E-2</v>
      </c>
      <c r="I1801" s="1">
        <f t="shared" si="1864"/>
        <v>0.27355307821147729</v>
      </c>
      <c r="J1801" s="1">
        <f t="shared" si="1864"/>
        <v>0.4850052417382768</v>
      </c>
      <c r="K1801" s="1">
        <f t="shared" si="1864"/>
        <v>0.96011574494338869</v>
      </c>
      <c r="L1801" s="1">
        <f t="shared" si="1864"/>
        <v>1.01751010142514</v>
      </c>
      <c r="N1801" s="1"/>
    </row>
    <row r="1802" spans="2:14" x14ac:dyDescent="0.35">
      <c r="B1802" s="5" t="str">
        <f t="shared" si="1863"/>
        <v>SPS1</v>
      </c>
      <c r="C1802" s="5" t="str">
        <f t="shared" si="1863"/>
        <v>CH</v>
      </c>
      <c r="D1802" t="s">
        <v>1832</v>
      </c>
      <c r="E1802" t="str">
        <f t="shared" si="1848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'[1]Electricity and CHPs_CAP'!F$33</f>
        <v>0.4850052417382768</v>
      </c>
      <c r="K1802" s="1">
        <f>'[1]Electricity and CHPs_CAP'!G$33</f>
        <v>0.96011574494338869</v>
      </c>
      <c r="L1802" s="1">
        <f>'[1]Electricity and CHPs_CAP'!H$33</f>
        <v>1.01751010142514</v>
      </c>
      <c r="N1802" s="1"/>
    </row>
    <row r="1803" spans="2:14" x14ac:dyDescent="0.35">
      <c r="B1803" s="5" t="str">
        <f t="shared" si="1863"/>
        <v>SPS1</v>
      </c>
      <c r="C1803" s="5" t="str">
        <f t="shared" si="1863"/>
        <v>CH</v>
      </c>
      <c r="D1803" t="s">
        <v>1833</v>
      </c>
      <c r="E1803" t="str">
        <f t="shared" si="1848"/>
        <v>GWe/yr.</v>
      </c>
      <c r="F1803" s="1">
        <f>SUM(F1804:F1808)</f>
        <v>2.9746549999999998</v>
      </c>
      <c r="G1803" s="1">
        <f t="shared" ref="G1803:K1803" si="1865">SUM(G1804:G1808)</f>
        <v>4.3709034403552147</v>
      </c>
      <c r="H1803" s="1">
        <f t="shared" si="1865"/>
        <v>9.1889305218916597</v>
      </c>
      <c r="I1803" s="1">
        <f t="shared" si="1865"/>
        <v>8.9868434074013024</v>
      </c>
      <c r="J1803" s="1">
        <f t="shared" si="1865"/>
        <v>14.3556888312553</v>
      </c>
      <c r="K1803" s="1">
        <f t="shared" si="1865"/>
        <v>18.439234502267567</v>
      </c>
      <c r="L1803" s="1">
        <f t="shared" ref="L1803" si="1866">SUM(L1804:L1808)</f>
        <v>25.944386689350679</v>
      </c>
      <c r="N1803" s="1"/>
    </row>
    <row r="1804" spans="2:14" x14ac:dyDescent="0.35">
      <c r="B1804" s="5" t="str">
        <f t="shared" si="1863"/>
        <v>SPS1</v>
      </c>
      <c r="C1804" s="5" t="str">
        <f t="shared" si="1863"/>
        <v>CH</v>
      </c>
      <c r="D1804" t="s">
        <v>1834</v>
      </c>
      <c r="E1804" t="str">
        <f t="shared" si="1848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'[1]Electricity and CHPs_CAP'!F$34</f>
        <v>5.5532991205869457E-2</v>
      </c>
      <c r="K1804" s="1">
        <f>'[1]Electricity and CHPs_CAP'!G$34</f>
        <v>0.40970059990233015</v>
      </c>
      <c r="L1804" s="1">
        <f>'[1]Electricity and CHPs_CAP'!H$34</f>
        <v>0.825611535219962</v>
      </c>
      <c r="N1804" s="1"/>
    </row>
    <row r="1805" spans="2:14" x14ac:dyDescent="0.35">
      <c r="B1805" s="5" t="str">
        <f t="shared" ref="B1805:C1820" si="1867">B1804</f>
        <v>SPS1</v>
      </c>
      <c r="C1805" s="5" t="str">
        <f t="shared" si="1867"/>
        <v>CH</v>
      </c>
      <c r="D1805" t="s">
        <v>1835</v>
      </c>
      <c r="E1805" t="str">
        <f t="shared" si="1848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'[1]Electricity and CHPs_CAP'!F$35</f>
        <v>8.5593602447675607</v>
      </c>
      <c r="K1805" s="1">
        <f>'[1]Electricity and CHPs_CAP'!G$35</f>
        <v>11.775106221700637</v>
      </c>
      <c r="L1805" s="1">
        <f>'[1]Electricity and CHPs_CAP'!H$35</f>
        <v>18.1787824228552</v>
      </c>
      <c r="N1805" s="1"/>
    </row>
    <row r="1806" spans="2:14" x14ac:dyDescent="0.35">
      <c r="B1806" s="5" t="str">
        <f t="shared" si="1867"/>
        <v>SPS1</v>
      </c>
      <c r="C1806" s="5" t="str">
        <f t="shared" si="1867"/>
        <v>CH</v>
      </c>
      <c r="D1806" t="s">
        <v>1836</v>
      </c>
      <c r="E1806" t="str">
        <f t="shared" si="1848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'[1]Electricity and CHPs_CAP'!F$36</f>
        <v>1.3301616603215975</v>
      </c>
      <c r="K1806" s="1">
        <f>'[1]Electricity and CHPs_CAP'!G$36</f>
        <v>1.4119086271305801</v>
      </c>
      <c r="L1806" s="1">
        <f>'[1]Electricity and CHPs_CAP'!H$36</f>
        <v>1.5907819793073048</v>
      </c>
      <c r="N1806" s="1"/>
    </row>
    <row r="1807" spans="2:14" x14ac:dyDescent="0.35">
      <c r="B1807" s="5" t="str">
        <f t="shared" si="1867"/>
        <v>SPS1</v>
      </c>
      <c r="C1807" s="5" t="str">
        <f t="shared" si="1867"/>
        <v>CH</v>
      </c>
      <c r="D1807" t="s">
        <v>1837</v>
      </c>
      <c r="E1807" t="str">
        <f t="shared" si="1848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'[1]Electricity and CHPs_CAP'!F$37</f>
        <v>1.157348592612945</v>
      </c>
      <c r="K1807" s="1">
        <f>'[1]Electricity and CHPs_CAP'!G$37</f>
        <v>1.216398132333939</v>
      </c>
      <c r="L1807" s="1">
        <f>'[1]Electricity and CHPs_CAP'!H$37</f>
        <v>1.343676416666042</v>
      </c>
      <c r="N1807" s="1"/>
    </row>
    <row r="1808" spans="2:14" x14ac:dyDescent="0.35">
      <c r="B1808" s="5" t="str">
        <f t="shared" si="1867"/>
        <v>SPS1</v>
      </c>
      <c r="C1808" s="5" t="str">
        <f t="shared" si="1867"/>
        <v>CH</v>
      </c>
      <c r="D1808" t="s">
        <v>1838</v>
      </c>
      <c r="E1808" t="str">
        <f t="shared" si="1848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'[1]Electricity and CHPs_CAP'!F$38</f>
        <v>3.2532853423473291</v>
      </c>
      <c r="K1808" s="1">
        <f>'[1]Electricity and CHPs_CAP'!G$38</f>
        <v>3.6261209212000791</v>
      </c>
      <c r="L1808" s="1">
        <f>'[1]Electricity and CHPs_CAP'!H$38</f>
        <v>4.00553433530217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48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0</v>
      </c>
      <c r="N1809" s="1"/>
    </row>
    <row r="1810" spans="2:14" x14ac:dyDescent="0.35">
      <c r="B1810" s="5" t="str">
        <f t="shared" ref="B1810:C1810" si="1868">B1809</f>
        <v>SPS1</v>
      </c>
      <c r="C1810" s="5" t="str">
        <f t="shared" si="1868"/>
        <v>CH</v>
      </c>
      <c r="D1810" t="s">
        <v>1840</v>
      </c>
      <c r="E1810" t="str">
        <f t="shared" si="1848"/>
        <v>GWe/yr.</v>
      </c>
      <c r="F1810" s="1">
        <f>F1809</f>
        <v>0</v>
      </c>
      <c r="G1810" s="1">
        <f t="shared" ref="G1810:K1810" si="1869">G1809</f>
        <v>0</v>
      </c>
      <c r="H1810" s="1">
        <f t="shared" si="1869"/>
        <v>0</v>
      </c>
      <c r="I1810" s="1">
        <f t="shared" si="1869"/>
        <v>0</v>
      </c>
      <c r="J1810" s="1">
        <f t="shared" si="1869"/>
        <v>0</v>
      </c>
      <c r="K1810" s="1">
        <f t="shared" si="1869"/>
        <v>0</v>
      </c>
      <c r="L1810" s="1">
        <f t="shared" ref="L1810" si="1870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48"/>
        <v>GWe/yr.</v>
      </c>
      <c r="F1811" s="1">
        <f t="shared" ref="F1811:K1811" si="1871">SUM(F1812:F1814)</f>
        <v>0</v>
      </c>
      <c r="G1811" s="1">
        <f t="shared" si="1871"/>
        <v>0</v>
      </c>
      <c r="H1811" s="1">
        <f t="shared" si="1871"/>
        <v>0</v>
      </c>
      <c r="I1811" s="1">
        <f t="shared" si="1871"/>
        <v>2.0528716316637301E-4</v>
      </c>
      <c r="J1811" s="1">
        <f t="shared" si="1871"/>
        <v>7.9650764664760223E-4</v>
      </c>
      <c r="K1811" s="1">
        <f t="shared" si="1871"/>
        <v>1.6904574831579627E-2</v>
      </c>
      <c r="L1811" s="1">
        <f t="shared" ref="L1811" si="1872">SUM(L1812:L1814)</f>
        <v>6.1114823640862598E-2</v>
      </c>
      <c r="N1811" s="1"/>
    </row>
    <row r="1812" spans="2:14" x14ac:dyDescent="0.35">
      <c r="B1812" s="5" t="str">
        <f t="shared" si="1867"/>
        <v>SPS1</v>
      </c>
      <c r="C1812" s="5" t="str">
        <f t="shared" si="1867"/>
        <v>CH</v>
      </c>
      <c r="D1812" t="s">
        <v>1842</v>
      </c>
      <c r="E1812" t="str">
        <f t="shared" si="1848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1.6172506302981001E-2</v>
      </c>
      <c r="L1812" s="1">
        <f>'[1]Electricity and CHPs_CAP'!H$30</f>
        <v>1.6175341232348466E-2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48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5.7465899659621899E-4</v>
      </c>
      <c r="K1813" s="1">
        <f>'[1]Electricity and CHPs_CAP'!G$46</f>
        <v>5.7488077746335688E-4</v>
      </c>
      <c r="L1813" s="1">
        <f>'[1]Electricity and CHPs_CAP'!H$46</f>
        <v>4.4923039836749792E-2</v>
      </c>
      <c r="N1813" s="1"/>
    </row>
    <row r="1814" spans="2:14" x14ac:dyDescent="0.35">
      <c r="B1814" s="5" t="str">
        <f t="shared" si="1867"/>
        <v>SPS1</v>
      </c>
      <c r="C1814" s="5" t="str">
        <f t="shared" si="1867"/>
        <v>CH</v>
      </c>
      <c r="D1814" t="s">
        <v>1844</v>
      </c>
      <c r="E1814" t="str">
        <f t="shared" si="1848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'[1]Electricity and CHPs_CAP'!F$57</f>
        <v>2.2184865005138321E-4</v>
      </c>
      <c r="K1814" s="1">
        <f>'[1]Electricity and CHPs_CAP'!G$57</f>
        <v>1.5718775113526793E-4</v>
      </c>
      <c r="L1814" s="1">
        <f>'[1]Electricity and CHPs_CAP'!H$57</f>
        <v>1.6442571764334639E-5</v>
      </c>
      <c r="N1814" s="1"/>
    </row>
    <row r="1815" spans="2:14" x14ac:dyDescent="0.35">
      <c r="B1815" s="5" t="str">
        <f t="shared" si="1867"/>
        <v>SPS1</v>
      </c>
      <c r="C1815" s="5" t="str">
        <f t="shared" si="1867"/>
        <v>CH</v>
      </c>
      <c r="D1815" t="s">
        <v>1845</v>
      </c>
      <c r="E1815" t="str">
        <f t="shared" si="1848"/>
        <v>GWe/yr.</v>
      </c>
      <c r="F1815" s="1">
        <f>SUM(F1816:F1822)</f>
        <v>0.10819783596880893</v>
      </c>
      <c r="G1815" s="1">
        <f t="shared" ref="G1815:K1815" si="1873">SUM(G1816:G1822)</f>
        <v>0.1082030953739154</v>
      </c>
      <c r="H1815" s="1">
        <f t="shared" si="1873"/>
        <v>0.47120470277883431</v>
      </c>
      <c r="I1815" s="1">
        <f t="shared" si="1873"/>
        <v>0.49496595429216361</v>
      </c>
      <c r="J1815" s="1">
        <f t="shared" si="1873"/>
        <v>0.75230327034256539</v>
      </c>
      <c r="K1815" s="1">
        <f t="shared" si="1873"/>
        <v>0.9990585359220403</v>
      </c>
      <c r="L1815" s="1">
        <f t="shared" ref="L1815" si="1874">SUM(L1816:L1822)</f>
        <v>2.2033949954904677</v>
      </c>
      <c r="N1815" s="1"/>
    </row>
    <row r="1816" spans="2:14" x14ac:dyDescent="0.35">
      <c r="B1816" s="5" t="str">
        <f t="shared" si="1867"/>
        <v>SPS1</v>
      </c>
      <c r="C1816" s="5" t="str">
        <f t="shared" si="1867"/>
        <v>CH</v>
      </c>
      <c r="D1816" t="s">
        <v>1846</v>
      </c>
      <c r="E1816" t="str">
        <f t="shared" si="1848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'[1]Electricity and CHPs_CAP'!F$63</f>
        <v>9.9996072857547968E-2</v>
      </c>
      <c r="K1816" s="1">
        <f>'[1]Electricity and CHPs_CAP'!G$63</f>
        <v>9.9996733763913381E-2</v>
      </c>
      <c r="L1816" s="1">
        <f>'[1]Electricity and CHPs_CAP'!H$63</f>
        <v>9.9997351433058018E-2</v>
      </c>
      <c r="N1816" s="1"/>
    </row>
    <row r="1817" spans="2:14" x14ac:dyDescent="0.35">
      <c r="B1817" s="5" t="str">
        <f t="shared" si="1867"/>
        <v>SPS1</v>
      </c>
      <c r="C1817" s="5" t="str">
        <f t="shared" si="1867"/>
        <v>CH</v>
      </c>
      <c r="D1817" t="s">
        <v>1847</v>
      </c>
      <c r="E1817" t="str">
        <f t="shared" si="1848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'[1]Electricity and CHPs_CAP'!F$64</f>
        <v>3.9090172175682468E-2</v>
      </c>
      <c r="K1817" s="1">
        <f>'[1]Electricity and CHPs_CAP'!G$64</f>
        <v>7.9458526202741492E-2</v>
      </c>
      <c r="L1817" s="1">
        <f>'[1]Electricity and CHPs_CAP'!H$64</f>
        <v>0.84790073188985049</v>
      </c>
      <c r="N1817" s="1"/>
    </row>
    <row r="1818" spans="2:14" x14ac:dyDescent="0.35">
      <c r="B1818" s="5" t="str">
        <f t="shared" si="1867"/>
        <v>SPS1</v>
      </c>
      <c r="C1818" s="5" t="str">
        <f t="shared" si="1867"/>
        <v>CH</v>
      </c>
      <c r="D1818" t="s">
        <v>1848</v>
      </c>
      <c r="E1818" t="str">
        <f t="shared" si="1848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'[1]Electricity and CHPs_CAP'!F$65</f>
        <v>1.7784602939660783E-2</v>
      </c>
      <c r="K1818" s="1">
        <f>'[1]Electricity and CHPs_CAP'!G$65</f>
        <v>4.5508482474928086E-2</v>
      </c>
      <c r="L1818" s="1">
        <f>'[1]Electricity and CHPs_CAP'!H$65</f>
        <v>6.93362382105671E-2</v>
      </c>
      <c r="N1818" s="1"/>
    </row>
    <row r="1819" spans="2:14" x14ac:dyDescent="0.35">
      <c r="B1819" s="5" t="str">
        <f t="shared" si="1867"/>
        <v>SPS1</v>
      </c>
      <c r="C1819" s="5" t="str">
        <f t="shared" si="1867"/>
        <v>CH</v>
      </c>
      <c r="D1819" t="s">
        <v>1849</v>
      </c>
      <c r="E1819" t="str">
        <f t="shared" si="1848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'[1]Electricity and CHPs_CAP'!F$66</f>
        <v>0.26231856006490645</v>
      </c>
      <c r="K1819" s="1">
        <f>'[1]Electricity and CHPs_CAP'!G$66</f>
        <v>0.41218579297711255</v>
      </c>
      <c r="L1819" s="1">
        <f>'[1]Electricity and CHPs_CAP'!H$66</f>
        <v>0.74271270099655184</v>
      </c>
      <c r="N1819" s="1"/>
    </row>
    <row r="1820" spans="2:14" x14ac:dyDescent="0.35">
      <c r="B1820" s="5" t="str">
        <f t="shared" si="1867"/>
        <v>SPS1</v>
      </c>
      <c r="C1820" s="5" t="str">
        <f t="shared" si="1867"/>
        <v>CH</v>
      </c>
      <c r="D1820" t="s">
        <v>1855</v>
      </c>
      <c r="E1820" t="str">
        <f t="shared" si="1848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'[1]Electricity and CHPs_CAP'!F$67</f>
        <v>0.14351363517890575</v>
      </c>
      <c r="K1820" s="1">
        <f>'[1]Electricity and CHPs_CAP'!G$67</f>
        <v>0.1546609024325383</v>
      </c>
      <c r="L1820" s="1">
        <f>'[1]Electricity and CHPs_CAP'!H$67</f>
        <v>0.19138566374689503</v>
      </c>
      <c r="N1820" s="1"/>
    </row>
    <row r="1821" spans="2:14" x14ac:dyDescent="0.35">
      <c r="B1821" s="5" t="str">
        <f t="shared" ref="B1821:C1822" si="1875">B1820</f>
        <v>SPS1</v>
      </c>
      <c r="C1821" s="5" t="str">
        <f t="shared" si="1875"/>
        <v>CH</v>
      </c>
      <c r="D1821" t="s">
        <v>1850</v>
      </c>
      <c r="E1821" t="str">
        <f t="shared" si="1848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'[1]Electricity and CHPs_CAP'!F$68</f>
        <v>5.068790154893215E-2</v>
      </c>
      <c r="K1821" s="1">
        <f>'[1]Electricity and CHPs_CAP'!G$68</f>
        <v>5.1493656380314203E-2</v>
      </c>
      <c r="L1821" s="1">
        <f>'[1]Electricity and CHPs_CAP'!H$68</f>
        <v>6.2539922816008731E-2</v>
      </c>
      <c r="N1821" s="1"/>
    </row>
    <row r="1822" spans="2:14" x14ac:dyDescent="0.35">
      <c r="B1822" s="5" t="str">
        <f t="shared" si="1875"/>
        <v>SPS1</v>
      </c>
      <c r="C1822" s="5" t="str">
        <f t="shared" si="1875"/>
        <v>CH</v>
      </c>
      <c r="D1822" t="s">
        <v>1851</v>
      </c>
      <c r="E1822" t="str">
        <f t="shared" si="1848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'[1]Electricity and CHPs_CAP'!F$69</f>
        <v>0.13891232557692978</v>
      </c>
      <c r="K1822" s="1">
        <f>'[1]Electricity and CHPs_CAP'!G$69</f>
        <v>0.15575444169049218</v>
      </c>
      <c r="L1822" s="1">
        <f>'[1]Electricity and CHPs_CAP'!H$69</f>
        <v>0.18952238639753638</v>
      </c>
      <c r="N1822" s="1"/>
    </row>
    <row r="1823" spans="2:14" x14ac:dyDescent="0.35">
      <c r="B1823" s="5" t="str">
        <f t="shared" ref="B1823:C1823" si="1876">B1822</f>
        <v>SPS1</v>
      </c>
      <c r="C1823" s="5" t="str">
        <f t="shared" si="1876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77">SUM(G1824,G1843)</f>
        <v>11.714243708074516</v>
      </c>
      <c r="H1823" s="3">
        <f t="shared" si="1877"/>
        <v>11.24428175727809</v>
      </c>
      <c r="I1823" s="3">
        <f t="shared" si="1877"/>
        <v>12.58909938207702</v>
      </c>
      <c r="J1823" s="3">
        <f t="shared" si="1877"/>
        <v>8.7259905094209085</v>
      </c>
      <c r="K1823" s="3">
        <f t="shared" si="1877"/>
        <v>8.1902506827653134</v>
      </c>
      <c r="L1823" s="3">
        <f t="shared" ref="L1823" si="1878">SUM(L1824,L1843)</f>
        <v>7.327321531002279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79">SUM(G1825,G1828,G1830,G1833,G1835,G1837,G1839,G1841)</f>
        <v>9.7128772196946578</v>
      </c>
      <c r="H1824" s="1">
        <f t="shared" si="1879"/>
        <v>9.3724959355985611</v>
      </c>
      <c r="I1824" s="1">
        <f t="shared" si="1879"/>
        <v>10.519350688642499</v>
      </c>
      <c r="J1824" s="1">
        <f t="shared" si="1879"/>
        <v>6.9176485906201943</v>
      </c>
      <c r="K1824" s="1">
        <f t="shared" si="1879"/>
        <v>6.1699794175125788</v>
      </c>
      <c r="L1824" s="1">
        <f t="shared" ref="L1824" si="1880">SUM(L1825,L1828,L1830,L1833,L1835,L1837,L1839,L1841)</f>
        <v>5.1759905455962736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81">SUM(G1826:G1827)</f>
        <v>2.3830094208097927</v>
      </c>
      <c r="H1825" s="1">
        <f t="shared" si="1881"/>
        <v>2.8119227772975832</v>
      </c>
      <c r="I1825" s="1">
        <f t="shared" si="1881"/>
        <v>3.8762769513932813</v>
      </c>
      <c r="J1825" s="1">
        <f t="shared" si="1881"/>
        <v>4.2793847962549831</v>
      </c>
      <c r="K1825" s="1">
        <f t="shared" si="1881"/>
        <v>4.7730363930521067</v>
      </c>
      <c r="L1825" s="1">
        <f t="shared" ref="L1825" si="1882">SUM(L1826:L1827)</f>
        <v>4.3189607773037055</v>
      </c>
      <c r="N1825" s="1"/>
    </row>
    <row r="1826" spans="2:14" x14ac:dyDescent="0.35">
      <c r="B1826" s="5" t="str">
        <f t="shared" ref="B1826:C1826" si="1883">B1825</f>
        <v>SPS1</v>
      </c>
      <c r="C1826" s="5" t="str">
        <f t="shared" si="1883"/>
        <v>CH</v>
      </c>
      <c r="D1826" t="s">
        <v>1862</v>
      </c>
      <c r="E1826" t="str">
        <f t="shared" ref="E1826:E1889" si="1884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SUMPRODUCT(([1]OUT_FinalEnergyCons!$B$4:$B$10000="var_cap")*1,(ISNUMBER(SEARCH("RH*-SHELCBR",[1]OUT_FinalEnergyCons!$A$4:$A$10000)))*1,[1]OUT_FinalEnergyCons!H$4:H$10000)</f>
        <v>2.0903407921179652E-2</v>
      </c>
      <c r="K1826" s="1" cm="1">
        <f t="array" ref="K1826">SUMPRODUCT(([1]OUT_FinalEnergyCons!$B$4:$B$10000="var_cap")*1,(ISNUMBER(SEARCH("RH*-SHELCBR",[1]OUT_FinalEnergyCons!$A$4:$A$10000)))*1,[1]OUT_FinalEnergyCons!I$4:I$10000)</f>
        <v>5.1160199922134176E-3</v>
      </c>
      <c r="L1826" s="1" cm="1">
        <f t="array" ref="L1826">SUMPRODUCT(([1]OUT_FinalEnergyCons!$B$4:$B$10000="var_cap")*1,(ISNUMBER(SEARCH("RH*-SHELCBR",[1]OUT_FinalEnergyCons!$A$4:$A$10000)))*1,[1]OUT_FinalEnergyCons!J$4:J$10000)</f>
        <v>2.1927497316824697E-3</v>
      </c>
      <c r="N1826" s="1"/>
    </row>
    <row r="1827" spans="2:14" x14ac:dyDescent="0.35">
      <c r="B1827" s="5" t="str">
        <f t="shared" ref="B1827:C1827" si="1885">B1826</f>
        <v>SPS1</v>
      </c>
      <c r="C1827" s="5" t="str">
        <f t="shared" si="1885"/>
        <v>CH</v>
      </c>
      <c r="D1827" t="s">
        <v>1863</v>
      </c>
      <c r="E1827" t="str">
        <f t="shared" si="1884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SUMPRODUCT(([1]OUT_FinalEnergyCons!$B$4:$B$10000="var_cap")*1,ISNUMBER(SEARCH("RH*-SHELCHP",[1]OUT_FinalEnergyCons!$A$4:$A$10000))*1,[1]OUT_FinalEnergyCons!H$4:H$10000)</f>
        <v>4.2584813883338031</v>
      </c>
      <c r="K1827" s="1" cm="1">
        <f t="array" ref="K1827">SUMPRODUCT(([1]OUT_FinalEnergyCons!$B$4:$B$10000="var_cap")*1,ISNUMBER(SEARCH("RH*-SHELCHP",[1]OUT_FinalEnergyCons!$A$4:$A$10000))*1,[1]OUT_FinalEnergyCons!I$4:I$10000)</f>
        <v>4.7679203730598934</v>
      </c>
      <c r="L1827" s="1" cm="1">
        <f t="array" ref="L1827">SUMPRODUCT(([1]OUT_FinalEnergyCons!$B$4:$B$10000="var_cap")*1,ISNUMBER(SEARCH("RH*-SHELCHP",[1]OUT_FinalEnergyCons!$A$4:$A$10000))*1,[1]OUT_FinalEnergyCons!J$4:J$10000)</f>
        <v>4.3167680275720235</v>
      </c>
      <c r="N1827" s="1"/>
    </row>
    <row r="1828" spans="2:14" x14ac:dyDescent="0.35">
      <c r="B1828" s="5" t="str">
        <f t="shared" ref="B1828:C1828" si="1886">B1827</f>
        <v>SPS1</v>
      </c>
      <c r="C1828" s="5" t="str">
        <f t="shared" si="1886"/>
        <v>CH</v>
      </c>
      <c r="D1828" t="s">
        <v>1864</v>
      </c>
      <c r="E1828" t="str">
        <f t="shared" si="1884"/>
        <v>GWth/yr.</v>
      </c>
      <c r="F1828" s="1">
        <f>F1829</f>
        <v>3.4074053831106799</v>
      </c>
      <c r="G1828" s="1">
        <f t="shared" ref="G1828:L1828" si="1887">G1829</f>
        <v>3.2691972409515806</v>
      </c>
      <c r="H1828" s="1">
        <f t="shared" si="1887"/>
        <v>2.7149370620505398</v>
      </c>
      <c r="I1828" s="1">
        <f t="shared" si="1887"/>
        <v>2.6388039162945049</v>
      </c>
      <c r="J1828" s="1">
        <f t="shared" si="1887"/>
        <v>0.74413904574141421</v>
      </c>
      <c r="K1828" s="1">
        <f t="shared" si="1887"/>
        <v>0.18638773505189946</v>
      </c>
      <c r="L1828" s="1">
        <f t="shared" si="1887"/>
        <v>3.1253477832457896E-2</v>
      </c>
      <c r="N1828" s="1"/>
    </row>
    <row r="1829" spans="2:14" x14ac:dyDescent="0.35">
      <c r="B1829" s="5" t="str">
        <f t="shared" ref="B1829:C1829" si="1888">B1828</f>
        <v>SPS1</v>
      </c>
      <c r="C1829" s="5" t="str">
        <f t="shared" si="1888"/>
        <v>CH</v>
      </c>
      <c r="D1829" t="s">
        <v>1865</v>
      </c>
      <c r="E1829" t="str">
        <f t="shared" si="1884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SUMPRODUCT(([1]OUT_FinalEnergyCons!$B$4:$B$10000="var_cap")*1, (ISNUMBER(SEARCH("RH*-SHLFOBR",[1]OUT_FinalEnergyCons!$A$4:$A$10000)))*1,[1]OUT_FinalEnergyCons!H$4:H$10000)</f>
        <v>0.74413904574141421</v>
      </c>
      <c r="K1829" s="1" cm="1">
        <f t="array" ref="K1829">SUMPRODUCT(([1]OUT_FinalEnergyCons!$B$4:$B$10000="var_cap")*1, (ISNUMBER(SEARCH("RH*-SHLFOBR",[1]OUT_FinalEnergyCons!$A$4:$A$10000)))*1,[1]OUT_FinalEnergyCons!I$4:I$10000)</f>
        <v>0.18638773505189946</v>
      </c>
      <c r="L1829" s="1" cm="1">
        <f t="array" ref="L1829">SUMPRODUCT(([1]OUT_FinalEnergyCons!$B$4:$B$10000="var_cap")*1, (ISNUMBER(SEARCH("RH*-SHLFOBR",[1]OUT_FinalEnergyCons!$A$4:$A$10000)))*1,[1]OUT_FinalEnergyCons!J$4:J$10000)</f>
        <v>3.1253477832457896E-2</v>
      </c>
      <c r="N1829" s="1"/>
    </row>
    <row r="1830" spans="2:14" x14ac:dyDescent="0.35">
      <c r="B1830" s="5" t="str">
        <f t="shared" ref="B1830:C1830" si="1889">B1829</f>
        <v>SPS1</v>
      </c>
      <c r="C1830" s="5" t="str">
        <f t="shared" si="1889"/>
        <v>CH</v>
      </c>
      <c r="D1830" t="s">
        <v>1866</v>
      </c>
      <c r="E1830" t="str">
        <f t="shared" si="1884"/>
        <v>GWth/yr.</v>
      </c>
      <c r="F1830" s="1">
        <f>SUM(F1831:F1832)</f>
        <v>2.7687543035215603</v>
      </c>
      <c r="G1830" s="1">
        <f t="shared" ref="G1830:K1830" si="1890">SUM(G1831:G1832)</f>
        <v>2.9422929201264161</v>
      </c>
      <c r="H1830" s="1">
        <f t="shared" si="1890"/>
        <v>2.9606925505967001</v>
      </c>
      <c r="I1830" s="1">
        <f t="shared" si="1890"/>
        <v>3.1225630371996811</v>
      </c>
      <c r="J1830" s="1">
        <f t="shared" si="1890"/>
        <v>1.4045771025440947</v>
      </c>
      <c r="K1830" s="1">
        <f t="shared" si="1890"/>
        <v>0.89498017038301048</v>
      </c>
      <c r="L1830" s="1">
        <f t="shared" ref="L1830" si="1891">SUM(L1831:L1832)</f>
        <v>0.66810097724946627</v>
      </c>
      <c r="N1830" s="1"/>
    </row>
    <row r="1831" spans="2:14" x14ac:dyDescent="0.35">
      <c r="B1831" s="5" t="str">
        <f t="shared" ref="B1831:C1831" si="1892">B1830</f>
        <v>SPS1</v>
      </c>
      <c r="C1831" s="5" t="str">
        <f t="shared" si="1892"/>
        <v>CH</v>
      </c>
      <c r="D1831" t="s">
        <v>1867</v>
      </c>
      <c r="E1831" t="str">
        <f t="shared" si="1884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SUMPRODUCT(([1]OUT_FinalEnergyCons!$B$4:$B$10000="var_cap")*1, (ISNUMBER(SEARCH("RH*-SHNGABR",[1]OUT_FinalEnergyCons!$A$4:$A$10000)))*1,[1]OUT_FinalEnergyCons!H$4:H$10000)</f>
        <v>0.84538769429455007</v>
      </c>
      <c r="K1831" s="1" cm="1">
        <f t="array" ref="K1831">SUMPRODUCT(([1]OUT_FinalEnergyCons!$B$4:$B$10000="var_cap")*1, (ISNUMBER(SEARCH("RH*-SHNGABR",[1]OUT_FinalEnergyCons!$A$4:$A$10000)))*1,[1]OUT_FinalEnergyCons!I$4:I$10000)</f>
        <v>0.28390076882310566</v>
      </c>
      <c r="L1831" s="1" cm="1">
        <f t="array" ref="L1831">SUMPRODUCT(([1]OUT_FinalEnergyCons!$B$4:$B$10000="var_cap")*1, (ISNUMBER(SEARCH("RH*-SHNGABR",[1]OUT_FinalEnergyCons!$A$4:$A$10000)))*1,[1]OUT_FinalEnergyCons!J$4:J$10000)</f>
        <v>0.15006668209271135</v>
      </c>
      <c r="N1831" s="1"/>
    </row>
    <row r="1832" spans="2:14" x14ac:dyDescent="0.35">
      <c r="B1832" s="5" t="str">
        <f t="shared" ref="B1832:C1832" si="1893">B1831</f>
        <v>SPS1</v>
      </c>
      <c r="C1832" s="5" t="str">
        <f t="shared" si="1893"/>
        <v>CH</v>
      </c>
      <c r="D1832" t="s">
        <v>1868</v>
      </c>
      <c r="E1832" t="str">
        <f t="shared" si="1884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SUMPRODUCT(([1]OUT_FinalEnergyCons!$B$4:$B$10000="var_cap")*1,ISNUMBER(SEARCH("RH*-SHngahp",[1]OUT_FinalEnergyCons!$A$4:$A$10000))*1,[1]OUT_FinalEnergyCons!H$4:H$10000)</f>
        <v>0.55918940824954466</v>
      </c>
      <c r="K1832" s="1" cm="1">
        <f t="array" ref="K1832">SUMPRODUCT(([1]OUT_FinalEnergyCons!$B$4:$B$10000="var_cap")*1,ISNUMBER(SEARCH("RH*-SHngahp",[1]OUT_FinalEnergyCons!$A$4:$A$10000))*1,[1]OUT_FinalEnergyCons!I$4:I$10000)</f>
        <v>0.61107940155990481</v>
      </c>
      <c r="L1832" s="1" cm="1">
        <f t="array" ref="L1832">SUMPRODUCT(([1]OUT_FinalEnergyCons!$B$4:$B$10000="var_cap")*1,ISNUMBER(SEARCH("RH*-SHngahp",[1]OUT_FinalEnergyCons!$A$4:$A$10000))*1,[1]OUT_FinalEnergyCons!J$4:J$10000)</f>
        <v>0.51803429515675492</v>
      </c>
      <c r="N1832" s="1"/>
    </row>
    <row r="1833" spans="2:14" x14ac:dyDescent="0.35">
      <c r="B1833" s="5" t="str">
        <f t="shared" ref="B1833:C1833" si="1894">B1832</f>
        <v>SPS1</v>
      </c>
      <c r="C1833" s="5" t="str">
        <f t="shared" si="1894"/>
        <v>CH</v>
      </c>
      <c r="D1833" t="s">
        <v>1869</v>
      </c>
      <c r="E1833" t="str">
        <f t="shared" si="1884"/>
        <v>GWth/yr.</v>
      </c>
      <c r="F1833" s="1">
        <f>F1834</f>
        <v>7.0000000000000001E-3</v>
      </c>
      <c r="G1833" s="1">
        <f t="shared" ref="G1833:L1833" si="1895">G1834</f>
        <v>6.9784923519878236E-3</v>
      </c>
      <c r="H1833" s="1">
        <f t="shared" si="1895"/>
        <v>2.7613932808527005E-3</v>
      </c>
      <c r="I1833" s="1">
        <f t="shared" si="1895"/>
        <v>3.051148290400367E-6</v>
      </c>
      <c r="J1833" s="1">
        <f t="shared" si="1895"/>
        <v>1.213800940199055E-7</v>
      </c>
      <c r="K1833" s="1">
        <f t="shared" si="1895"/>
        <v>0</v>
      </c>
      <c r="L1833" s="1">
        <f t="shared" si="1895"/>
        <v>0</v>
      </c>
      <c r="N1833" s="1"/>
    </row>
    <row r="1834" spans="2:14" x14ac:dyDescent="0.35">
      <c r="B1834" s="5" t="str">
        <f t="shared" ref="B1834:C1834" si="1896">B1833</f>
        <v>SPS1</v>
      </c>
      <c r="C1834" s="5" t="str">
        <f t="shared" si="1896"/>
        <v>CH</v>
      </c>
      <c r="D1834" t="s">
        <v>1870</v>
      </c>
      <c r="E1834" t="str">
        <f t="shared" si="1884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1.213800940199055E-7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897">G1836</f>
        <v>0.73417465725077935</v>
      </c>
      <c r="H1835" s="1">
        <f t="shared" si="1897"/>
        <v>0.73012203366160056</v>
      </c>
      <c r="I1835" s="1">
        <f t="shared" si="1897"/>
        <v>0.72983536030683682</v>
      </c>
      <c r="J1835" s="1">
        <f t="shared" si="1897"/>
        <v>0.43928100192154312</v>
      </c>
      <c r="K1835" s="1">
        <f t="shared" si="1897"/>
        <v>0.30196668483769867</v>
      </c>
      <c r="L1835" s="1">
        <f t="shared" si="1897"/>
        <v>0.1471275743183639</v>
      </c>
      <c r="N1835" s="1"/>
    </row>
    <row r="1836" spans="2:14" x14ac:dyDescent="0.35">
      <c r="B1836" s="5" t="str">
        <f t="shared" ref="B1836:C1836" si="1898">B1835</f>
        <v>SPS1</v>
      </c>
      <c r="C1836" s="5" t="str">
        <f t="shared" si="1898"/>
        <v>CH</v>
      </c>
      <c r="D1836" t="s">
        <v>1872</v>
      </c>
      <c r="E1836" t="str">
        <f t="shared" si="1884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SUMPRODUCT(([1]OUT_FinalEnergyCons!$B$4:$B$10000="var_cap")*1, (ISNUMBER(SEARCH("RH*-SHWODBR",[1]OUT_FinalEnergyCons!$A$4:$A$10000)))*1,[1]OUT_FinalEnergyCons!H$4:H$10000)</f>
        <v>0.43928100192154312</v>
      </c>
      <c r="K1836" s="1" cm="1">
        <f t="array" ref="K1836">SUMPRODUCT(([1]OUT_FinalEnergyCons!$B$4:$B$10000="var_cap")*1, (ISNUMBER(SEARCH("RH*-SHWODBR",[1]OUT_FinalEnergyCons!$A$4:$A$10000)))*1,[1]OUT_FinalEnergyCons!I$4:I$10000)</f>
        <v>0.30196668483769867</v>
      </c>
      <c r="L1836" s="1" cm="1">
        <f t="array" ref="L1836">SUMPRODUCT(([1]OUT_FinalEnergyCons!$B$4:$B$10000="var_cap")*1, (ISNUMBER(SEARCH("RH*-SHWODBR",[1]OUT_FinalEnergyCons!$A$4:$A$10000)))*1,[1]OUT_FinalEnergyCons!J$4:J$10000)</f>
        <v>0.1471275743183639</v>
      </c>
      <c r="N1836" s="1"/>
    </row>
    <row r="1837" spans="2:14" x14ac:dyDescent="0.35">
      <c r="B1837" s="5" t="str">
        <f t="shared" ref="B1837:C1837" si="1899">B1836</f>
        <v>SPS1</v>
      </c>
      <c r="C1837" s="5" t="str">
        <f t="shared" si="1899"/>
        <v>CH</v>
      </c>
      <c r="D1837" t="s">
        <v>1873</v>
      </c>
      <c r="E1837" t="str">
        <f t="shared" si="1884"/>
        <v>GWth/yr.</v>
      </c>
      <c r="F1837" s="1">
        <f>F1838</f>
        <v>0.20439027462555695</v>
      </c>
      <c r="G1837" s="1">
        <f t="shared" ref="G1837:L1837" si="1900">G1838</f>
        <v>0.24033503328768674</v>
      </c>
      <c r="H1837" s="1">
        <f t="shared" si="1900"/>
        <v>1.5713955802544789E-2</v>
      </c>
      <c r="I1837" s="1">
        <f t="shared" si="1900"/>
        <v>1.5475712234937475E-2</v>
      </c>
      <c r="J1837" s="1">
        <f t="shared" si="1900"/>
        <v>9.0379287048740955E-3</v>
      </c>
      <c r="K1837" s="1">
        <f t="shared" si="1900"/>
        <v>5.7884999423805077E-3</v>
      </c>
      <c r="L1837" s="1">
        <f t="shared" si="1900"/>
        <v>3.222969059277791E-3</v>
      </c>
      <c r="N1837" s="1"/>
    </row>
    <row r="1838" spans="2:14" x14ac:dyDescent="0.35">
      <c r="B1838" s="5" t="str">
        <f t="shared" ref="B1838:C1838" si="1901">B1837</f>
        <v>SPS1</v>
      </c>
      <c r="C1838" s="5" t="str">
        <f t="shared" si="1901"/>
        <v>CH</v>
      </c>
      <c r="D1838" t="s">
        <v>1874</v>
      </c>
      <c r="E1838" t="str">
        <f t="shared" si="1884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SUMPRODUCT(([1]OUT_FinalEnergyCons!$B$4:$B$10000="var_cap")*1, (ISNUMBER(SEARCH("RH*-SHPLTBR",[1]OUT_FinalEnergyCons!$A$4:$A$10000)))*1,[1]OUT_FinalEnergyCons!H$4:H$10000)</f>
        <v>9.0379287048740955E-3</v>
      </c>
      <c r="K1838" s="1" cm="1">
        <f t="array" ref="K1838">SUMPRODUCT(([1]OUT_FinalEnergyCons!$B$4:$B$10000="var_cap")*1, (ISNUMBER(SEARCH("RH*-SHPLTBR",[1]OUT_FinalEnergyCons!$A$4:$A$10000)))*1,[1]OUT_FinalEnergyCons!I$4:I$10000)</f>
        <v>5.7884999423805077E-3</v>
      </c>
      <c r="L1838" s="1" cm="1">
        <f t="array" ref="L1838">SUMPRODUCT(([1]OUT_FinalEnergyCons!$B$4:$B$10000="var_cap")*1, (ISNUMBER(SEARCH("RH*-SHPLTBR",[1]OUT_FinalEnergyCons!$A$4:$A$10000)))*1,[1]OUT_FinalEnergyCons!J$4:J$10000)</f>
        <v>3.222969059277791E-3</v>
      </c>
      <c r="N1838" s="1"/>
    </row>
    <row r="1839" spans="2:14" x14ac:dyDescent="0.35">
      <c r="B1839" s="5" t="str">
        <f t="shared" ref="B1839:C1839" si="1902">B1838</f>
        <v>SPS1</v>
      </c>
      <c r="C1839" s="5" t="str">
        <f t="shared" si="1902"/>
        <v>CH</v>
      </c>
      <c r="D1839" t="s">
        <v>1875</v>
      </c>
      <c r="E1839" t="str">
        <f t="shared" si="1884"/>
        <v>GWth/yr.</v>
      </c>
      <c r="F1839" s="1">
        <f>F1840</f>
        <v>0.11408250767753189</v>
      </c>
      <c r="G1839" s="1">
        <f t="shared" ref="G1839:L1839" si="1903">G1840</f>
        <v>0.13688945491641322</v>
      </c>
      <c r="H1839" s="1">
        <f t="shared" si="1903"/>
        <v>0.13634616290873841</v>
      </c>
      <c r="I1839" s="1">
        <f t="shared" si="1903"/>
        <v>0.13639266006496625</v>
      </c>
      <c r="J1839" s="1">
        <f t="shared" si="1903"/>
        <v>4.1228594073191044E-2</v>
      </c>
      <c r="K1839" s="1">
        <f t="shared" si="1903"/>
        <v>7.8199342454834883E-3</v>
      </c>
      <c r="L1839" s="1">
        <f t="shared" si="1903"/>
        <v>7.324769833002156E-3</v>
      </c>
      <c r="N1839" s="1"/>
    </row>
    <row r="1840" spans="2:14" x14ac:dyDescent="0.35">
      <c r="B1840" s="5" t="str">
        <f t="shared" ref="B1840:C1840" si="1904">B1839</f>
        <v>SPS1</v>
      </c>
      <c r="C1840" s="5" t="str">
        <f t="shared" si="1904"/>
        <v>CH</v>
      </c>
      <c r="D1840" t="s">
        <v>1876</v>
      </c>
      <c r="E1840" t="str">
        <f t="shared" si="1884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SUMPRODUCT(([1]OUT_FinalEnergyCons!$B$4:$B$10000="var_cap")*1, (ISNUMBER(SEARCH("RH*-SHSOLBR",[1]OUT_FinalEnergyCons!$A$4:$A$10000)))*1,[1]OUT_FinalEnergyCons!H$4:H$10000)</f>
        <v>4.1228594073191044E-2</v>
      </c>
      <c r="K1840" s="1" cm="1">
        <f t="array" ref="K1840">SUMPRODUCT(([1]OUT_FinalEnergyCons!$B$4:$B$10000="var_cap")*1, (ISNUMBER(SEARCH("RH*-SHSOLBR",[1]OUT_FinalEnergyCons!$A$4:$A$10000)))*1,[1]OUT_FinalEnergyCons!I$4:I$10000)</f>
        <v>7.8199342454834883E-3</v>
      </c>
      <c r="L1840" s="1" cm="1">
        <f t="array" ref="L1840">SUMPRODUCT(([1]OUT_FinalEnergyCons!$B$4:$B$10000="var_cap")*1, (ISNUMBER(SEARCH("RH*-SHSOLBR",[1]OUT_FinalEnergyCons!$A$4:$A$10000)))*1,[1]OUT_FinalEnergyCons!J$4:J$10000)</f>
        <v>7.324769833002156E-3</v>
      </c>
      <c r="N1840" s="1"/>
    </row>
    <row r="1841" spans="2:14" x14ac:dyDescent="0.35">
      <c r="B1841" s="5" t="str">
        <f t="shared" ref="B1841:C1841" si="1905">B1840</f>
        <v>SPS1</v>
      </c>
      <c r="C1841" s="5" t="str">
        <f t="shared" si="1905"/>
        <v>CH</v>
      </c>
      <c r="D1841" t="s">
        <v>1877</v>
      </c>
      <c r="E1841" t="str">
        <f t="shared" si="1884"/>
        <v>GWth/yr.</v>
      </c>
      <c r="F1841" s="1">
        <f>F1842</f>
        <v>0</v>
      </c>
      <c r="G1841" s="1">
        <f t="shared" ref="G1841:L1841" si="1906">G1842</f>
        <v>0</v>
      </c>
      <c r="H1841" s="1">
        <f t="shared" si="1906"/>
        <v>0</v>
      </c>
      <c r="I1841" s="1">
        <f t="shared" si="1906"/>
        <v>0</v>
      </c>
      <c r="J1841" s="1">
        <f t="shared" si="1906"/>
        <v>0</v>
      </c>
      <c r="K1841" s="1">
        <f t="shared" si="1906"/>
        <v>0</v>
      </c>
      <c r="L1841" s="1">
        <f t="shared" si="1906"/>
        <v>0</v>
      </c>
      <c r="N1841" s="1"/>
    </row>
    <row r="1842" spans="2:14" x14ac:dyDescent="0.35">
      <c r="B1842" s="5" t="str">
        <f t="shared" ref="B1842:C1842" si="1907">B1841</f>
        <v>SPS1</v>
      </c>
      <c r="C1842" s="5" t="str">
        <f t="shared" si="1907"/>
        <v>CH</v>
      </c>
      <c r="D1842" t="s">
        <v>1878</v>
      </c>
      <c r="E1842" t="str">
        <f t="shared" si="1884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N1842" s="1"/>
    </row>
    <row r="1843" spans="2:14" x14ac:dyDescent="0.35">
      <c r="B1843" s="5" t="str">
        <f t="shared" ref="B1843:C1843" si="1908">B1842</f>
        <v>SPS1</v>
      </c>
      <c r="C1843" s="5" t="str">
        <f t="shared" si="1908"/>
        <v>CH</v>
      </c>
      <c r="D1843" t="s">
        <v>1879</v>
      </c>
      <c r="E1843" t="str">
        <f t="shared" si="1884"/>
        <v>GWth/yr.</v>
      </c>
      <c r="F1843" s="1">
        <f>SUM(F1844,F1847,F1849,F1852,F1854,F1856,F1858,F1860)</f>
        <v>1.8610018241879485</v>
      </c>
      <c r="G1843" s="1">
        <f t="shared" ref="G1843" si="1909">SUM(G1844,G1847,G1849,G1852,G1854,G1856,G1858,G1860)</f>
        <v>2.0013664883798574</v>
      </c>
      <c r="H1843" s="1">
        <f t="shared" ref="H1843" si="1910">SUM(H1844,H1847,H1849,H1852,H1854,H1856,H1858,H1860)</f>
        <v>1.8717858216795284</v>
      </c>
      <c r="I1843" s="1">
        <f t="shared" ref="I1843" si="1911">SUM(I1844,I1847,I1849,I1852,I1854,I1856,I1858,I1860)</f>
        <v>2.0697486934345215</v>
      </c>
      <c r="J1843" s="1">
        <f t="shared" ref="J1843" si="1912">SUM(J1844,J1847,J1849,J1852,J1854,J1856,J1858,J1860)</f>
        <v>1.8083419188007144</v>
      </c>
      <c r="K1843" s="1">
        <f t="shared" ref="K1843:L1843" si="1913">SUM(K1844,K1847,K1849,K1852,K1854,K1856,K1858,K1860)</f>
        <v>2.0202712652527355</v>
      </c>
      <c r="L1843" s="1">
        <f t="shared" si="1913"/>
        <v>2.1513309854060054</v>
      </c>
      <c r="N1843" s="1"/>
    </row>
    <row r="1844" spans="2:14" x14ac:dyDescent="0.35">
      <c r="B1844" s="5" t="str">
        <f t="shared" ref="B1844:C1844" si="1914">B1843</f>
        <v>SPS1</v>
      </c>
      <c r="C1844" s="5" t="str">
        <f t="shared" si="1914"/>
        <v>CH</v>
      </c>
      <c r="D1844" t="s">
        <v>1880</v>
      </c>
      <c r="E1844" t="str">
        <f t="shared" si="1884"/>
        <v>GWth/yr.</v>
      </c>
      <c r="F1844" s="1">
        <f>SUM(F1845:F1846)</f>
        <v>0.65094371566580389</v>
      </c>
      <c r="G1844" s="1">
        <f t="shared" ref="G1844" si="1915">SUM(G1845:G1846)</f>
        <v>0.71793862643853212</v>
      </c>
      <c r="H1844" s="1">
        <f t="shared" ref="H1844" si="1916">SUM(H1845:H1846)</f>
        <v>0.69984371503592857</v>
      </c>
      <c r="I1844" s="1">
        <f t="shared" ref="I1844" si="1917">SUM(I1845:I1846)</f>
        <v>0.85289010599071269</v>
      </c>
      <c r="J1844" s="1">
        <f t="shared" ref="J1844" si="1918">SUM(J1845:J1846)</f>
        <v>0.90325503486835945</v>
      </c>
      <c r="K1844" s="1">
        <f t="shared" ref="K1844:L1844" si="1919">SUM(K1845:K1846)</f>
        <v>1.0832994232144841</v>
      </c>
      <c r="L1844" s="1">
        <f t="shared" si="1919"/>
        <v>1.1626931894799728</v>
      </c>
      <c r="N1844" s="1"/>
    </row>
    <row r="1845" spans="2:14" x14ac:dyDescent="0.35">
      <c r="B1845" s="5" t="str">
        <f t="shared" ref="B1845:C1845" si="1920">B1844</f>
        <v>SPS1</v>
      </c>
      <c r="C1845" s="5" t="str">
        <f t="shared" si="1920"/>
        <v>CH</v>
      </c>
      <c r="D1845" t="s">
        <v>1881</v>
      </c>
      <c r="E1845" t="str">
        <f t="shared" si="1884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SUMPRODUCT(([1]OUT_FinalEnergyCons!$B$4:$B$10000="var_cap")*1,(ISNUMBER(SEARCH("RH*-WHELCBR",[1]OUT_FinalEnergyCons!$A$4:$A$10000)))*1,[1]OUT_FinalEnergyCons!H$4:H$10000)</f>
        <v>0.1237924060980467</v>
      </c>
      <c r="K1845" s="1" cm="1">
        <f t="array" ref="K1845">SUMPRODUCT(([1]OUT_FinalEnergyCons!$B$4:$B$10000="var_cap")*1,(ISNUMBER(SEARCH("RH*-WHELCBR",[1]OUT_FinalEnergyCons!$A$4:$A$10000)))*1,[1]OUT_FinalEnergyCons!I$4:I$10000)</f>
        <v>0.11102757456354992</v>
      </c>
      <c r="L1845" s="1" cm="1">
        <f t="array" ref="L1845">SUMPRODUCT(([1]OUT_FinalEnergyCons!$B$4:$B$10000="var_cap")*1,(ISNUMBER(SEARCH("RH*-WHELCBR",[1]OUT_FinalEnergyCons!$A$4:$A$10000)))*1,[1]OUT_FinalEnergyCons!J$4:J$10000)</f>
        <v>9.6970178706085139E-2</v>
      </c>
      <c r="N1845" s="1"/>
    </row>
    <row r="1846" spans="2:14" x14ac:dyDescent="0.35">
      <c r="B1846" s="5" t="str">
        <f t="shared" ref="B1846:C1846" si="1921">B1845</f>
        <v>SPS1</v>
      </c>
      <c r="C1846" s="5" t="str">
        <f t="shared" si="1921"/>
        <v>CH</v>
      </c>
      <c r="D1846" t="s">
        <v>1882</v>
      </c>
      <c r="E1846" t="str">
        <f t="shared" si="1884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SUMPRODUCT(([1]OUT_FinalEnergyCons!$B$4:$B$10000="var_cap")*1,ISNUMBER(SEARCH("RH*-WHELCHP",[1]OUT_FinalEnergyCons!$A$4:$A$10000))*1,[1]OUT_FinalEnergyCons!H$4:H$10000)</f>
        <v>0.7794626287703128</v>
      </c>
      <c r="K1846" s="1" cm="1">
        <f t="array" ref="K1846">SUMPRODUCT(([1]OUT_FinalEnergyCons!$B$4:$B$10000="var_cap")*1,ISNUMBER(SEARCH("RH*-WHELCHP",[1]OUT_FinalEnergyCons!$A$4:$A$10000))*1,[1]OUT_FinalEnergyCons!I$4:I$10000)</f>
        <v>0.9722718486509343</v>
      </c>
      <c r="L1846" s="1" cm="1">
        <f t="array" ref="L1846">SUMPRODUCT(([1]OUT_FinalEnergyCons!$B$4:$B$10000="var_cap")*1,ISNUMBER(SEARCH("RH*-WHELCHP",[1]OUT_FinalEnergyCons!$A$4:$A$10000))*1,[1]OUT_FinalEnergyCons!J$4:J$10000)</f>
        <v>1.0657230107738878</v>
      </c>
      <c r="N1846" s="1"/>
    </row>
    <row r="1847" spans="2:14" x14ac:dyDescent="0.35">
      <c r="B1847" s="5" t="str">
        <f t="shared" ref="B1847:C1847" si="1922">B1846</f>
        <v>SPS1</v>
      </c>
      <c r="C1847" s="5" t="str">
        <f t="shared" si="1922"/>
        <v>CH</v>
      </c>
      <c r="D1847" t="s">
        <v>1883</v>
      </c>
      <c r="E1847" t="str">
        <f t="shared" si="1884"/>
        <v>GWth/yr.</v>
      </c>
      <c r="F1847" s="1">
        <f>F1848</f>
        <v>0.47738433216181703</v>
      </c>
      <c r="G1847" s="1">
        <f t="shared" ref="G1847" si="1923">G1848</f>
        <v>0.46812091910172032</v>
      </c>
      <c r="H1847" s="1">
        <f t="shared" ref="H1847" si="1924">H1848</f>
        <v>0.32232637739807479</v>
      </c>
      <c r="I1847" s="1">
        <f t="shared" ref="I1847" si="1925">I1848</f>
        <v>0.2775346453361735</v>
      </c>
      <c r="J1847" s="1">
        <f t="shared" ref="J1847" si="1926">J1848</f>
        <v>8.6234674321679597E-2</v>
      </c>
      <c r="K1847" s="1">
        <f t="shared" ref="K1847:L1847" si="1927">K1848</f>
        <v>3.0935552696996188E-2</v>
      </c>
      <c r="L1847" s="1">
        <f t="shared" si="1927"/>
        <v>2.6425543994604006E-3</v>
      </c>
      <c r="N1847" s="1"/>
    </row>
    <row r="1848" spans="2:14" x14ac:dyDescent="0.35">
      <c r="B1848" s="5" t="str">
        <f t="shared" ref="B1848:C1848" si="1928">B1847</f>
        <v>SPS1</v>
      </c>
      <c r="C1848" s="5" t="str">
        <f t="shared" si="1928"/>
        <v>CH</v>
      </c>
      <c r="D1848" t="s">
        <v>1884</v>
      </c>
      <c r="E1848" t="str">
        <f t="shared" si="1884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SUMPRODUCT(([1]OUT_FinalEnergyCons!$B$4:$B$10000="var_cap")*1, (ISNUMBER(SEARCH("RH*-WHLFOBR",[1]OUT_FinalEnergyCons!$A$4:$A$10000)))*1,[1]OUT_FinalEnergyCons!H$4:H$10000)</f>
        <v>8.6234674321679597E-2</v>
      </c>
      <c r="K1848" s="1" cm="1">
        <f t="array" ref="K1848">SUMPRODUCT(([1]OUT_FinalEnergyCons!$B$4:$B$10000="var_cap")*1, (ISNUMBER(SEARCH("RH*-WHLFOBR",[1]OUT_FinalEnergyCons!$A$4:$A$10000)))*1,[1]OUT_FinalEnergyCons!I$4:I$10000)</f>
        <v>3.0935552696996188E-2</v>
      </c>
      <c r="L1848" s="1" cm="1">
        <f t="array" ref="L1848">SUMPRODUCT(([1]OUT_FinalEnergyCons!$B$4:$B$10000="var_cap")*1, (ISNUMBER(SEARCH("RH*-WHLFOBR",[1]OUT_FinalEnergyCons!$A$4:$A$10000)))*1,[1]OUT_FinalEnergyCons!J$4:J$10000)</f>
        <v>2.6425543994604006E-3</v>
      </c>
      <c r="N1848" s="1"/>
    </row>
    <row r="1849" spans="2:14" x14ac:dyDescent="0.35">
      <c r="B1849" s="5" t="str">
        <f t="shared" ref="B1849:C1849" si="1929">B1848</f>
        <v>SPS1</v>
      </c>
      <c r="C1849" s="5" t="str">
        <f t="shared" si="1929"/>
        <v>CH</v>
      </c>
      <c r="D1849" t="s">
        <v>1885</v>
      </c>
      <c r="E1849" t="str">
        <f t="shared" si="1884"/>
        <v>GWth/yr.</v>
      </c>
      <c r="F1849" s="1">
        <f>SUM(F1850:F1851)</f>
        <v>0.43610075806793741</v>
      </c>
      <c r="G1849" s="1">
        <f t="shared" ref="G1849" si="1930">SUM(G1850:G1851)</f>
        <v>0.42754573277753932</v>
      </c>
      <c r="H1849" s="1">
        <f t="shared" ref="H1849" si="1931">SUM(H1850:H1851)</f>
        <v>0.44451032590408729</v>
      </c>
      <c r="I1849" s="1">
        <f t="shared" ref="I1849" si="1932">SUM(I1850:I1851)</f>
        <v>0.49271443632366807</v>
      </c>
      <c r="J1849" s="1">
        <f t="shared" ref="J1849" si="1933">SUM(J1850:J1851)</f>
        <v>0.31023148641403919</v>
      </c>
      <c r="K1849" s="1">
        <f t="shared" ref="K1849:L1849" si="1934">SUM(K1850:K1851)</f>
        <v>0.29000729019245108</v>
      </c>
      <c r="L1849" s="1">
        <f t="shared" si="1934"/>
        <v>0.27639725716055619</v>
      </c>
      <c r="N1849" s="1"/>
    </row>
    <row r="1850" spans="2:14" x14ac:dyDescent="0.35">
      <c r="B1850" s="5" t="str">
        <f t="shared" ref="B1850:C1850" si="1935">B1849</f>
        <v>SPS1</v>
      </c>
      <c r="C1850" s="5" t="str">
        <f t="shared" si="1935"/>
        <v>CH</v>
      </c>
      <c r="D1850" t="s">
        <v>1886</v>
      </c>
      <c r="E1850" t="str">
        <f t="shared" si="1884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SUMPRODUCT(([1]OUT_FinalEnergyCons!$B$4:$B$10000="var_cap")*1, (ISNUMBER(SEARCH("RH*-WHNGABR",[1]OUT_FinalEnergyCons!$A$4:$A$10000)))*1,[1]OUT_FinalEnergyCons!H$4:H$10000)</f>
        <v>0.12142118479074859</v>
      </c>
      <c r="K1850" s="1" cm="1">
        <f t="array" ref="K1850">SUMPRODUCT(([1]OUT_FinalEnergyCons!$B$4:$B$10000="var_cap")*1, (ISNUMBER(SEARCH("RH*-WHNGABR",[1]OUT_FinalEnergyCons!$A$4:$A$10000)))*1,[1]OUT_FinalEnergyCons!I$4:I$10000)</f>
        <v>5.2582829634129309E-2</v>
      </c>
      <c r="L1850" s="1" cm="1">
        <f t="array" ref="L1850">SUMPRODUCT(([1]OUT_FinalEnergyCons!$B$4:$B$10000="var_cap")*1, (ISNUMBER(SEARCH("RH*-WHNGABR",[1]OUT_FinalEnergyCons!$A$4:$A$10000)))*1,[1]OUT_FinalEnergyCons!J$4:J$10000)</f>
        <v>2.9109259318782669E-2</v>
      </c>
      <c r="N1850" s="1"/>
    </row>
    <row r="1851" spans="2:14" x14ac:dyDescent="0.35">
      <c r="B1851" s="5" t="str">
        <f t="shared" ref="B1851:C1851" si="1936">B1850</f>
        <v>SPS1</v>
      </c>
      <c r="C1851" s="5" t="str">
        <f t="shared" si="1936"/>
        <v>CH</v>
      </c>
      <c r="D1851" t="s">
        <v>1887</v>
      </c>
      <c r="E1851" t="str">
        <f t="shared" si="1884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SUMPRODUCT(([1]OUT_FinalEnergyCons!$B$4:$B$10000="var_cap")*1,ISNUMBER(SEARCH("RH*-WHngahp",[1]OUT_FinalEnergyCons!$A$4:$A$10000))*1,[1]OUT_FinalEnergyCons!H$4:H$10000)</f>
        <v>0.18881030162329057</v>
      </c>
      <c r="K1851" s="1" cm="1">
        <f t="array" ref="K1851">SUMPRODUCT(([1]OUT_FinalEnergyCons!$B$4:$B$10000="var_cap")*1,ISNUMBER(SEARCH("RH*-WHngahp",[1]OUT_FinalEnergyCons!$A$4:$A$10000))*1,[1]OUT_FinalEnergyCons!I$4:I$10000)</f>
        <v>0.23742446055832175</v>
      </c>
      <c r="L1851" s="1" cm="1">
        <f t="array" ref="L1851">SUMPRODUCT(([1]OUT_FinalEnergyCons!$B$4:$B$10000="var_cap")*1,ISNUMBER(SEARCH("RH*-WHngahp",[1]OUT_FinalEnergyCons!$A$4:$A$10000))*1,[1]OUT_FinalEnergyCons!J$4:J$10000)</f>
        <v>0.24728799784177352</v>
      </c>
      <c r="N1851" s="1"/>
    </row>
    <row r="1852" spans="2:14" x14ac:dyDescent="0.35">
      <c r="B1852" s="5" t="str">
        <f t="shared" ref="B1852:C1852" si="1937">B1851</f>
        <v>SPS1</v>
      </c>
      <c r="C1852" s="5" t="str">
        <f t="shared" si="1937"/>
        <v>CH</v>
      </c>
      <c r="D1852" t="s">
        <v>1888</v>
      </c>
      <c r="E1852" t="str">
        <f t="shared" si="1884"/>
        <v>GWth/yr.</v>
      </c>
      <c r="F1852" s="1">
        <f>F1853</f>
        <v>0</v>
      </c>
      <c r="G1852" s="1">
        <f t="shared" ref="G1852" si="1938">G1853</f>
        <v>0</v>
      </c>
      <c r="H1852" s="1">
        <f t="shared" ref="H1852" si="1939">H1853</f>
        <v>0</v>
      </c>
      <c r="I1852" s="1">
        <f t="shared" ref="I1852" si="1940">I1853</f>
        <v>0</v>
      </c>
      <c r="J1852" s="1">
        <f t="shared" ref="J1852" si="1941">J1853</f>
        <v>0</v>
      </c>
      <c r="K1852" s="1">
        <f t="shared" ref="K1852:L1852" si="1942">K1853</f>
        <v>0</v>
      </c>
      <c r="L1852" s="1">
        <f t="shared" si="1942"/>
        <v>0</v>
      </c>
      <c r="N1852" s="1"/>
    </row>
    <row r="1853" spans="2:14" x14ac:dyDescent="0.35">
      <c r="B1853" s="5" t="str">
        <f t="shared" ref="B1853:C1853" si="1943">B1852</f>
        <v>SPS1</v>
      </c>
      <c r="C1853" s="5" t="str">
        <f t="shared" si="1943"/>
        <v>CH</v>
      </c>
      <c r="D1853" t="s">
        <v>1889</v>
      </c>
      <c r="E1853" t="str">
        <f t="shared" si="1884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N1853" s="1"/>
    </row>
    <row r="1854" spans="2:14" x14ac:dyDescent="0.35">
      <c r="B1854" s="5" t="str">
        <f t="shared" ref="B1854:C1854" si="1944">B1853</f>
        <v>SPS1</v>
      </c>
      <c r="C1854" s="5" t="str">
        <f t="shared" si="1944"/>
        <v>CH</v>
      </c>
      <c r="D1854" t="s">
        <v>1890</v>
      </c>
      <c r="E1854" t="str">
        <f t="shared" si="1884"/>
        <v>GWth/yr.</v>
      </c>
      <c r="F1854" s="1">
        <f>F1855</f>
        <v>3.5322010722483803E-2</v>
      </c>
      <c r="G1854" s="1">
        <f t="shared" ref="G1854" si="1945">G1855</f>
        <v>4.0458476663416551E-2</v>
      </c>
      <c r="H1854" s="1">
        <f t="shared" ref="H1854" si="1946">H1855</f>
        <v>6.7259928834266222E-2</v>
      </c>
      <c r="I1854" s="1">
        <f t="shared" ref="I1854" si="1947">I1855</f>
        <v>6.6036571218456699E-2</v>
      </c>
      <c r="J1854" s="1">
        <f t="shared" ref="J1854" si="1948">J1855</f>
        <v>4.8908781514040649E-2</v>
      </c>
      <c r="K1854" s="1">
        <f t="shared" ref="K1854:L1854" si="1949">K1855</f>
        <v>3.7483924208979516E-2</v>
      </c>
      <c r="L1854" s="1">
        <f t="shared" si="1949"/>
        <v>2.026342148149899E-2</v>
      </c>
      <c r="N1854" s="1"/>
    </row>
    <row r="1855" spans="2:14" x14ac:dyDescent="0.35">
      <c r="B1855" s="5" t="str">
        <f t="shared" ref="B1855:C1855" si="1950">B1854</f>
        <v>SPS1</v>
      </c>
      <c r="C1855" s="5" t="str">
        <f t="shared" si="1950"/>
        <v>CH</v>
      </c>
      <c r="D1855" t="s">
        <v>1891</v>
      </c>
      <c r="E1855" t="str">
        <f t="shared" si="1884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SUMPRODUCT(([1]OUT_FinalEnergyCons!$B$4:$B$10000="var_cap")*1, (ISNUMBER(SEARCH("RH*-WHWODBR",[1]OUT_FinalEnergyCons!$A$4:$A$10000)))*1,[1]OUT_FinalEnergyCons!H$4:H$10000)</f>
        <v>4.8908781514040649E-2</v>
      </c>
      <c r="K1855" s="1" cm="1">
        <f t="array" ref="K1855">SUMPRODUCT(([1]OUT_FinalEnergyCons!$B$4:$B$10000="var_cap")*1, (ISNUMBER(SEARCH("RH*-WHWODBR",[1]OUT_FinalEnergyCons!$A$4:$A$10000)))*1,[1]OUT_FinalEnergyCons!I$4:I$10000)</f>
        <v>3.7483924208979516E-2</v>
      </c>
      <c r="L1855" s="1" cm="1">
        <f t="array" ref="L1855">SUMPRODUCT(([1]OUT_FinalEnergyCons!$B$4:$B$10000="var_cap")*1, (ISNUMBER(SEARCH("RH*-WHWODBR",[1]OUT_FinalEnergyCons!$A$4:$A$10000)))*1,[1]OUT_FinalEnergyCons!J$4:J$10000)</f>
        <v>2.026342148149899E-2</v>
      </c>
      <c r="N1855" s="1"/>
    </row>
    <row r="1856" spans="2:14" x14ac:dyDescent="0.35">
      <c r="B1856" s="5" t="str">
        <f t="shared" ref="B1856:C1856" si="1951">B1855</f>
        <v>SPS1</v>
      </c>
      <c r="C1856" s="5" t="str">
        <f t="shared" si="1951"/>
        <v>CH</v>
      </c>
      <c r="D1856" t="s">
        <v>1892</v>
      </c>
      <c r="E1856" t="str">
        <f t="shared" si="1884"/>
        <v>GWth/yr.</v>
      </c>
      <c r="F1856" s="1">
        <f>F1857</f>
        <v>1.12410901121583E-2</v>
      </c>
      <c r="G1856" s="1">
        <f t="shared" ref="G1856" si="1952">G1857</f>
        <v>1.3196809744555737E-2</v>
      </c>
      <c r="H1856" s="1">
        <f t="shared" ref="H1856" si="1953">H1857</f>
        <v>3.7385966462187489E-3</v>
      </c>
      <c r="I1856" s="1">
        <f t="shared" ref="I1856" si="1954">I1857</f>
        <v>3.2057460304129193E-3</v>
      </c>
      <c r="J1856" s="1">
        <f t="shared" ref="J1856" si="1955">J1857</f>
        <v>2.0583612653619402E-3</v>
      </c>
      <c r="K1856" s="1">
        <f t="shared" ref="K1856:L1856" si="1956">K1857</f>
        <v>1.5007166637466699E-3</v>
      </c>
      <c r="L1856" s="1">
        <f t="shared" si="1956"/>
        <v>8.4013301672417626E-4</v>
      </c>
      <c r="N1856" s="1"/>
    </row>
    <row r="1857" spans="2:14" x14ac:dyDescent="0.35">
      <c r="B1857" s="5" t="str">
        <f t="shared" ref="B1857:C1857" si="1957">B1856</f>
        <v>SPS1</v>
      </c>
      <c r="C1857" s="5" t="str">
        <f t="shared" si="1957"/>
        <v>CH</v>
      </c>
      <c r="D1857" t="s">
        <v>1893</v>
      </c>
      <c r="E1857" t="str">
        <f t="shared" si="1884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SUMPRODUCT(([1]OUT_FinalEnergyCons!$B$4:$B$10000="var_cap")*1, (ISNUMBER(SEARCH("RH*-WHPLTBR",[1]OUT_FinalEnergyCons!$A$4:$A$10000)))*1,[1]OUT_FinalEnergyCons!H$4:H$10000)</f>
        <v>2.0583612653619402E-3</v>
      </c>
      <c r="K1857" s="1" cm="1">
        <f t="array" ref="K1857">SUMPRODUCT(([1]OUT_FinalEnergyCons!$B$4:$B$10000="var_cap")*1, (ISNUMBER(SEARCH("RH*-WHPLTBR",[1]OUT_FinalEnergyCons!$A$4:$A$10000)))*1,[1]OUT_FinalEnergyCons!I$4:I$10000)</f>
        <v>1.5007166637466699E-3</v>
      </c>
      <c r="L1857" s="1" cm="1">
        <f t="array" ref="L1857">SUMPRODUCT(([1]OUT_FinalEnergyCons!$B$4:$B$10000="var_cap")*1, (ISNUMBER(SEARCH("RH*-WHPLTBR",[1]OUT_FinalEnergyCons!$A$4:$A$10000)))*1,[1]OUT_FinalEnergyCons!J$4:J$10000)</f>
        <v>8.4013301672417626E-4</v>
      </c>
      <c r="N1857" s="1"/>
    </row>
    <row r="1858" spans="2:14" x14ac:dyDescent="0.35">
      <c r="B1858" s="5" t="str">
        <f t="shared" ref="B1858:C1858" si="1958">B1857</f>
        <v>SPS1</v>
      </c>
      <c r="C1858" s="5" t="str">
        <f t="shared" si="1958"/>
        <v>CH</v>
      </c>
      <c r="D1858" t="s">
        <v>1894</v>
      </c>
      <c r="E1858" t="str">
        <f t="shared" si="1884"/>
        <v>GWth/yr.</v>
      </c>
      <c r="F1858" s="1">
        <f>F1859</f>
        <v>0.25000991745774798</v>
      </c>
      <c r="G1858" s="1">
        <f t="shared" ref="G1858" si="1959">G1859</f>
        <v>0.33410592365409292</v>
      </c>
      <c r="H1858" s="1">
        <f t="shared" ref="H1858" si="1960">H1859</f>
        <v>0.334106877860953</v>
      </c>
      <c r="I1858" s="1">
        <f t="shared" ref="I1858" si="1961">I1859</f>
        <v>0.3773671885350976</v>
      </c>
      <c r="J1858" s="1">
        <f t="shared" ref="J1858" si="1962">J1859</f>
        <v>0.45765358041723364</v>
      </c>
      <c r="K1858" s="1">
        <f t="shared" ref="K1858:L1858" si="1963">K1859</f>
        <v>0.57704435827607825</v>
      </c>
      <c r="L1858" s="1">
        <f t="shared" si="1963"/>
        <v>0.68849442986779263</v>
      </c>
      <c r="N1858" s="1"/>
    </row>
    <row r="1859" spans="2:14" x14ac:dyDescent="0.35">
      <c r="B1859" s="5" t="str">
        <f t="shared" ref="B1859:C1859" si="1964">B1858</f>
        <v>SPS1</v>
      </c>
      <c r="C1859" s="5" t="str">
        <f t="shared" si="1964"/>
        <v>CH</v>
      </c>
      <c r="D1859" t="s">
        <v>1895</v>
      </c>
      <c r="E1859" t="str">
        <f t="shared" si="1884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SUMPRODUCT(([1]OUT_FinalEnergyCons!$B$4:$B$10000="var_cap")*1, (ISNUMBER(SEARCH("RH*-WHSOLBR",[1]OUT_FinalEnergyCons!$A$4:$A$10000)))*1,[1]OUT_FinalEnergyCons!H$4:H$10000)</f>
        <v>0.45765358041723364</v>
      </c>
      <c r="K1859" s="1" cm="1">
        <f t="array" ref="K1859">SUMPRODUCT(([1]OUT_FinalEnergyCons!$B$4:$B$10000="var_cap")*1, (ISNUMBER(SEARCH("RH*-WHSOLBR",[1]OUT_FinalEnergyCons!$A$4:$A$10000)))*1,[1]OUT_FinalEnergyCons!I$4:I$10000)</f>
        <v>0.57704435827607825</v>
      </c>
      <c r="L1859" s="1" cm="1">
        <f t="array" ref="L1859">SUMPRODUCT(([1]OUT_FinalEnergyCons!$B$4:$B$10000="var_cap")*1, (ISNUMBER(SEARCH("RH*-WHSOLBR",[1]OUT_FinalEnergyCons!$A$4:$A$10000)))*1,[1]OUT_FinalEnergyCons!J$4:J$10000)</f>
        <v>0.68849442986779263</v>
      </c>
      <c r="N1859" s="1"/>
    </row>
    <row r="1860" spans="2:14" x14ac:dyDescent="0.35">
      <c r="B1860" s="5" t="str">
        <f t="shared" ref="B1860:C1860" si="1965">B1859</f>
        <v>SPS1</v>
      </c>
      <c r="C1860" s="5" t="str">
        <f t="shared" si="1965"/>
        <v>CH</v>
      </c>
      <c r="D1860" t="s">
        <v>1896</v>
      </c>
      <c r="E1860" t="str">
        <f t="shared" si="1884"/>
        <v>GWth/yr.</v>
      </c>
      <c r="F1860" s="1">
        <f>F1861</f>
        <v>0</v>
      </c>
      <c r="G1860" s="1">
        <f t="shared" ref="G1860" si="1966">G1861</f>
        <v>0</v>
      </c>
      <c r="H1860" s="1">
        <f t="shared" ref="H1860" si="1967">H1861</f>
        <v>0</v>
      </c>
      <c r="I1860" s="1">
        <f t="shared" ref="I1860" si="1968">I1861</f>
        <v>0</v>
      </c>
      <c r="J1860" s="1">
        <f t="shared" ref="J1860" si="1969">J1861</f>
        <v>0</v>
      </c>
      <c r="K1860" s="1">
        <f t="shared" ref="K1860:L1860" si="1970">K1861</f>
        <v>0</v>
      </c>
      <c r="L1860" s="1">
        <f t="shared" si="1970"/>
        <v>0</v>
      </c>
      <c r="N1860" s="1"/>
    </row>
    <row r="1861" spans="2:14" x14ac:dyDescent="0.35">
      <c r="B1861" s="5" t="str">
        <f t="shared" ref="B1861:C1865" si="1971">B1860</f>
        <v>SPS1</v>
      </c>
      <c r="C1861" s="5" t="str">
        <f t="shared" si="1971"/>
        <v>CH</v>
      </c>
      <c r="D1861" t="s">
        <v>1897</v>
      </c>
      <c r="E1861" t="str">
        <f t="shared" si="1884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N1861" s="1"/>
    </row>
    <row r="1862" spans="2:14" x14ac:dyDescent="0.35">
      <c r="B1862" s="9" t="str">
        <f t="shared" si="1971"/>
        <v>SPS1</v>
      </c>
      <c r="C1862" s="9" t="str">
        <f t="shared" si="1971"/>
        <v>CH</v>
      </c>
      <c r="D1862" s="2" t="s">
        <v>1899</v>
      </c>
      <c r="E1862" s="9" t="str">
        <f t="shared" si="1884"/>
        <v>GWth/yr.</v>
      </c>
      <c r="F1862" s="17">
        <f>SUM(F1863,F1866,F1869,F1873,F1875,F1877,F1879,F1881,F1883)</f>
        <v>3.6022039323296173</v>
      </c>
      <c r="G1862" s="17">
        <f t="shared" ref="G1862:K1862" si="1972">SUM(G1863,G1866,G1869,G1873,G1875,G1877,G1879,G1881,G1883)</f>
        <v>3.8316344976775234</v>
      </c>
      <c r="H1862" s="17">
        <f t="shared" si="1972"/>
        <v>3.6566072949549806</v>
      </c>
      <c r="I1862" s="17">
        <f t="shared" si="1972"/>
        <v>3.6909841948815152</v>
      </c>
      <c r="J1862" s="17">
        <f t="shared" si="1972"/>
        <v>3.1438534601319592</v>
      </c>
      <c r="K1862" s="17">
        <f t="shared" si="1972"/>
        <v>2.7403480896626928</v>
      </c>
      <c r="L1862" s="17">
        <f t="shared" ref="L1862" si="1973">SUM(L1863,L1866,L1869,L1873,L1875,L1877,L1879,L1881,L1883)</f>
        <v>2.4920372310997259</v>
      </c>
      <c r="N1862" s="1"/>
    </row>
    <row r="1863" spans="2:14" x14ac:dyDescent="0.35">
      <c r="B1863" s="5" t="str">
        <f>B1862</f>
        <v>SPS1</v>
      </c>
      <c r="C1863" s="5" t="str">
        <f t="shared" si="1971"/>
        <v>CH</v>
      </c>
      <c r="D1863" t="s">
        <v>2093</v>
      </c>
      <c r="E1863" t="str">
        <f t="shared" si="1884"/>
        <v>GWth/yr.</v>
      </c>
      <c r="F1863" s="18">
        <f>SUM(F1864:F1865)</f>
        <v>0.61671309762324311</v>
      </c>
      <c r="G1863" s="18">
        <f t="shared" ref="G1863:K1863" si="1974">SUM(G1864:G1865)</f>
        <v>0.83156231510858136</v>
      </c>
      <c r="H1863" s="18">
        <f t="shared" si="1974"/>
        <v>0.83251386016649154</v>
      </c>
      <c r="I1863" s="18">
        <f t="shared" si="1974"/>
        <v>0.95046077636702531</v>
      </c>
      <c r="J1863" s="18">
        <f t="shared" si="1974"/>
        <v>1.2248036541698544</v>
      </c>
      <c r="K1863" s="18">
        <f t="shared" si="1974"/>
        <v>1.1896210436121102</v>
      </c>
      <c r="L1863" s="18">
        <f t="shared" ref="L1863" si="1975">SUM(L1864:L1865)</f>
        <v>1.2588037967838019</v>
      </c>
      <c r="N1863" s="1"/>
    </row>
    <row r="1864" spans="2:14" x14ac:dyDescent="0.35">
      <c r="B1864" s="5" t="str">
        <f t="shared" ref="B1864:B1865" si="1976">B1863</f>
        <v>SPS1</v>
      </c>
      <c r="C1864" s="5" t="str">
        <f t="shared" si="1971"/>
        <v>CH</v>
      </c>
      <c r="D1864" t="s">
        <v>2094</v>
      </c>
      <c r="E1864" t="str">
        <f t="shared" si="1884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SUMPRODUCT(([1]OUT_FinalEnergyCons!$B$4:$B$10000="Var_cap")*1,  (ISNUMBER(SEARCH("ITOT-SWHELCBR",[1]OUT_FinalEnergyCons!$A$4:$A$10000)))*1,[1]OUT_FinalEnergyCons!H$4:H$10000)</f>
        <v>0.84885051413527879</v>
      </c>
      <c r="K1864" s="1" cm="1">
        <f t="array" ref="K1864">SUMPRODUCT(([1]OUT_FinalEnergyCons!$B$4:$B$10000="Var_cap")*1,  (ISNUMBER(SEARCH("ITOT-SWHELCBR",[1]OUT_FinalEnergyCons!$A$4:$A$10000)))*1,[1]OUT_FinalEnergyCons!I$4:I$10000)</f>
        <v>0.81045248050879359</v>
      </c>
      <c r="L1864" s="1" cm="1">
        <f t="array" ref="L1864">SUMPRODUCT(([1]OUT_FinalEnergyCons!$B$4:$B$10000="Var_cap")*1,  (ISNUMBER(SEARCH("ITOT-SWHELCBR",[1]OUT_FinalEnergyCons!$A$4:$A$10000)))*1,[1]OUT_FinalEnergyCons!J$4:J$10000)</f>
        <v>0.88002437594601191</v>
      </c>
      <c r="N1864" s="1"/>
    </row>
    <row r="1865" spans="2:14" x14ac:dyDescent="0.35">
      <c r="B1865" s="5" t="str">
        <f t="shared" si="1976"/>
        <v>SPS1</v>
      </c>
      <c r="C1865" s="5" t="str">
        <f t="shared" si="1971"/>
        <v>CH</v>
      </c>
      <c r="D1865" t="s">
        <v>2095</v>
      </c>
      <c r="E1865" t="str">
        <f t="shared" si="1884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SUMPRODUCT(([1]OUT_FinalEnergyCons!$B$4:$B$10000="Var_cap")*1,  (ISNUMBER(SEARCH("ITOT-SWHELCHP",[1]OUT_FinalEnergyCons!$A$4:$A$10000)))*1,[1]OUT_FinalEnergyCons!H$4:H$10000)</f>
        <v>0.37595314003457547</v>
      </c>
      <c r="K1865" s="1" cm="1">
        <f t="array" ref="K1865">SUMPRODUCT(([1]OUT_FinalEnergyCons!$B$4:$B$10000="Var_cap")*1,  (ISNUMBER(SEARCH("ITOT-SWHELCHP",[1]OUT_FinalEnergyCons!$A$4:$A$10000)))*1,[1]OUT_FinalEnergyCons!I$4:I$10000)</f>
        <v>0.37916856310331665</v>
      </c>
      <c r="L1865" s="1" cm="1">
        <f t="array" ref="L1865">SUMPRODUCT(([1]OUT_FinalEnergyCons!$B$4:$B$10000="Var_cap")*1,  (ISNUMBER(SEARCH("ITOT-SWHELCHP",[1]OUT_FinalEnergyCons!$A$4:$A$10000)))*1,[1]OUT_FinalEnergyCons!J$4:J$10000)</f>
        <v>0.37877942083778993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4"/>
        <v>GWth/yr.</v>
      </c>
      <c r="F1866" s="18">
        <f>SUM(F1867:F1868)</f>
        <v>0.47912462638024783</v>
      </c>
      <c r="G1866" s="18">
        <f t="shared" ref="G1866:K1866" si="1977">SUM(G1867:G1868)</f>
        <v>0.49159687745562064</v>
      </c>
      <c r="H1866" s="18">
        <f t="shared" si="1977"/>
        <v>0.38911132380376556</v>
      </c>
      <c r="I1866" s="18">
        <f t="shared" si="1977"/>
        <v>0.38763170861114504</v>
      </c>
      <c r="J1866" s="18">
        <f t="shared" si="1977"/>
        <v>0.22074392263885234</v>
      </c>
      <c r="K1866" s="18">
        <f t="shared" si="1977"/>
        <v>0.12038571551852564</v>
      </c>
      <c r="L1866" s="18">
        <f t="shared" ref="L1866" si="1978">SUM(L1867:L1868)</f>
        <v>2.2269186793516003E-2</v>
      </c>
      <c r="N1866" s="1"/>
    </row>
    <row r="1867" spans="2:14" x14ac:dyDescent="0.35">
      <c r="B1867" s="5" t="str">
        <f t="shared" ref="B1867:B1884" si="1979">B1866</f>
        <v>SPS1</v>
      </c>
      <c r="C1867" s="5" t="str">
        <f t="shared" ref="C1867:C1884" si="1980">C1866</f>
        <v>CH</v>
      </c>
      <c r="D1867" t="s">
        <v>2097</v>
      </c>
      <c r="E1867" t="str">
        <f t="shared" si="1884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SUMPRODUCT(([1]OUT_FinalEnergyCons!$B$4:$B$10000="Var_cap")*1,  (ISNUMBER(SEARCH("ITOT-SWHLFOBR",[1]OUT_FinalEnergyCons!$A$4:$A$10000)))*1,[1]OUT_FinalEnergyCons!H$4:H$10000)</f>
        <v>0.22064779476044463</v>
      </c>
      <c r="K1867" s="1" cm="1">
        <f t="array" ref="K1867">SUMPRODUCT(([1]OUT_FinalEnergyCons!$B$4:$B$10000="Var_cap")*1,  (ISNUMBER(SEARCH("ITOT-SWHLFOBR",[1]OUT_FinalEnergyCons!$A$4:$A$10000)))*1,[1]OUT_FinalEnergyCons!I$4:I$10000)</f>
        <v>0.12038331895991039</v>
      </c>
      <c r="L1867" s="1" cm="1">
        <f t="array" ref="L1867">SUMPRODUCT(([1]OUT_FinalEnergyCons!$B$4:$B$10000="Var_cap")*1,  (ISNUMBER(SEARCH("ITOT-SWHLFOBR",[1]OUT_FinalEnergyCons!$A$4:$A$10000)))*1,[1]OUT_FinalEnergyCons!J$4:J$10000)</f>
        <v>2.2269186793516003E-2</v>
      </c>
      <c r="N1867" s="1"/>
    </row>
    <row r="1868" spans="2:14" x14ac:dyDescent="0.35">
      <c r="B1868" s="5" t="str">
        <f t="shared" si="1979"/>
        <v>SPS1</v>
      </c>
      <c r="C1868" s="5" t="str">
        <f t="shared" si="1980"/>
        <v>CH</v>
      </c>
      <c r="D1868" t="s">
        <v>2098</v>
      </c>
      <c r="E1868" t="str">
        <f t="shared" si="1884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9.6127878407716028E-5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2.3965586152470045E-6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0</v>
      </c>
      <c r="N1868" s="1"/>
    </row>
    <row r="1869" spans="2:14" x14ac:dyDescent="0.35">
      <c r="B1869" s="5" t="str">
        <f t="shared" si="1979"/>
        <v>SPS1</v>
      </c>
      <c r="C1869" s="5" t="str">
        <f t="shared" si="1980"/>
        <v>CH</v>
      </c>
      <c r="D1869" t="s">
        <v>2099</v>
      </c>
      <c r="E1869" t="str">
        <f t="shared" si="1884"/>
        <v>GWth/yr.</v>
      </c>
      <c r="F1869" s="18">
        <f>SUM(F1870:F1871)</f>
        <v>1.556581895256</v>
      </c>
      <c r="G1869" s="18">
        <f t="shared" ref="G1869:K1869" si="1981">SUM(G1870:G1871)</f>
        <v>1.5566706159375132</v>
      </c>
      <c r="H1869" s="18">
        <f t="shared" si="1981"/>
        <v>1.5572549797601978</v>
      </c>
      <c r="I1869" s="18">
        <f t="shared" si="1981"/>
        <v>1.5481835185181825</v>
      </c>
      <c r="J1869" s="18">
        <f t="shared" si="1981"/>
        <v>0.54763253561880476</v>
      </c>
      <c r="K1869" s="18">
        <f t="shared" si="1981"/>
        <v>0.18765737088242346</v>
      </c>
      <c r="L1869" s="18">
        <f t="shared" ref="L1869" si="1982">SUM(L1870:L1871)</f>
        <v>0.12101662176451775</v>
      </c>
      <c r="N1869" s="1"/>
    </row>
    <row r="1870" spans="2:14" x14ac:dyDescent="0.35">
      <c r="B1870" s="5" t="str">
        <f t="shared" si="1979"/>
        <v>SPS1</v>
      </c>
      <c r="C1870" s="5" t="str">
        <f t="shared" si="1980"/>
        <v>CH</v>
      </c>
      <c r="D1870" t="s">
        <v>2100</v>
      </c>
      <c r="E1870" t="str">
        <f t="shared" si="1884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SUMPRODUCT(([1]OUT_FinalEnergyCons!$B$4:$B$10000="Var_cap")*1,  (ISNUMBER(SEARCH("ITOT-SWHNGA*BR",[1]OUT_FinalEnergyCons!$A$4:$A$10000)))*1,[1]OUT_FinalEnergyCons!H$4:H$10000)</f>
        <v>0.54702358127323369</v>
      </c>
      <c r="K1870" s="1" cm="1">
        <f t="array" ref="K1870">SUMPRODUCT(([1]OUT_FinalEnergyCons!$B$4:$B$10000="Var_cap")*1,  (ISNUMBER(SEARCH("ITOT-SWHNGA*BR",[1]OUT_FinalEnergyCons!$A$4:$A$10000)))*1,[1]OUT_FinalEnergyCons!I$4:I$10000)</f>
        <v>0.18750335278482336</v>
      </c>
      <c r="L1870" s="1" cm="1">
        <f t="array" ref="L1870">SUMPRODUCT(([1]OUT_FinalEnergyCons!$B$4:$B$10000="Var_cap")*1,  (ISNUMBER(SEARCH("ITOT-SWHNGA*BR",[1]OUT_FinalEnergyCons!$A$4:$A$10000)))*1,[1]OUT_FinalEnergyCons!J$4:J$10000)</f>
        <v>9.2522616988217288E-2</v>
      </c>
      <c r="N1870" s="1"/>
    </row>
    <row r="1871" spans="2:14" x14ac:dyDescent="0.35">
      <c r="B1871" s="5" t="str">
        <f t="shared" si="1979"/>
        <v>SPS1</v>
      </c>
      <c r="C1871" s="5" t="str">
        <f t="shared" si="1980"/>
        <v>CH</v>
      </c>
      <c r="D1871" t="s">
        <v>2101</v>
      </c>
      <c r="E1871" t="str">
        <f t="shared" si="1884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SUMPRODUCT(([1]OUT_FinalEnergyCons!$B$4:$B$10000="Var_cap")*1,  (ISNUMBER(SEARCH("ITOT-SWHNGAHP",[1]OUT_FinalEnergyCons!$A$4:$A$10000)))*1,[1]OUT_FinalEnergyCons!H$4:H$10000)</f>
        <v>6.0895434557105407E-4</v>
      </c>
      <c r="K1871" s="1" cm="1">
        <f t="array" ref="K1871">SUMPRODUCT(([1]OUT_FinalEnergyCons!$B$4:$B$10000="Var_cap")*1,  (ISNUMBER(SEARCH("ITOT-SWHNGAHP",[1]OUT_FinalEnergyCons!$A$4:$A$10000)))*1,[1]OUT_FinalEnergyCons!I$4:I$10000)</f>
        <v>1.5401809760009214E-4</v>
      </c>
      <c r="L1871" s="1" cm="1">
        <f t="array" ref="L1871">SUMPRODUCT(([1]OUT_FinalEnergyCons!$B$4:$B$10000="Var_cap")*1,  (ISNUMBER(SEARCH("ITOT-SWHNGAHP",[1]OUT_FinalEnergyCons!$A$4:$A$10000)))*1,[1]OUT_FinalEnergyCons!J$4:J$10000)</f>
        <v>2.8494004776300461E-2</v>
      </c>
      <c r="N1871" s="1"/>
    </row>
    <row r="1872" spans="2:14" x14ac:dyDescent="0.35">
      <c r="B1872" s="5" t="str">
        <f t="shared" si="1979"/>
        <v>SPS1</v>
      </c>
      <c r="C1872" s="5" t="str">
        <f t="shared" si="1980"/>
        <v>CH</v>
      </c>
      <c r="D1872" t="s">
        <v>2102</v>
      </c>
      <c r="E1872" t="str">
        <f t="shared" si="1884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6.2494471210127314E-2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6.2980526139171308E-2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6.2692929469806841E-2</v>
      </c>
      <c r="N1872" s="1"/>
    </row>
    <row r="1873" spans="2:14" x14ac:dyDescent="0.35">
      <c r="B1873" s="5" t="str">
        <f t="shared" si="1979"/>
        <v>SPS1</v>
      </c>
      <c r="C1873" s="5" t="str">
        <f t="shared" si="1980"/>
        <v>CH</v>
      </c>
      <c r="D1873" t="s">
        <v>2103</v>
      </c>
      <c r="E1873" t="str">
        <f t="shared" si="1884"/>
        <v>GWth/yr.</v>
      </c>
      <c r="F1873" s="1">
        <f>F1874</f>
        <v>0.26172155007150499</v>
      </c>
      <c r="G1873" s="1">
        <f t="shared" ref="G1873:L1873" si="1983">G1874</f>
        <v>0.14703309164784678</v>
      </c>
      <c r="H1873" s="1">
        <f t="shared" si="1983"/>
        <v>7.2903208906085898E-2</v>
      </c>
      <c r="I1873" s="1">
        <f t="shared" si="1983"/>
        <v>2.8088873838594264E-5</v>
      </c>
      <c r="J1873" s="1">
        <f t="shared" si="1983"/>
        <v>7.2709120720118592E-5</v>
      </c>
      <c r="K1873" s="1">
        <f t="shared" si="1983"/>
        <v>1.8171622293648021E-6</v>
      </c>
      <c r="L1873" s="1">
        <f t="shared" si="1983"/>
        <v>2.8604066956253898E-5</v>
      </c>
      <c r="N1873" s="1"/>
    </row>
    <row r="1874" spans="2:14" x14ac:dyDescent="0.35">
      <c r="B1874" s="5" t="str">
        <f t="shared" si="1979"/>
        <v>SPS1</v>
      </c>
      <c r="C1874" s="5" t="str">
        <f t="shared" si="1980"/>
        <v>CH</v>
      </c>
      <c r="D1874" t="s">
        <v>2104</v>
      </c>
      <c r="E1874" t="str">
        <f t="shared" si="1884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SUMPRODUCT(([1]OUT_FinalEnergyCons!$B$4:$B$10000="Var_cap")*1,  (ISNUMBER(SEARCH("ITOT-SWHCOA*BR",[1]OUT_FinalEnergyCons!$A$4:$A$10000)))*1,[1]OUT_FinalEnergyCons!H$4:H$10000)</f>
        <v>7.2709120720118592E-5</v>
      </c>
      <c r="K1874" s="1" cm="1">
        <f t="array" ref="K1874">SUMPRODUCT(([1]OUT_FinalEnergyCons!$B$4:$B$10000="Var_cap")*1,  (ISNUMBER(SEARCH("ITOT-SWHCOA*BR",[1]OUT_FinalEnergyCons!$A$4:$A$10000)))*1,[1]OUT_FinalEnergyCons!I$4:I$10000)</f>
        <v>1.8171622293648021E-6</v>
      </c>
      <c r="L1874" s="1" cm="1">
        <f t="array" ref="L1874">SUMPRODUCT(([1]OUT_FinalEnergyCons!$B$4:$B$10000="Var_cap")*1,  (ISNUMBER(SEARCH("ITOT-SWHCOA*BR",[1]OUT_FinalEnergyCons!$A$4:$A$10000)))*1,[1]OUT_FinalEnergyCons!J$4:J$10000)</f>
        <v>2.8604066956253898E-5</v>
      </c>
      <c r="N1874" s="1"/>
    </row>
    <row r="1875" spans="2:14" x14ac:dyDescent="0.35">
      <c r="B1875" s="5" t="str">
        <f t="shared" si="1979"/>
        <v>SPS1</v>
      </c>
      <c r="C1875" s="5" t="str">
        <f t="shared" si="1980"/>
        <v>CH</v>
      </c>
      <c r="D1875" t="s">
        <v>2105</v>
      </c>
      <c r="E1875" t="str">
        <f t="shared" si="1884"/>
        <v>GWth/yr.</v>
      </c>
      <c r="F1875" s="1">
        <f>F1876</f>
        <v>0.28883369534761499</v>
      </c>
      <c r="G1875" s="1">
        <f t="shared" ref="G1875:L1875" si="1984">G1876</f>
        <v>0.3414854681706227</v>
      </c>
      <c r="H1875" s="1">
        <f t="shared" si="1984"/>
        <v>0.34148869623416606</v>
      </c>
      <c r="I1875" s="1">
        <f t="shared" si="1984"/>
        <v>0.34140854971334128</v>
      </c>
      <c r="J1875" s="1">
        <f t="shared" si="1984"/>
        <v>0.35548178853254436</v>
      </c>
      <c r="K1875" s="1">
        <f t="shared" si="1984"/>
        <v>0.34496476372127066</v>
      </c>
      <c r="L1875" s="1">
        <f t="shared" si="1984"/>
        <v>0.38377977844992595</v>
      </c>
      <c r="N1875" s="1"/>
    </row>
    <row r="1876" spans="2:14" x14ac:dyDescent="0.35">
      <c r="B1876" s="5" t="str">
        <f t="shared" si="1979"/>
        <v>SPS1</v>
      </c>
      <c r="C1876" s="5" t="str">
        <f t="shared" si="1980"/>
        <v>CH</v>
      </c>
      <c r="D1876" t="s">
        <v>2106</v>
      </c>
      <c r="E1876" t="str">
        <f t="shared" si="1884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SUMPRODUCT(([1]OUT_FinalEnergyCons!$B$4:$B$10000="Var_cap")*1,  (ISNUMBER(SEARCH("ITOT-SWHWOD*BR",[1]OUT_FinalEnergyCons!$A$4:$A$10000)))*1,[1]OUT_FinalEnergyCons!H$4:H$10000)</f>
        <v>0.35548178853254436</v>
      </c>
      <c r="K1876" s="1" cm="1">
        <f t="array" ref="K1876">SUMPRODUCT(([1]OUT_FinalEnergyCons!$B$4:$B$10000="Var_cap")*1,  (ISNUMBER(SEARCH("ITOT-SWHWOD*BR",[1]OUT_FinalEnergyCons!$A$4:$A$10000)))*1,[1]OUT_FinalEnergyCons!I$4:I$10000)</f>
        <v>0.34496476372127066</v>
      </c>
      <c r="L1876" s="1" cm="1">
        <f t="array" ref="L1876">SUMPRODUCT(([1]OUT_FinalEnergyCons!$B$4:$B$10000="Var_cap")*1,  (ISNUMBER(SEARCH("ITOT-SWHWOD*BR",[1]OUT_FinalEnergyCons!$A$4:$A$10000)))*1,[1]OUT_FinalEnergyCons!J$4:J$10000)</f>
        <v>0.38377977844992595</v>
      </c>
      <c r="N1876" s="1"/>
    </row>
    <row r="1877" spans="2:14" x14ac:dyDescent="0.35">
      <c r="B1877" s="5" t="str">
        <f t="shared" si="1979"/>
        <v>SPS1</v>
      </c>
      <c r="C1877" s="5" t="str">
        <f t="shared" si="1980"/>
        <v>CH</v>
      </c>
      <c r="D1877" t="s">
        <v>2107</v>
      </c>
      <c r="E1877" t="str">
        <f t="shared" si="1884"/>
        <v>GWth/yr.</v>
      </c>
      <c r="F1877" s="1">
        <f>F1878</f>
        <v>2.9860759506449799E-2</v>
      </c>
      <c r="G1877" s="1">
        <f t="shared" ref="G1877:L1877" si="1985">G1878</f>
        <v>3.8038457207903387E-2</v>
      </c>
      <c r="H1877" s="1">
        <f t="shared" si="1985"/>
        <v>3.8071170053019805E-2</v>
      </c>
      <c r="I1877" s="1">
        <f t="shared" si="1985"/>
        <v>3.8050179719926282E-2</v>
      </c>
      <c r="J1877" s="1">
        <f t="shared" si="1985"/>
        <v>3.1424783873258193E-2</v>
      </c>
      <c r="K1877" s="1">
        <f t="shared" si="1985"/>
        <v>3.8280040996538749E-2</v>
      </c>
      <c r="L1877" s="1">
        <f t="shared" si="1985"/>
        <v>3.4621617364369368E-2</v>
      </c>
      <c r="N1877" s="1"/>
    </row>
    <row r="1878" spans="2:14" x14ac:dyDescent="0.35">
      <c r="B1878" s="5" t="str">
        <f t="shared" si="1979"/>
        <v>SPS1</v>
      </c>
      <c r="C1878" s="5" t="str">
        <f t="shared" si="1980"/>
        <v>CH</v>
      </c>
      <c r="D1878" t="s">
        <v>2108</v>
      </c>
      <c r="E1878" t="str">
        <f t="shared" si="1884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SUMPRODUCT(([1]OUT_FinalEnergyCons!$B$4:$B$10000="Var_cap")*1,  (ISNUMBER(SEARCH("ITOT-SWHPLT*BR",[1]OUT_FinalEnergyCons!$A$4:$A$10000)))*1,[1]OUT_FinalEnergyCons!H$4:H$10000)</f>
        <v>3.1424783873258193E-2</v>
      </c>
      <c r="K1878" s="1" cm="1">
        <f t="array" ref="K1878">SUMPRODUCT(([1]OUT_FinalEnergyCons!$B$4:$B$10000="Var_cap")*1,  (ISNUMBER(SEARCH("ITOT-SWHPLT*BR",[1]OUT_FinalEnergyCons!$A$4:$A$10000)))*1,[1]OUT_FinalEnergyCons!I$4:I$10000)</f>
        <v>3.8280040996538749E-2</v>
      </c>
      <c r="L1878" s="1" cm="1">
        <f t="array" ref="L1878">SUMPRODUCT(([1]OUT_FinalEnergyCons!$B$4:$B$10000="Var_cap")*1,  (ISNUMBER(SEARCH("ITOT-SWHPLT*BR",[1]OUT_FinalEnergyCons!$A$4:$A$10000)))*1,[1]OUT_FinalEnergyCons!J$4:J$10000)</f>
        <v>3.4621617364369368E-2</v>
      </c>
      <c r="N1878" s="1"/>
    </row>
    <row r="1879" spans="2:14" x14ac:dyDescent="0.35">
      <c r="B1879" s="5" t="str">
        <f t="shared" si="1979"/>
        <v>SPS1</v>
      </c>
      <c r="C1879" s="5" t="str">
        <f t="shared" si="1980"/>
        <v>CH</v>
      </c>
      <c r="D1879" t="s">
        <v>2109</v>
      </c>
      <c r="E1879" t="str">
        <f t="shared" si="1884"/>
        <v>GWth/yr.</v>
      </c>
      <c r="F1879" s="1">
        <f>F1880</f>
        <v>0.35954682816669398</v>
      </c>
      <c r="G1879" s="1">
        <f t="shared" ref="G1879:L1879" si="1986">G1880</f>
        <v>0.35953171187081651</v>
      </c>
      <c r="H1879" s="1">
        <f t="shared" si="1986"/>
        <v>0.35954795364291314</v>
      </c>
      <c r="I1879" s="1">
        <f t="shared" si="1986"/>
        <v>0.35950507365335432</v>
      </c>
      <c r="J1879" s="1">
        <f t="shared" si="1986"/>
        <v>0.33433531119512061</v>
      </c>
      <c r="K1879" s="1">
        <f t="shared" si="1986"/>
        <v>0.33980466124683167</v>
      </c>
      <c r="L1879" s="1">
        <f t="shared" si="1986"/>
        <v>0.17855249512834548</v>
      </c>
      <c r="N1879" s="1"/>
    </row>
    <row r="1880" spans="2:14" x14ac:dyDescent="0.35">
      <c r="B1880" s="5" t="str">
        <f t="shared" si="1979"/>
        <v>SPS1</v>
      </c>
      <c r="C1880" s="5" t="str">
        <f t="shared" si="1980"/>
        <v>CH</v>
      </c>
      <c r="D1880" t="s">
        <v>2110</v>
      </c>
      <c r="E1880" t="str">
        <f t="shared" si="1884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SUMPRODUCT(([1]OUT_FinalEnergyCons!$B$4:$B$10000="Var_cap")*1,  (ISNUMBER(SEARCH("ITOT-SWHWST*BR",[1]OUT_FinalEnergyCons!$A$4:$A$10000)))*1,[1]OUT_FinalEnergyCons!H$4:H$10000)</f>
        <v>0.33433531119512061</v>
      </c>
      <c r="K1880" s="1" cm="1">
        <f t="array" ref="K1880">SUMPRODUCT(([1]OUT_FinalEnergyCons!$B$4:$B$10000="Var_cap")*1,  (ISNUMBER(SEARCH("ITOT-SWHWST*BR",[1]OUT_FinalEnergyCons!$A$4:$A$10000)))*1,[1]OUT_FinalEnergyCons!I$4:I$10000)</f>
        <v>0.33980466124683167</v>
      </c>
      <c r="L1880" s="1" cm="1">
        <f t="array" ref="L1880">SUMPRODUCT(([1]OUT_FinalEnergyCons!$B$4:$B$10000="Var_cap")*1,  (ISNUMBER(SEARCH("ITOT-SWHWST*BR",[1]OUT_FinalEnergyCons!$A$4:$A$10000)))*1,[1]OUT_FinalEnergyCons!J$4:J$10000)</f>
        <v>0.17855249512834548</v>
      </c>
      <c r="N1880" s="1"/>
    </row>
    <row r="1881" spans="2:14" x14ac:dyDescent="0.35">
      <c r="B1881" s="5" t="str">
        <f t="shared" si="1979"/>
        <v>SPS1</v>
      </c>
      <c r="C1881" s="5" t="str">
        <f t="shared" si="1980"/>
        <v>CH</v>
      </c>
      <c r="D1881" t="s">
        <v>2111</v>
      </c>
      <c r="E1881" t="str">
        <f t="shared" si="1884"/>
        <v>GWth/yr.</v>
      </c>
      <c r="F1881" s="1">
        <f>F1882</f>
        <v>9.8214799778629808E-3</v>
      </c>
      <c r="G1881" s="1">
        <f t="shared" ref="G1881:L1881" si="1987">G1882</f>
        <v>6.5715960278618687E-2</v>
      </c>
      <c r="H1881" s="1">
        <f t="shared" si="1987"/>
        <v>6.571610238834108E-2</v>
      </c>
      <c r="I1881" s="1">
        <f t="shared" si="1987"/>
        <v>6.571629942470178E-2</v>
      </c>
      <c r="J1881" s="1">
        <f t="shared" si="1987"/>
        <v>6.5714582907978075E-2</v>
      </c>
      <c r="K1881" s="1">
        <f t="shared" si="1987"/>
        <v>6.5713672557991598E-2</v>
      </c>
      <c r="L1881" s="1">
        <f t="shared" si="1987"/>
        <v>6.5713504037069201E-2</v>
      </c>
      <c r="N1881" s="1"/>
    </row>
    <row r="1882" spans="2:14" x14ac:dyDescent="0.35">
      <c r="B1882" s="5" t="str">
        <f t="shared" si="1979"/>
        <v>SPS1</v>
      </c>
      <c r="C1882" s="5" t="str">
        <f t="shared" si="1980"/>
        <v>CH</v>
      </c>
      <c r="D1882" t="s">
        <v>2112</v>
      </c>
      <c r="E1882" t="str">
        <f t="shared" si="1884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SUMPRODUCT(([1]OUT_FinalEnergyCons!$B$4:$B$10000="Var_cap")*1, (ISNUMBER(SEARCH("ITOT-SWHSOLBR",[1]OUT_FinalEnergyCons!$A$4:$A$10000)))*1,[1]OUT_FinalEnergyCons!H$4:H$10000)</f>
        <v>6.5714582907978075E-2</v>
      </c>
      <c r="K1882" s="1" cm="1">
        <f t="array" ref="K1882">SUMPRODUCT(([1]OUT_FinalEnergyCons!$B$4:$B$10000="Var_cap")*1, (ISNUMBER(SEARCH("ITOT-SWHSOLBR",[1]OUT_FinalEnergyCons!$A$4:$A$10000)))*1,[1]OUT_FinalEnergyCons!I$4:I$10000)</f>
        <v>6.5713672557991598E-2</v>
      </c>
      <c r="L1882" s="1" cm="1">
        <f t="array" ref="L1882">SUMPRODUCT(([1]OUT_FinalEnergyCons!$B$4:$B$10000="Var_cap")*1, (ISNUMBER(SEARCH("ITOT-SWHSOLBR",[1]OUT_FinalEnergyCons!$A$4:$A$10000)))*1,[1]OUT_FinalEnergyCons!J$4:J$10000)</f>
        <v>6.5713504037069201E-2</v>
      </c>
      <c r="N1882" s="1"/>
    </row>
    <row r="1883" spans="2:14" x14ac:dyDescent="0.35">
      <c r="B1883" s="5" t="str">
        <f t="shared" si="1979"/>
        <v>SPS1</v>
      </c>
      <c r="C1883" s="5" t="str">
        <f t="shared" si="1980"/>
        <v>CH</v>
      </c>
      <c r="D1883" t="s">
        <v>2113</v>
      </c>
      <c r="E1883" t="str">
        <f t="shared" si="1884"/>
        <v>GWth/yr.</v>
      </c>
      <c r="F1883" s="1">
        <f>F1884</f>
        <v>0</v>
      </c>
      <c r="G1883" s="1">
        <f t="shared" ref="G1883:L1883" si="1988">G1884</f>
        <v>0</v>
      </c>
      <c r="H1883" s="1">
        <f t="shared" si="1988"/>
        <v>0</v>
      </c>
      <c r="I1883" s="1">
        <f t="shared" si="1988"/>
        <v>0</v>
      </c>
      <c r="J1883" s="1">
        <f t="shared" si="1988"/>
        <v>0.36364417207482602</v>
      </c>
      <c r="K1883" s="1">
        <f t="shared" si="1988"/>
        <v>0.45391900396477147</v>
      </c>
      <c r="L1883" s="1">
        <f t="shared" si="1988"/>
        <v>0.4272516267112238</v>
      </c>
      <c r="N1883" s="1"/>
    </row>
    <row r="1884" spans="2:14" x14ac:dyDescent="0.35">
      <c r="B1884" s="5" t="str">
        <f t="shared" si="1979"/>
        <v>SPS1</v>
      </c>
      <c r="C1884" s="5" t="str">
        <f t="shared" si="1980"/>
        <v>CH</v>
      </c>
      <c r="D1884" t="s">
        <v>2114</v>
      </c>
      <c r="E1884" t="str">
        <f t="shared" si="1884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0.36364417207482602</v>
      </c>
      <c r="K1884" s="1" cm="1">
        <f t="array" ref="K1884">SUMPRODUCT(([1]OUT_FinalEnergyCons!$B$4:$B$10000="Var_cap")*1, (ISNUMBER(SEARCH("ITOT-SWHH2BR",[1]OUT_FinalEnergyCons!$A$4:$A$10000)))*1,[1]OUT_FinalEnergyCons!I$4:I$10000)</f>
        <v>0.45391900396477147</v>
      </c>
      <c r="L1884" s="1" cm="1">
        <f t="array" ref="L1884">SUMPRODUCT(([1]OUT_FinalEnergyCons!$B$4:$B$10000="Var_cap")*1, (ISNUMBER(SEARCH("ITOT-SWHH2BR",[1]OUT_FinalEnergyCons!$A$4:$A$10000)))*1,[1]OUT_FinalEnergyCons!J$4:J$10000)</f>
        <v>0.4272516267112238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4"/>
        <v>GWth/yr.</v>
      </c>
      <c r="F1885" s="17">
        <f>SUM(F1886,F1889,F1891,F1895,F1897,F1899,F1901)</f>
        <v>6.1442638695108061</v>
      </c>
      <c r="G1885" s="17">
        <f t="shared" ref="G1885:K1885" si="1989">SUM(G1886,G1889,G1891,G1895,G1897,G1899,G1901)</f>
        <v>5.883241163999708</v>
      </c>
      <c r="H1885" s="17">
        <f t="shared" si="1989"/>
        <v>5.0032208327663916</v>
      </c>
      <c r="I1885" s="17">
        <f t="shared" si="1989"/>
        <v>5.7125061014515008</v>
      </c>
      <c r="J1885" s="17">
        <f t="shared" si="1989"/>
        <v>4.6623868654266785</v>
      </c>
      <c r="K1885" s="17">
        <f t="shared" si="1989"/>
        <v>4.713609397673757</v>
      </c>
      <c r="L1885" s="17">
        <f t="shared" ref="L1885" si="1990">SUM(L1886,L1889,L1891,L1895,L1897,L1899,L1901)</f>
        <v>4.0771524924557561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4"/>
        <v>GWth/yr.</v>
      </c>
      <c r="F1886" s="1">
        <f>SUM(F1887:F1888)</f>
        <v>0.61560958944906208</v>
      </c>
      <c r="G1886" s="1">
        <f t="shared" ref="G1886:K1886" si="1991">SUM(G1887:G1888)</f>
        <v>0.50546784680340928</v>
      </c>
      <c r="H1886" s="1">
        <f t="shared" si="1991"/>
        <v>0.57332147542342238</v>
      </c>
      <c r="I1886" s="1">
        <f t="shared" si="1991"/>
        <v>1.1340569534571969</v>
      </c>
      <c r="J1886" s="1">
        <f t="shared" si="1991"/>
        <v>1.4206974694584611</v>
      </c>
      <c r="K1886" s="1">
        <f t="shared" si="1991"/>
        <v>1.8372480264416129</v>
      </c>
      <c r="L1886" s="1">
        <f t="shared" ref="L1886" si="1992">SUM(L1887:L1888)</f>
        <v>1.7645055051493617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4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SUMPRODUCT(([1]OUT_FinalEnergyCons!$B$4:$B$10000="Var_cap")*1, (ISNUMBER(SEARCH("SCOM-SHELCBR",[1]OUT_FinalEnergyCons!$A$4:$A$10000)))*1,[1]OUT_FinalEnergyCons!H$4:H$10000)</f>
        <v>2.2757611209290499E-2</v>
      </c>
      <c r="K1887" s="1" cm="1">
        <f t="array" ref="K1887">SUMPRODUCT(([1]OUT_FinalEnergyCons!$B$4:$B$10000="Var_cap")*1, (ISNUMBER(SEARCH("SCOM-SHELCBR",[1]OUT_FinalEnergyCons!$A$4:$A$10000)))*1,[1]OUT_FinalEnergyCons!I$4:I$10000)</f>
        <v>2.36199310216594E-2</v>
      </c>
      <c r="L1887" s="1" cm="1">
        <f t="array" ref="L1887">SUMPRODUCT(([1]OUT_FinalEnergyCons!$B$4:$B$10000="Var_cap")*1, (ISNUMBER(SEARCH("SCOM-SHELCBR",[1]OUT_FinalEnergyCons!$A$4:$A$10000)))*1,[1]OUT_FinalEnergyCons!J$4:J$10000)</f>
        <v>1.373691951370859E-2</v>
      </c>
      <c r="N1887" s="1"/>
    </row>
    <row r="1888" spans="2:14" x14ac:dyDescent="0.35">
      <c r="B1888" s="5" t="str">
        <f t="shared" ref="B1888:C1888" si="1993">B1887</f>
        <v>SPS1</v>
      </c>
      <c r="C1888" s="5" t="str">
        <f t="shared" si="1993"/>
        <v>CH</v>
      </c>
      <c r="D1888" t="s">
        <v>1903</v>
      </c>
      <c r="E1888" t="str">
        <f t="shared" si="1884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SUMPRODUCT(([1]OUT_FinalEnergyCons!$B$4:$B$10000="Var_cap")*1, (ISNUMBER(SEARCH("SCOM-SHELCHP",[1]OUT_FinalEnergyCons!$A$4:$A$10000)))*1,[1]OUT_FinalEnergyCons!H$4:H$10000)</f>
        <v>1.3979398582491707</v>
      </c>
      <c r="K1888" s="1" cm="1">
        <f t="array" ref="K1888">SUMPRODUCT(([1]OUT_FinalEnergyCons!$B$4:$B$10000="Var_cap")*1, (ISNUMBER(SEARCH("SCOM-SHELCHP",[1]OUT_FinalEnergyCons!$A$4:$A$10000)))*1,[1]OUT_FinalEnergyCons!I$4:I$10000)</f>
        <v>1.8136280954199535</v>
      </c>
      <c r="L1888" s="1" cm="1">
        <f t="array" ref="L1888">SUMPRODUCT(([1]OUT_FinalEnergyCons!$B$4:$B$10000="Var_cap")*1, (ISNUMBER(SEARCH("SCOM-SHELCHP",[1]OUT_FinalEnergyCons!$A$4:$A$10000)))*1,[1]OUT_FinalEnergyCons!J$4:J$10000)</f>
        <v>1.7507685856356532</v>
      </c>
      <c r="N1888" s="1"/>
    </row>
    <row r="1889" spans="2:14" x14ac:dyDescent="0.35">
      <c r="B1889" s="5" t="str">
        <f t="shared" ref="B1889:C1889" si="1994">B1888</f>
        <v>SPS1</v>
      </c>
      <c r="C1889" s="5" t="str">
        <f t="shared" si="1994"/>
        <v>CH</v>
      </c>
      <c r="D1889" t="s">
        <v>1904</v>
      </c>
      <c r="E1889" t="str">
        <f t="shared" si="1884"/>
        <v>GWth/yr.</v>
      </c>
      <c r="F1889" s="1">
        <f>F1890</f>
        <v>1.9285759813647012</v>
      </c>
      <c r="G1889" s="1">
        <f t="shared" ref="G1889:L1889" si="1995">G1890</f>
        <v>1.6677321677131136</v>
      </c>
      <c r="H1889" s="1">
        <f t="shared" si="1995"/>
        <v>1.5781049545347885</v>
      </c>
      <c r="I1889" s="1">
        <f t="shared" si="1995"/>
        <v>1.5778741926932058</v>
      </c>
      <c r="J1889" s="1">
        <f t="shared" si="1995"/>
        <v>0.59794737877734938</v>
      </c>
      <c r="K1889" s="1">
        <f t="shared" si="1995"/>
        <v>0.18875772378039693</v>
      </c>
      <c r="L1889" s="1">
        <f t="shared" si="1995"/>
        <v>2.4353270816420296E-2</v>
      </c>
      <c r="N1889" s="1"/>
    </row>
    <row r="1890" spans="2:14" x14ac:dyDescent="0.35">
      <c r="B1890" s="5" t="str">
        <f t="shared" ref="B1890:C1890" si="1996">B1889</f>
        <v>SPS1</v>
      </c>
      <c r="C1890" s="5" t="str">
        <f t="shared" si="1996"/>
        <v>CH</v>
      </c>
      <c r="D1890" t="s">
        <v>1905</v>
      </c>
      <c r="E1890" t="str">
        <f t="shared" ref="E1890:E1902" si="1997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SUMPRODUCT(([1]OUT_FinalEnergyCons!$B$4:$B$10000="Var_cap")*1,(ISNUMBER(SEARCH("SCOM-SHLFOBR",[1]OUT_FinalEnergyCons!$A$4:$A$10000)))*1,[1]OUT_FinalEnergyCons!H$4:H$10000)</f>
        <v>0.59794737877734938</v>
      </c>
      <c r="K1890" s="1" cm="1">
        <f t="array" ref="K1890">SUMPRODUCT(([1]OUT_FinalEnergyCons!$B$4:$B$10000="Var_cap")*1,(ISNUMBER(SEARCH("SCOM-SHLFOBR",[1]OUT_FinalEnergyCons!$A$4:$A$10000)))*1,[1]OUT_FinalEnergyCons!I$4:I$10000)</f>
        <v>0.18875772378039693</v>
      </c>
      <c r="L1890" s="1" cm="1">
        <f t="array" ref="L1890">SUMPRODUCT(([1]OUT_FinalEnergyCons!$B$4:$B$10000="Var_cap")*1,(ISNUMBER(SEARCH("SCOM-SHLFOBR",[1]OUT_FinalEnergyCons!$A$4:$A$10000)))*1,[1]OUT_FinalEnergyCons!J$4:J$10000)</f>
        <v>2.4353270816420296E-2</v>
      </c>
      <c r="N1890" s="1"/>
    </row>
    <row r="1891" spans="2:14" x14ac:dyDescent="0.35">
      <c r="B1891" s="5" t="str">
        <f t="shared" ref="B1891:C1891" si="1998">B1890</f>
        <v>SPS1</v>
      </c>
      <c r="C1891" s="5" t="str">
        <f t="shared" si="1998"/>
        <v>CH</v>
      </c>
      <c r="D1891" t="s">
        <v>1906</v>
      </c>
      <c r="E1891" t="str">
        <f t="shared" si="1997"/>
        <v>GWth/yr.</v>
      </c>
      <c r="F1891" s="1">
        <f>SUM(F1892:F1894)</f>
        <v>2.8800247530935192</v>
      </c>
      <c r="G1891" s="1">
        <f t="shared" ref="G1891:K1891" si="1999">SUM(G1892:G1894)</f>
        <v>2.8797078466566326</v>
      </c>
      <c r="H1891" s="1">
        <f t="shared" si="1999"/>
        <v>2.2338518732550723</v>
      </c>
      <c r="I1891" s="1">
        <f t="shared" si="1999"/>
        <v>2.3640898500047589</v>
      </c>
      <c r="J1891" s="1">
        <f t="shared" si="1999"/>
        <v>1.1760744404663539</v>
      </c>
      <c r="K1891" s="1">
        <f t="shared" si="1999"/>
        <v>0.71987263430174764</v>
      </c>
      <c r="L1891" s="1">
        <f t="shared" ref="L1891" si="2000">SUM(L1892:L1894)</f>
        <v>0.51047831201856331</v>
      </c>
      <c r="N1891" s="1"/>
    </row>
    <row r="1892" spans="2:14" x14ac:dyDescent="0.35">
      <c r="B1892" s="5" t="str">
        <f t="shared" ref="B1892:C1892" si="2001">B1891</f>
        <v>SPS1</v>
      </c>
      <c r="C1892" s="5" t="str">
        <f t="shared" si="2001"/>
        <v>CH</v>
      </c>
      <c r="D1892" t="s">
        <v>1907</v>
      </c>
      <c r="E1892" t="str">
        <f t="shared" si="1997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SUMPRODUCT(([1]OUT_FinalEnergyCons!$B$4:$B$10000="Var_cap")*1, (ISNUMBER(SEARCH("SCOM-SHNGABR",[1]OUT_FinalEnergyCons!$A$4:$A$10000)))*1,[1]OUT_FinalEnergyCons!H$4:H$10000)</f>
        <v>0.76965299780797403</v>
      </c>
      <c r="K1892" s="1" cm="1">
        <f t="array" ref="K1892">SUMPRODUCT(([1]OUT_FinalEnergyCons!$B$4:$B$10000="Var_cap")*1, (ISNUMBER(SEARCH("SCOM-SHNGABR",[1]OUT_FinalEnergyCons!$A$4:$A$10000)))*1,[1]OUT_FinalEnergyCons!I$4:I$10000)</f>
        <v>0.26333722567296142</v>
      </c>
      <c r="L1892" s="1" cm="1">
        <f t="array" ref="L1892">SUMPRODUCT(([1]OUT_FinalEnergyCons!$B$4:$B$10000="Var_cap")*1, (ISNUMBER(SEARCH("SCOM-SHNGABR",[1]OUT_FinalEnergyCons!$A$4:$A$10000)))*1,[1]OUT_FinalEnergyCons!J$4:J$10000)</f>
        <v>0.11140409390046777</v>
      </c>
      <c r="N1892" s="1"/>
    </row>
    <row r="1893" spans="2:14" x14ac:dyDescent="0.35">
      <c r="B1893" s="5" t="str">
        <f t="shared" ref="B1893:C1893" si="2002">B1892</f>
        <v>SPS1</v>
      </c>
      <c r="C1893" s="5" t="str">
        <f t="shared" si="2002"/>
        <v>CH</v>
      </c>
      <c r="D1893" t="s">
        <v>1908</v>
      </c>
      <c r="E1893" t="str">
        <f t="shared" si="1997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SUMPRODUCT(([1]OUT_FinalEnergyCons!$B$4:$B$10000="Var_cap")*1, (ISNUMBER(SEARCH("SCOM-SHngahp",[1]OUT_FinalEnergyCons!$A$4:$A$10000)))*1,[1]OUT_FinalEnergyCons!H$4:H$10000)</f>
        <v>0.37903848924247407</v>
      </c>
      <c r="K1893" s="1" cm="1">
        <f t="array" ref="K1893">SUMPRODUCT(([1]OUT_FinalEnergyCons!$B$4:$B$10000="Var_cap")*1, (ISNUMBER(SEARCH("SCOM-SHngahp",[1]OUT_FinalEnergyCons!$A$4:$A$10000)))*1,[1]OUT_FinalEnergyCons!I$4:I$10000)</f>
        <v>0.45636293761806246</v>
      </c>
      <c r="L1893" s="1" cm="1">
        <f t="array" ref="L1893">SUMPRODUCT(([1]OUT_FinalEnergyCons!$B$4:$B$10000="Var_cap")*1, (ISNUMBER(SEARCH("SCOM-SHngahp",[1]OUT_FinalEnergyCons!$A$4:$A$10000)))*1,[1]OUT_FinalEnergyCons!J$4:J$10000)</f>
        <v>0.3989331877925838</v>
      </c>
      <c r="N1893" s="1"/>
    </row>
    <row r="1894" spans="2:14" x14ac:dyDescent="0.35">
      <c r="B1894" s="5" t="str">
        <f t="shared" ref="B1894:C1894" si="2003">B1893</f>
        <v>SPS1</v>
      </c>
      <c r="C1894" s="5" t="str">
        <f t="shared" si="2003"/>
        <v>CH</v>
      </c>
      <c r="D1894" t="s">
        <v>1909</v>
      </c>
      <c r="E1894" t="str">
        <f t="shared" si="1997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2.7382953415905787E-2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1.724710107238262E-4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1.4103032551171074E-4</v>
      </c>
      <c r="N1894" s="1"/>
    </row>
    <row r="1895" spans="2:14" x14ac:dyDescent="0.35">
      <c r="B1895" s="5" t="str">
        <f t="shared" ref="B1895:C1895" si="2004">B1894</f>
        <v>SPS1</v>
      </c>
      <c r="C1895" s="5" t="str">
        <f t="shared" si="2004"/>
        <v>CH</v>
      </c>
      <c r="D1895" t="s">
        <v>1910</v>
      </c>
      <c r="E1895" t="str">
        <f t="shared" si="1997"/>
        <v>GWth/yr.</v>
      </c>
      <c r="F1895" s="1">
        <f>F1896</f>
        <v>0.47844632982986174</v>
      </c>
      <c r="G1895" s="1">
        <f t="shared" ref="G1895:L1895" si="2005">G1896</f>
        <v>0.55558380824055642</v>
      </c>
      <c r="H1895" s="1">
        <f t="shared" si="2005"/>
        <v>0.4952321508968866</v>
      </c>
      <c r="I1895" s="1">
        <f t="shared" si="2005"/>
        <v>0.49517426367652456</v>
      </c>
      <c r="J1895" s="1">
        <f t="shared" si="2005"/>
        <v>0.34996832777921222</v>
      </c>
      <c r="K1895" s="1">
        <f t="shared" si="2005"/>
        <v>0.21389836152734112</v>
      </c>
      <c r="L1895" s="1">
        <f t="shared" si="2005"/>
        <v>9.4065689246147333E-2</v>
      </c>
      <c r="N1895" s="1"/>
    </row>
    <row r="1896" spans="2:14" x14ac:dyDescent="0.35">
      <c r="B1896" s="5" t="str">
        <f t="shared" ref="B1896:C1896" si="2006">B1895</f>
        <v>SPS1</v>
      </c>
      <c r="C1896" s="5" t="str">
        <f t="shared" si="2006"/>
        <v>CH</v>
      </c>
      <c r="D1896" t="s">
        <v>1911</v>
      </c>
      <c r="E1896" t="str">
        <f t="shared" si="1997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SUMPRODUCT(([1]OUT_FinalEnergyCons!$B$4:$B$10000="Var_cap")*1, (ISNUMBER(SEARCH("SCOM-SHWODBR",[1]OUT_FinalEnergyCons!$A$4:$A$10000)))*1,[1]OUT_FinalEnergyCons!H$4:H$10000)</f>
        <v>0.34996832777921222</v>
      </c>
      <c r="K1896" s="1" cm="1">
        <f t="array" ref="K1896">SUMPRODUCT(([1]OUT_FinalEnergyCons!$B$4:$B$10000="Var_cap")*1, (ISNUMBER(SEARCH("SCOM-SHWODBR",[1]OUT_FinalEnergyCons!$A$4:$A$10000)))*1,[1]OUT_FinalEnergyCons!I$4:I$10000)</f>
        <v>0.21389836152734112</v>
      </c>
      <c r="L1896" s="1" cm="1">
        <f t="array" ref="L1896">SUMPRODUCT(([1]OUT_FinalEnergyCons!$B$4:$B$10000="Var_cap")*1, (ISNUMBER(SEARCH("SCOM-SHWODBR",[1]OUT_FinalEnergyCons!$A$4:$A$10000)))*1,[1]OUT_FinalEnergyCons!J$4:J$10000)</f>
        <v>9.4065689246147333E-2</v>
      </c>
      <c r="N1896" s="1"/>
    </row>
    <row r="1897" spans="2:14" x14ac:dyDescent="0.35">
      <c r="B1897" s="5" t="str">
        <f t="shared" ref="B1897:C1897" si="2007">B1896</f>
        <v>SPS1</v>
      </c>
      <c r="C1897" s="5" t="str">
        <f t="shared" si="2007"/>
        <v>CH</v>
      </c>
      <c r="D1897" t="s">
        <v>1912</v>
      </c>
      <c r="E1897" t="str">
        <f t="shared" si="1997"/>
        <v>GWth/yr.</v>
      </c>
      <c r="F1897" s="1">
        <f>F1898</f>
        <v>0.15051554597503466</v>
      </c>
      <c r="G1897" s="1">
        <f t="shared" ref="G1897:L1897" si="2008">G1898</f>
        <v>0.17488244747131049</v>
      </c>
      <c r="H1897" s="1">
        <f t="shared" si="2008"/>
        <v>2.2841993253634618E-2</v>
      </c>
      <c r="I1897" s="1">
        <f t="shared" si="2008"/>
        <v>2.2771598572656732E-2</v>
      </c>
      <c r="J1897" s="1">
        <f t="shared" si="2008"/>
        <v>1.4716311426564196E-2</v>
      </c>
      <c r="K1897" s="1">
        <f t="shared" si="2008"/>
        <v>6.5304175216098666E-3</v>
      </c>
      <c r="L1897" s="1">
        <f t="shared" si="2008"/>
        <v>3.8083556905201574E-3</v>
      </c>
      <c r="N1897" s="1"/>
    </row>
    <row r="1898" spans="2:14" x14ac:dyDescent="0.35">
      <c r="B1898" s="5" t="str">
        <f t="shared" ref="B1898:C1898" si="2009">B1897</f>
        <v>SPS1</v>
      </c>
      <c r="C1898" s="5" t="str">
        <f t="shared" si="2009"/>
        <v>CH</v>
      </c>
      <c r="D1898" t="s">
        <v>1913</v>
      </c>
      <c r="E1898" t="str">
        <f t="shared" si="1997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SUMPRODUCT(([1]OUT_FinalEnergyCons!$B$4:$B$10000="Var_cap")*1,(ISNUMBER(SEARCH("SCOM-SHPLTBR",[1]OUT_FinalEnergyCons!$A$4:$A$10000)))*1,[1]OUT_FinalEnergyCons!H$4:H$10000)</f>
        <v>1.4716311426564196E-2</v>
      </c>
      <c r="K1898" s="1" cm="1">
        <f t="array" ref="K1898">SUMPRODUCT(([1]OUT_FinalEnergyCons!$B$4:$B$10000="Var_cap")*1,(ISNUMBER(SEARCH("SCOM-SHPLTBR",[1]OUT_FinalEnergyCons!$A$4:$A$10000)))*1,[1]OUT_FinalEnergyCons!I$4:I$10000)</f>
        <v>6.5304175216098666E-3</v>
      </c>
      <c r="L1898" s="1" cm="1">
        <f t="array" ref="L1898">SUMPRODUCT(([1]OUT_FinalEnergyCons!$B$4:$B$10000="Var_cap")*1,(ISNUMBER(SEARCH("SCOM-SHPLTBR",[1]OUT_FinalEnergyCons!$A$4:$A$10000)))*1,[1]OUT_FinalEnergyCons!J$4:J$10000)</f>
        <v>3.8083556905201574E-3</v>
      </c>
      <c r="N1898" s="1"/>
    </row>
    <row r="1899" spans="2:14" x14ac:dyDescent="0.35">
      <c r="B1899" s="5" t="str">
        <f t="shared" ref="B1899:C1899" si="2010">B1898</f>
        <v>SPS1</v>
      </c>
      <c r="C1899" s="5" t="str">
        <f t="shared" si="2010"/>
        <v>CH</v>
      </c>
      <c r="D1899" t="s">
        <v>1914</v>
      </c>
      <c r="E1899" t="str">
        <f t="shared" si="1997"/>
        <v>GWth/yr.</v>
      </c>
      <c r="F1899" s="1">
        <f>F1900</f>
        <v>9.1091669798627831E-2</v>
      </c>
      <c r="G1899" s="1">
        <f t="shared" ref="G1899:L1899" si="2011">G1900</f>
        <v>9.9867047114685276E-2</v>
      </c>
      <c r="H1899" s="1">
        <f t="shared" si="2011"/>
        <v>9.9868385402586954E-2</v>
      </c>
      <c r="I1899" s="1">
        <f t="shared" si="2011"/>
        <v>0.118537612023297</v>
      </c>
      <c r="J1899" s="1">
        <f t="shared" si="2011"/>
        <v>0.13910650045089856</v>
      </c>
      <c r="K1899" s="1">
        <f t="shared" si="2011"/>
        <v>0.16491988540837049</v>
      </c>
      <c r="L1899" s="1">
        <f t="shared" si="2011"/>
        <v>0.21969368878493742</v>
      </c>
      <c r="N1899" s="1"/>
    </row>
    <row r="1900" spans="2:14" x14ac:dyDescent="0.35">
      <c r="B1900" s="5" t="str">
        <f t="shared" ref="B1900:C1900" si="2012">B1899</f>
        <v>SPS1</v>
      </c>
      <c r="C1900" s="5" t="str">
        <f t="shared" si="2012"/>
        <v>CH</v>
      </c>
      <c r="D1900" t="s">
        <v>1915</v>
      </c>
      <c r="E1900" t="str">
        <f t="shared" si="1997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SUMPRODUCT(([1]OUT_FinalEnergyCons!$B$4:$B$10000="Var_cap")*1, (ISNUMBER(SEARCH("SCOM-SHSOLBR",[1]OUT_FinalEnergyCons!$A$4:$A$10000)))*1,[1]OUT_FinalEnergyCons!H$4:H$10000)</f>
        <v>0.13910650045089856</v>
      </c>
      <c r="K1900" s="1" cm="1">
        <f t="array" ref="K1900">SUMPRODUCT(([1]OUT_FinalEnergyCons!$B$4:$B$10000="Var_cap")*1, (ISNUMBER(SEARCH("SCOM-SHSOLBR",[1]OUT_FinalEnergyCons!$A$4:$A$10000)))*1,[1]OUT_FinalEnergyCons!I$4:I$10000)</f>
        <v>0.16491988540837049</v>
      </c>
      <c r="L1900" s="1" cm="1">
        <f t="array" ref="L1900">SUMPRODUCT(([1]OUT_FinalEnergyCons!$B$4:$B$10000="Var_cap")*1, (ISNUMBER(SEARCH("SCOM-SHSOLBR",[1]OUT_FinalEnergyCons!$A$4:$A$10000)))*1,[1]OUT_FinalEnergyCons!J$4:J$10000)</f>
        <v>0.21969368878493742</v>
      </c>
      <c r="N1900" s="1"/>
    </row>
    <row r="1901" spans="2:14" x14ac:dyDescent="0.35">
      <c r="B1901" s="5" t="str">
        <f t="shared" ref="B1901:C1901" si="2013">B1900</f>
        <v>SPS1</v>
      </c>
      <c r="C1901" s="5" t="str">
        <f t="shared" si="2013"/>
        <v>CH</v>
      </c>
      <c r="D1901" t="s">
        <v>1916</v>
      </c>
      <c r="E1901" t="str">
        <f t="shared" si="1997"/>
        <v>GWth/yr.</v>
      </c>
      <c r="F1901" s="1">
        <f>F1902</f>
        <v>0</v>
      </c>
      <c r="G1901" s="1">
        <f t="shared" ref="G1901:L1901" si="2014">G1902</f>
        <v>0</v>
      </c>
      <c r="H1901" s="1">
        <f t="shared" si="2014"/>
        <v>0</v>
      </c>
      <c r="I1901" s="1">
        <f t="shared" si="2014"/>
        <v>1.6310238609986699E-6</v>
      </c>
      <c r="J1901" s="1">
        <f t="shared" si="2014"/>
        <v>0.96387643706783943</v>
      </c>
      <c r="K1901" s="1">
        <f t="shared" si="2014"/>
        <v>1.5823823486926778</v>
      </c>
      <c r="L1901" s="1">
        <f t="shared" si="2014"/>
        <v>1.4602476707498067</v>
      </c>
      <c r="N1901" s="1"/>
    </row>
    <row r="1902" spans="2:14" x14ac:dyDescent="0.35">
      <c r="B1902" s="5" t="str">
        <f t="shared" ref="B1902:C1902" si="2015">B1901</f>
        <v>SPS1</v>
      </c>
      <c r="C1902" s="5" t="str">
        <f t="shared" si="2015"/>
        <v>CH</v>
      </c>
      <c r="D1902" t="s">
        <v>1917</v>
      </c>
      <c r="E1902" t="str">
        <f t="shared" si="1997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SUMPRODUCT(([1]OUT_FinalEnergyCons!$B$4:$B$10000="Var_cap")*1, (ISNUMBER(SEARCH("SCOM-SHH2BR",[1]OUT_FinalEnergyCons!$A$4:$A$10000)))*1,[1]OUT_FinalEnergyCons!H$4:H$10000)</f>
        <v>0.96387643706783943</v>
      </c>
      <c r="K1902" s="1" cm="1">
        <f t="array" ref="K1902">SUMPRODUCT(([1]OUT_FinalEnergyCons!$B$4:$B$10000="Var_cap")*1, (ISNUMBER(SEARCH("SCOM-SHH2BR",[1]OUT_FinalEnergyCons!$A$4:$A$10000)))*1,[1]OUT_FinalEnergyCons!I$4:I$10000)</f>
        <v>1.5823823486926778</v>
      </c>
      <c r="L1902" s="1" cm="1">
        <f t="array" ref="L1902">SUMPRODUCT(([1]OUT_FinalEnergyCons!$B$4:$B$10000="Var_cap")*1, (ISNUMBER(SEARCH("SCOM-SHH2BR",[1]OUT_FinalEnergyCons!$A$4:$A$10000)))*1,[1]OUT_FinalEnergyCons!J$4:J$10000)</f>
        <v>1.4602476707498067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16">SUM(G1904:G1953)</f>
        <v>4.8295957595849099</v>
      </c>
      <c r="H1903" s="3">
        <f t="shared" si="2016"/>
        <v>4.9059135052493863</v>
      </c>
      <c r="I1903" s="3">
        <f t="shared" si="2016"/>
        <v>5.2132781066790113</v>
      </c>
      <c r="J1903" s="3">
        <f t="shared" si="2016"/>
        <v>5.3806993139078836</v>
      </c>
      <c r="K1903" s="3">
        <f t="shared" si="2016"/>
        <v>5.5472526192119123</v>
      </c>
      <c r="L1903" s="3">
        <f t="shared" ref="L1903" si="2017">SUM(L1904:L1953)</f>
        <v>5.7542710535413519</v>
      </c>
      <c r="N1903" s="1"/>
    </row>
    <row r="1904" spans="2:14" x14ac:dyDescent="0.35">
      <c r="B1904" s="5" t="str">
        <f t="shared" ref="B1904:B1953" si="2018">B1903</f>
        <v>SPS1</v>
      </c>
      <c r="C1904" s="5" t="str">
        <f t="shared" ref="C1904:C1953" si="2019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N1904" s="1"/>
    </row>
    <row r="1905" spans="2:14" x14ac:dyDescent="0.35">
      <c r="B1905" s="5" t="str">
        <f t="shared" si="2018"/>
        <v>SPS1</v>
      </c>
      <c r="C1905" s="5" t="str">
        <f t="shared" si="2019"/>
        <v>CH</v>
      </c>
      <c r="D1905" t="s">
        <v>1922</v>
      </c>
      <c r="E1905" t="str">
        <f t="shared" ref="E1905:E1953" si="2020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1.3258412869218274E-3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0.1451127215730077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0.37199062673996819</v>
      </c>
      <c r="N1905" s="1"/>
    </row>
    <row r="1906" spans="2:14" x14ac:dyDescent="0.35">
      <c r="B1906" s="5" t="str">
        <f t="shared" si="2018"/>
        <v>SPS1</v>
      </c>
      <c r="C1906" s="5" t="str">
        <f t="shared" si="2019"/>
        <v>CH</v>
      </c>
      <c r="D1906" t="s">
        <v>1923</v>
      </c>
      <c r="E1906" t="str">
        <f t="shared" si="2020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1.16539152346757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1.7826405306652118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1.9036467138510609</v>
      </c>
      <c r="N1906" s="1"/>
    </row>
    <row r="1907" spans="2:14" x14ac:dyDescent="0.35">
      <c r="B1907" s="5" t="str">
        <f t="shared" si="2018"/>
        <v>SPS1</v>
      </c>
      <c r="C1907" s="5" t="str">
        <f t="shared" si="2019"/>
        <v>CH</v>
      </c>
      <c r="D1907" t="s">
        <v>1924</v>
      </c>
      <c r="E1907" t="str">
        <f t="shared" si="2020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0.99232477507153827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1.1891923129961295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1.1742759925408055</v>
      </c>
      <c r="N1907" s="1"/>
    </row>
    <row r="1908" spans="2:14" x14ac:dyDescent="0.35">
      <c r="B1908" s="5" t="str">
        <f t="shared" si="2018"/>
        <v>SPS1</v>
      </c>
      <c r="C1908" s="5" t="str">
        <f t="shared" si="2019"/>
        <v>CH</v>
      </c>
      <c r="D1908" t="s">
        <v>1925</v>
      </c>
      <c r="E1908" t="str">
        <f t="shared" si="2020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0.99510060950530188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1.3124077547906476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2.3043453489351928</v>
      </c>
      <c r="N1908" s="1"/>
    </row>
    <row r="1909" spans="2:14" x14ac:dyDescent="0.35">
      <c r="B1909" s="5" t="str">
        <f t="shared" si="2018"/>
        <v>SPS1</v>
      </c>
      <c r="C1909" s="5" t="str">
        <f t="shared" si="2019"/>
        <v>CH</v>
      </c>
      <c r="D1909" t="s">
        <v>1926</v>
      </c>
      <c r="E1909" t="str">
        <f t="shared" si="2020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3.8531758084694155E-4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2.7767844644739235E-4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0</v>
      </c>
      <c r="N1909" s="1"/>
    </row>
    <row r="1910" spans="2:14" x14ac:dyDescent="0.35">
      <c r="B1910" s="5" t="str">
        <f t="shared" si="2018"/>
        <v>SPS1</v>
      </c>
      <c r="C1910" s="5" t="str">
        <f t="shared" si="2019"/>
        <v>CH</v>
      </c>
      <c r="D1910" t="s">
        <v>1927</v>
      </c>
      <c r="E1910" t="str">
        <f t="shared" si="2020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1.6746479654034759E-3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5.6049825470908161E-4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0</v>
      </c>
      <c r="N1910" s="1"/>
    </row>
    <row r="1911" spans="2:14" x14ac:dyDescent="0.35">
      <c r="B1911" s="5" t="str">
        <f t="shared" si="2018"/>
        <v>SPS1</v>
      </c>
      <c r="C1911" s="5" t="str">
        <f t="shared" si="2019"/>
        <v>CH</v>
      </c>
      <c r="D1911" t="s">
        <v>1928</v>
      </c>
      <c r="E1911" t="str">
        <f t="shared" si="2020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3.592275062294966E-2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3.8414077273114223E-3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</v>
      </c>
      <c r="N1911" s="1"/>
    </row>
    <row r="1912" spans="2:14" x14ac:dyDescent="0.35">
      <c r="B1912" s="5" t="str">
        <f t="shared" si="2018"/>
        <v>SPS1</v>
      </c>
      <c r="C1912" s="5" t="str">
        <f t="shared" si="2019"/>
        <v>CH</v>
      </c>
      <c r="D1912" t="s">
        <v>1929</v>
      </c>
      <c r="E1912" t="str">
        <f t="shared" si="2020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2.5325785542980607E-3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3.5359203973635289E-4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0</v>
      </c>
      <c r="N1912" s="1"/>
    </row>
    <row r="1913" spans="2:14" x14ac:dyDescent="0.35">
      <c r="B1913" s="5" t="str">
        <f t="shared" si="2018"/>
        <v>SPS1</v>
      </c>
      <c r="C1913" s="5" t="str">
        <f t="shared" si="2019"/>
        <v>CH</v>
      </c>
      <c r="D1913" t="s">
        <v>1930</v>
      </c>
      <c r="E1913" t="str">
        <f t="shared" si="2020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4.0749928345655388E-4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3.0039662708622662E-4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0</v>
      </c>
      <c r="N1913" s="1"/>
    </row>
    <row r="1914" spans="2:14" x14ac:dyDescent="0.35">
      <c r="B1914" s="5" t="str">
        <f t="shared" si="2018"/>
        <v>SPS1</v>
      </c>
      <c r="C1914" s="5" t="str">
        <f t="shared" si="2019"/>
        <v>CH</v>
      </c>
      <c r="D1914" t="s">
        <v>1931</v>
      </c>
      <c r="E1914" t="str">
        <f t="shared" si="2020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1.2152432836313263E-3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9.261192249596466E-4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0</v>
      </c>
      <c r="N1914" s="1"/>
    </row>
    <row r="1915" spans="2:14" x14ac:dyDescent="0.35">
      <c r="B1915" s="5" t="str">
        <f t="shared" si="2018"/>
        <v>SPS1</v>
      </c>
      <c r="C1915" s="5" t="str">
        <f t="shared" si="2019"/>
        <v>CH</v>
      </c>
      <c r="D1915" t="s">
        <v>1932</v>
      </c>
      <c r="E1915" t="str">
        <f t="shared" si="2020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0.21332730592887228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9.0763771468857765E-2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</v>
      </c>
      <c r="N1915" s="1"/>
    </row>
    <row r="1916" spans="2:14" x14ac:dyDescent="0.35">
      <c r="B1916" s="5" t="str">
        <f t="shared" si="2018"/>
        <v>SPS1</v>
      </c>
      <c r="C1916" s="5" t="str">
        <f t="shared" si="2019"/>
        <v>CH</v>
      </c>
      <c r="D1916" t="s">
        <v>1933</v>
      </c>
      <c r="E1916" t="str">
        <f t="shared" si="2020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9.9704538346910153E-4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4.3707192156450123E-4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</v>
      </c>
      <c r="N1916" s="1"/>
    </row>
    <row r="1917" spans="2:14" x14ac:dyDescent="0.35">
      <c r="B1917" s="5" t="str">
        <f t="shared" si="2018"/>
        <v>SPS1</v>
      </c>
      <c r="C1917" s="5" t="str">
        <f t="shared" si="2019"/>
        <v>CH</v>
      </c>
      <c r="D1917" t="s">
        <v>1934</v>
      </c>
      <c r="E1917" t="str">
        <f t="shared" si="2020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4.09000775412099E-6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1.3871365420710521E-6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1.0847851285526369E-6</v>
      </c>
      <c r="N1917" s="1"/>
    </row>
    <row r="1918" spans="2:14" x14ac:dyDescent="0.35">
      <c r="B1918" s="5" t="str">
        <f t="shared" si="2018"/>
        <v>SPS1</v>
      </c>
      <c r="C1918" s="5" t="str">
        <f t="shared" si="2019"/>
        <v>CH</v>
      </c>
      <c r="D1918" t="s">
        <v>1935</v>
      </c>
      <c r="E1918" t="str">
        <f t="shared" si="2020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-2.0988163179479755E-8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1.04597361291145E-6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1.05796972987382E-6</v>
      </c>
      <c r="N1918" s="1"/>
    </row>
    <row r="1919" spans="2:14" x14ac:dyDescent="0.35">
      <c r="B1919" s="5" t="str">
        <f t="shared" si="2018"/>
        <v>SPS1</v>
      </c>
      <c r="C1919" s="5" t="str">
        <f t="shared" si="2019"/>
        <v>CH</v>
      </c>
      <c r="D1919" t="s">
        <v>1936</v>
      </c>
      <c r="E1919" t="str">
        <f t="shared" si="2020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-5.6590495896526301E-7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8.8802244036559805E-7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9.8408651143982706E-7</v>
      </c>
      <c r="N1919" s="1"/>
    </row>
    <row r="1920" spans="2:14" x14ac:dyDescent="0.35">
      <c r="B1920" s="5" t="str">
        <f t="shared" si="2018"/>
        <v>SPS1</v>
      </c>
      <c r="C1920" s="5" t="str">
        <f t="shared" si="2019"/>
        <v>CH</v>
      </c>
      <c r="D1920" t="s">
        <v>1937</v>
      </c>
      <c r="E1920" t="str">
        <f t="shared" si="2020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-1.5431502697388971E-7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9.8278390881971805E-7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1.07626999558402E-6</v>
      </c>
      <c r="N1920" s="1"/>
    </row>
    <row r="1921" spans="2:14" x14ac:dyDescent="0.35">
      <c r="B1921" s="5" t="str">
        <f t="shared" si="2018"/>
        <v>SPS1</v>
      </c>
      <c r="C1921" s="5" t="str">
        <f t="shared" si="2019"/>
        <v>CH</v>
      </c>
      <c r="D1921" t="s">
        <v>1938</v>
      </c>
      <c r="E1921" t="str">
        <f t="shared" si="2020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N1921" s="1"/>
    </row>
    <row r="1922" spans="2:14" x14ac:dyDescent="0.35">
      <c r="B1922" s="5" t="str">
        <f t="shared" si="2018"/>
        <v>SPS1</v>
      </c>
      <c r="C1922" s="5" t="str">
        <f t="shared" si="2019"/>
        <v>CH</v>
      </c>
      <c r="D1922" t="s">
        <v>1939</v>
      </c>
      <c r="E1922" t="str">
        <f t="shared" si="2020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0.17047112203297141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0.10502975822465346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N1922" s="1"/>
    </row>
    <row r="1923" spans="2:14" x14ac:dyDescent="0.35">
      <c r="B1923" s="5" t="str">
        <f t="shared" si="2018"/>
        <v>SPS1</v>
      </c>
      <c r="C1923" s="5" t="str">
        <f t="shared" si="2019"/>
        <v>CH</v>
      </c>
      <c r="D1923" t="s">
        <v>1940</v>
      </c>
      <c r="E1923" t="str">
        <f t="shared" si="2020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0.11550188551345021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2.2610169855421892E-2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N1923" s="1"/>
    </row>
    <row r="1924" spans="2:14" x14ac:dyDescent="0.35">
      <c r="B1924" s="5" t="str">
        <f t="shared" si="2018"/>
        <v>SPS1</v>
      </c>
      <c r="C1924" s="5" t="str">
        <f t="shared" si="2019"/>
        <v>CH</v>
      </c>
      <c r="D1924" t="s">
        <v>1941</v>
      </c>
      <c r="E1924" t="str">
        <f t="shared" si="2020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3.1957038078945836E-2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1.2017907879711335E-4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N1924" s="1"/>
    </row>
    <row r="1925" spans="2:14" x14ac:dyDescent="0.35">
      <c r="B1925" s="5" t="str">
        <f t="shared" si="2018"/>
        <v>SPS1</v>
      </c>
      <c r="C1925" s="5" t="str">
        <f t="shared" si="2019"/>
        <v>CH</v>
      </c>
      <c r="D1925" t="s">
        <v>1942</v>
      </c>
      <c r="E1925" t="str">
        <f t="shared" si="2020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2.4637611129669865E-3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1.8342767763157743E-4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N1925" s="1"/>
    </row>
    <row r="1926" spans="2:14" x14ac:dyDescent="0.35">
      <c r="B1926" s="5" t="str">
        <f t="shared" si="2018"/>
        <v>SPS1</v>
      </c>
      <c r="C1926" s="5" t="str">
        <f t="shared" si="2019"/>
        <v>CH</v>
      </c>
      <c r="D1926" t="s">
        <v>1943</v>
      </c>
      <c r="E1926" t="str">
        <f t="shared" si="2020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N1926" s="1"/>
    </row>
    <row r="1927" spans="2:14" x14ac:dyDescent="0.35">
      <c r="B1927" s="5" t="str">
        <f t="shared" si="2018"/>
        <v>SPS1</v>
      </c>
      <c r="C1927" s="5" t="str">
        <f t="shared" si="2019"/>
        <v>CH</v>
      </c>
      <c r="D1927" t="s">
        <v>1944</v>
      </c>
      <c r="E1927" t="str">
        <f t="shared" si="2020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5.0143809794258164E-2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6.8302581252081863E-3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N1927" s="1"/>
    </row>
    <row r="1928" spans="2:14" x14ac:dyDescent="0.35">
      <c r="B1928" s="5" t="str">
        <f t="shared" si="2018"/>
        <v>SPS1</v>
      </c>
      <c r="C1928" s="5" t="str">
        <f t="shared" si="2019"/>
        <v>CH</v>
      </c>
      <c r="D1928" t="s">
        <v>1945</v>
      </c>
      <c r="E1928" t="str">
        <f t="shared" si="2020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1.109782312278107E-2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4.2682351746975103E-4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N1928" s="1"/>
    </row>
    <row r="1929" spans="2:14" x14ac:dyDescent="0.35">
      <c r="B1929" s="5" t="str">
        <f t="shared" si="2018"/>
        <v>SPS1</v>
      </c>
      <c r="C1929" s="5" t="str">
        <f t="shared" si="2019"/>
        <v>CH</v>
      </c>
      <c r="D1929" t="s">
        <v>1946</v>
      </c>
      <c r="E1929" t="str">
        <f t="shared" si="2020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5.7482677100541606E-2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4.3984345270780198E-3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N1929" s="1"/>
    </row>
    <row r="1930" spans="2:14" x14ac:dyDescent="0.35">
      <c r="B1930" s="5" t="str">
        <f t="shared" si="2018"/>
        <v>SPS1</v>
      </c>
      <c r="C1930" s="5" t="str">
        <f t="shared" si="2019"/>
        <v>CH</v>
      </c>
      <c r="D1930" t="s">
        <v>1947</v>
      </c>
      <c r="E1930" t="str">
        <f t="shared" si="2020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1.0796460012415192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0.65420004276174792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N1930" s="1"/>
    </row>
    <row r="1931" spans="2:14" x14ac:dyDescent="0.35">
      <c r="B1931" s="5" t="str">
        <f t="shared" si="2018"/>
        <v>SPS1</v>
      </c>
      <c r="C1931" s="5" t="str">
        <f t="shared" si="2019"/>
        <v>CH</v>
      </c>
      <c r="D1931" t="s">
        <v>1948</v>
      </c>
      <c r="E1931" t="str">
        <f t="shared" si="2020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2.56656639518763E-4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9.7514283540333399E-5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N1931" s="1"/>
    </row>
    <row r="1932" spans="2:14" x14ac:dyDescent="0.35">
      <c r="B1932" s="5" t="str">
        <f t="shared" si="2018"/>
        <v>SPS1</v>
      </c>
      <c r="C1932" s="5" t="str">
        <f t="shared" si="2019"/>
        <v>CH</v>
      </c>
      <c r="D1932" t="s">
        <v>1949</v>
      </c>
      <c r="E1932" t="str">
        <f t="shared" si="2020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1.3902565490479701E-4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5.2149828392828799E-5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N1932" s="1"/>
    </row>
    <row r="1933" spans="2:14" x14ac:dyDescent="0.35">
      <c r="B1933" s="5" t="str">
        <f t="shared" si="2018"/>
        <v>SPS1</v>
      </c>
      <c r="C1933" s="5" t="str">
        <f t="shared" si="2019"/>
        <v>CH</v>
      </c>
      <c r="D1933" t="s">
        <v>1950</v>
      </c>
      <c r="E1933" t="str">
        <f t="shared" si="2020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1.27613702565002E-4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4.5998216135067101E-5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N1933" s="1"/>
    </row>
    <row r="1934" spans="2:14" x14ac:dyDescent="0.35">
      <c r="B1934" s="5" t="str">
        <f t="shared" si="2018"/>
        <v>SPS1</v>
      </c>
      <c r="C1934" s="5" t="str">
        <f t="shared" si="2019"/>
        <v>CH</v>
      </c>
      <c r="D1934" t="s">
        <v>1951</v>
      </c>
      <c r="E1934" t="str">
        <f t="shared" si="2020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2.4244993325909099E-4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9.3813326598978904E-5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N1934" s="1"/>
    </row>
    <row r="1935" spans="2:14" x14ac:dyDescent="0.35">
      <c r="B1935" s="5" t="str">
        <f t="shared" si="2018"/>
        <v>SPS1</v>
      </c>
      <c r="C1935" s="5" t="str">
        <f t="shared" si="2019"/>
        <v>CH</v>
      </c>
      <c r="D1935" t="s">
        <v>1952</v>
      </c>
      <c r="E1935" t="str">
        <f t="shared" si="2020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N1935" s="1"/>
    </row>
    <row r="1936" spans="2:14" x14ac:dyDescent="0.35">
      <c r="B1936" s="5" t="str">
        <f t="shared" si="2018"/>
        <v>SPS1</v>
      </c>
      <c r="C1936" s="5" t="str">
        <f t="shared" si="2019"/>
        <v>CH</v>
      </c>
      <c r="D1936" t="s">
        <v>1953</v>
      </c>
      <c r="E1936" t="str">
        <f t="shared" si="2020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0.12958516067641201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0.1025504715719381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N1936" s="1"/>
    </row>
    <row r="1937" spans="2:14" x14ac:dyDescent="0.35">
      <c r="B1937" s="5" t="str">
        <f t="shared" si="2018"/>
        <v>SPS1</v>
      </c>
      <c r="C1937" s="5" t="str">
        <f t="shared" si="2019"/>
        <v>CH</v>
      </c>
      <c r="D1937" t="s">
        <v>1954</v>
      </c>
      <c r="E1937" t="str">
        <f t="shared" si="2020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0.30613768190258828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0.12304028882081727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N1937" s="1"/>
    </row>
    <row r="1938" spans="2:14" x14ac:dyDescent="0.35">
      <c r="B1938" s="5" t="str">
        <f t="shared" si="2018"/>
        <v>SPS1</v>
      </c>
      <c r="C1938" s="5" t="str">
        <f t="shared" si="2019"/>
        <v>CH</v>
      </c>
      <c r="D1938" t="s">
        <v>1955</v>
      </c>
      <c r="E1938" t="str">
        <f t="shared" si="2020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9.1442756979215442E-4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1.1859654613522529E-4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N1938" s="1"/>
    </row>
    <row r="1939" spans="2:14" x14ac:dyDescent="0.35">
      <c r="B1939" s="5" t="str">
        <f t="shared" si="2018"/>
        <v>SPS1</v>
      </c>
      <c r="C1939" s="5" t="str">
        <f t="shared" si="2019"/>
        <v>CH</v>
      </c>
      <c r="D1939" t="s">
        <v>1956</v>
      </c>
      <c r="E1939" t="str">
        <f t="shared" si="2020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1.8478867073049882E-3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1.0939298584355706E-4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N1939" s="1"/>
    </row>
    <row r="1940" spans="2:14" x14ac:dyDescent="0.35">
      <c r="B1940" s="5" t="str">
        <f t="shared" si="2018"/>
        <v>SPS1</v>
      </c>
      <c r="C1940" s="5" t="str">
        <f t="shared" si="2019"/>
        <v>CH</v>
      </c>
      <c r="D1940" t="s">
        <v>1957</v>
      </c>
      <c r="E1940" t="str">
        <f t="shared" si="2020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N1940" s="1"/>
    </row>
    <row r="1941" spans="2:14" x14ac:dyDescent="0.35">
      <c r="B1941" s="5" t="str">
        <f t="shared" si="2018"/>
        <v>SPS1</v>
      </c>
      <c r="C1941" s="5" t="str">
        <f t="shared" si="2019"/>
        <v>CH</v>
      </c>
      <c r="D1941" t="s">
        <v>1958</v>
      </c>
      <c r="E1941" t="str">
        <f t="shared" si="2020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3.3435451371098936E-4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1.1439546269963099E-4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N1941" s="1"/>
    </row>
    <row r="1942" spans="2:14" x14ac:dyDescent="0.35">
      <c r="B1942" s="5" t="str">
        <f t="shared" si="2018"/>
        <v>SPS1</v>
      </c>
      <c r="C1942" s="5" t="str">
        <f t="shared" si="2019"/>
        <v>CH</v>
      </c>
      <c r="D1942" t="s">
        <v>1959</v>
      </c>
      <c r="E1942" t="str">
        <f t="shared" si="2020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1.9558197519590234E-3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8.4496532511580105E-5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N1942" s="1"/>
    </row>
    <row r="1943" spans="2:14" x14ac:dyDescent="0.35">
      <c r="B1943" s="5" t="str">
        <f t="shared" si="2018"/>
        <v>SPS1</v>
      </c>
      <c r="C1943" s="5" t="str">
        <f t="shared" si="2019"/>
        <v>CH</v>
      </c>
      <c r="D1943" t="s">
        <v>1960</v>
      </c>
      <c r="E1943" t="str">
        <f t="shared" si="2020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5.7653157915747147E-3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6.2753904804309032E-5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N1943" s="1"/>
    </row>
    <row r="1944" spans="2:14" x14ac:dyDescent="0.35">
      <c r="B1944" s="5" t="str">
        <f t="shared" si="2018"/>
        <v>SPS1</v>
      </c>
      <c r="C1944" s="5" t="str">
        <f t="shared" si="2019"/>
        <v>CH</v>
      </c>
      <c r="D1944" t="s">
        <v>1961</v>
      </c>
      <c r="E1944" t="str">
        <f t="shared" si="2020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3.4445294715445716E-3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3.8439378804735351E-5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N1944" s="1"/>
    </row>
    <row r="1945" spans="2:14" x14ac:dyDescent="0.35">
      <c r="B1945" s="5" t="str">
        <f t="shared" si="2018"/>
        <v>SPS1</v>
      </c>
      <c r="C1945" s="5" t="str">
        <f t="shared" si="2019"/>
        <v>CH</v>
      </c>
      <c r="D1945" t="s">
        <v>1962</v>
      </c>
      <c r="E1945" t="str">
        <f t="shared" si="2020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2.09303810105621E-4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7.8321391242537606E-5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N1945" s="1"/>
    </row>
    <row r="1946" spans="2:14" x14ac:dyDescent="0.35">
      <c r="B1946" s="5" t="str">
        <f t="shared" si="2018"/>
        <v>SPS1</v>
      </c>
      <c r="C1946" s="5" t="str">
        <f t="shared" si="2019"/>
        <v>CH</v>
      </c>
      <c r="D1946" t="s">
        <v>1963</v>
      </c>
      <c r="E1946" t="str">
        <f t="shared" si="2020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1.39252834561899E-4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5.4083525828002597E-5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N1946" s="1"/>
    </row>
    <row r="1947" spans="2:14" x14ac:dyDescent="0.35">
      <c r="B1947" s="5" t="str">
        <f t="shared" si="2018"/>
        <v>SPS1</v>
      </c>
      <c r="C1947" s="5" t="str">
        <f t="shared" si="2019"/>
        <v>CH</v>
      </c>
      <c r="D1947" t="s">
        <v>1964</v>
      </c>
      <c r="E1947" t="str">
        <f t="shared" si="2020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1.2099985294503001E-4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4.5361846917988398E-5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N1947" s="1"/>
    </row>
    <row r="1948" spans="2:14" x14ac:dyDescent="0.35">
      <c r="B1948" s="5" t="str">
        <f t="shared" si="2018"/>
        <v>SPS1</v>
      </c>
      <c r="C1948" s="5" t="str">
        <f t="shared" si="2019"/>
        <v>CH</v>
      </c>
      <c r="D1948" t="s">
        <v>1965</v>
      </c>
      <c r="E1948" t="str">
        <f t="shared" si="2020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5.7643122132722301E-5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1.8408821026047401E-5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N1948" s="1"/>
    </row>
    <row r="1949" spans="2:14" x14ac:dyDescent="0.35">
      <c r="B1949" s="5" t="str">
        <f t="shared" si="2018"/>
        <v>SPS1</v>
      </c>
      <c r="C1949" s="5" t="str">
        <f t="shared" si="2019"/>
        <v>CH</v>
      </c>
      <c r="D1949" t="s">
        <v>1966</v>
      </c>
      <c r="E1949" t="str">
        <f t="shared" si="2020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N1949" s="1"/>
    </row>
    <row r="1950" spans="2:14" x14ac:dyDescent="0.35">
      <c r="B1950" s="5" t="str">
        <f t="shared" si="2018"/>
        <v>SPS1</v>
      </c>
      <c r="C1950" s="5" t="str">
        <f t="shared" si="2019"/>
        <v>CH</v>
      </c>
      <c r="D1950" t="s">
        <v>1967</v>
      </c>
      <c r="E1950" t="str">
        <f t="shared" si="2020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1.030784888315147E-5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5.7101078284599742E-6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1.4598465395799401E-6</v>
      </c>
      <c r="N1950" s="1"/>
    </row>
    <row r="1951" spans="2:14" x14ac:dyDescent="0.35">
      <c r="B1951" s="5" t="str">
        <f t="shared" si="2018"/>
        <v>SPS1</v>
      </c>
      <c r="C1951" s="5" t="str">
        <f t="shared" si="2019"/>
        <v>CH</v>
      </c>
      <c r="D1951" t="s">
        <v>1968</v>
      </c>
      <c r="E1951" t="str">
        <f t="shared" si="2020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1.1135369278008597E-5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7.3701041816895413E-6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1.9418767317985399E-6</v>
      </c>
      <c r="N1951" s="1"/>
    </row>
    <row r="1952" spans="2:14" x14ac:dyDescent="0.35">
      <c r="B1952" s="5" t="str">
        <f t="shared" si="2018"/>
        <v>SPS1</v>
      </c>
      <c r="C1952" s="5" t="str">
        <f t="shared" si="2019"/>
        <v>CH</v>
      </c>
      <c r="D1952" t="s">
        <v>1969</v>
      </c>
      <c r="E1952" t="str">
        <f t="shared" si="2020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1.4513357117214991E-5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8.8549089951841401E-6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2.3712411587284198E-6</v>
      </c>
      <c r="N1952" s="1"/>
    </row>
    <row r="1953" spans="2:14" x14ac:dyDescent="0.35">
      <c r="B1953" s="5" t="str">
        <f t="shared" si="2018"/>
        <v>SPS1</v>
      </c>
      <c r="C1953" s="5" t="str">
        <f t="shared" si="2019"/>
        <v>CH</v>
      </c>
      <c r="D1953" t="s">
        <v>1970</v>
      </c>
      <c r="E1953" t="str">
        <f t="shared" si="2020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1.2630666426635575E-5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8.9442274935161255E-6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2.3953985291493099E-6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21">SUM(G1955:G1977)</f>
        <v>5.6868068259520754</v>
      </c>
      <c r="H1954" s="3">
        <f t="shared" si="2021"/>
        <v>5.8334957567006951</v>
      </c>
      <c r="I1954" s="3">
        <f t="shared" si="2021"/>
        <v>6.569150323663834</v>
      </c>
      <c r="J1954" s="3">
        <f t="shared" si="2021"/>
        <v>6.8149629581329938</v>
      </c>
      <c r="K1954" s="3">
        <f t="shared" si="2021"/>
        <v>7.0606941945887218</v>
      </c>
      <c r="L1954" s="3">
        <f t="shared" ref="L1954" si="2022">SUM(L1955:L1977)</f>
        <v>7.8516531951978976</v>
      </c>
      <c r="N1954" s="1"/>
    </row>
    <row r="1955" spans="2:14" x14ac:dyDescent="0.35">
      <c r="B1955" s="5" t="str">
        <f t="shared" ref="B1955:B1977" si="2023">B1954</f>
        <v>SPS1</v>
      </c>
      <c r="C1955" s="5" t="str">
        <f t="shared" ref="C1955:C1977" si="2024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N1955" s="1"/>
    </row>
    <row r="1956" spans="2:14" x14ac:dyDescent="0.35">
      <c r="B1956" s="5" t="str">
        <f t="shared" si="2023"/>
        <v>SPS1</v>
      </c>
      <c r="C1956" s="5" t="str">
        <f t="shared" si="2024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2.6144054674036394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2.6735416550751459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1.7527563590748372</v>
      </c>
      <c r="N1956" s="1"/>
    </row>
    <row r="1957" spans="2:14" x14ac:dyDescent="0.35">
      <c r="B1957" s="5" t="str">
        <f t="shared" si="2023"/>
        <v>SPS1</v>
      </c>
      <c r="C1957" s="5" t="str">
        <f t="shared" si="2024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0.777945464677674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0.80919945772711488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0.86839886263761146</v>
      </c>
      <c r="N1957" s="1"/>
    </row>
    <row r="1958" spans="2:14" x14ac:dyDescent="0.35">
      <c r="B1958" s="5" t="str">
        <f t="shared" si="2023"/>
        <v>SPS1</v>
      </c>
      <c r="C1958" s="5" t="str">
        <f t="shared" si="2024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2.4386240336827143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2.4300829613221202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3.7500390791782201</v>
      </c>
      <c r="N1958" s="1"/>
    </row>
    <row r="1959" spans="2:14" x14ac:dyDescent="0.35">
      <c r="B1959" s="5" t="str">
        <f t="shared" si="2023"/>
        <v>SPS1</v>
      </c>
      <c r="C1959" s="5" t="str">
        <f t="shared" si="2024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9.6235308568885303E-4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1.088463806820588E-3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4.7121118007430798E-4</v>
      </c>
      <c r="N1959" s="1"/>
    </row>
    <row r="1960" spans="2:14" x14ac:dyDescent="0.35">
      <c r="B1960" s="5" t="str">
        <f t="shared" si="2023"/>
        <v>SPS1</v>
      </c>
      <c r="C1960" s="5" t="str">
        <f t="shared" si="2024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6.6961023020830398E-5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1.2650057444750702E-5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7.9746804692256092E-6</v>
      </c>
      <c r="N1960" s="1"/>
    </row>
    <row r="1961" spans="2:14" x14ac:dyDescent="0.35">
      <c r="B1961" s="5" t="str">
        <f t="shared" si="2023"/>
        <v>SPS1</v>
      </c>
      <c r="C1961" s="5" t="str">
        <f t="shared" si="2024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N1961" s="1"/>
    </row>
    <row r="1962" spans="2:14" x14ac:dyDescent="0.35">
      <c r="B1962" s="5" t="str">
        <f t="shared" si="2023"/>
        <v>SPS1</v>
      </c>
      <c r="C1962" s="5" t="str">
        <f t="shared" si="2024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N1962" s="1"/>
    </row>
    <row r="1963" spans="2:14" x14ac:dyDescent="0.35">
      <c r="B1963" s="5" t="str">
        <f t="shared" si="2023"/>
        <v>SPS1</v>
      </c>
      <c r="C1963" s="5" t="str">
        <f t="shared" si="2024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N1963" s="1"/>
    </row>
    <row r="1964" spans="2:14" x14ac:dyDescent="0.35">
      <c r="B1964" s="5" t="str">
        <f t="shared" si="2023"/>
        <v>SPS1</v>
      </c>
      <c r="C1964" s="5" t="str">
        <f t="shared" si="2024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6.3166043578159097E-3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1.5167070578211603E-2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1.4233406263627066</v>
      </c>
      <c r="N1964" s="1"/>
    </row>
    <row r="1965" spans="2:14" x14ac:dyDescent="0.35">
      <c r="B1965" s="5" t="str">
        <f t="shared" si="2023"/>
        <v>SPS1</v>
      </c>
      <c r="C1965" s="5" t="str">
        <f t="shared" si="2024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4.0458423241964978E-3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5.63243764382018E-3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2.9929476595362699E-3</v>
      </c>
      <c r="N1965" s="1"/>
    </row>
    <row r="1966" spans="2:14" x14ac:dyDescent="0.35">
      <c r="B1966" s="5" t="str">
        <f t="shared" si="2023"/>
        <v>SPS1</v>
      </c>
      <c r="C1966" s="5" t="str">
        <f t="shared" si="2024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0.97234286474081799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1.1256588565515799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5.3544470251751297E-2</v>
      </c>
      <c r="N1966" s="1"/>
    </row>
    <row r="1967" spans="2:14" x14ac:dyDescent="0.35">
      <c r="B1967" s="5" t="str">
        <f t="shared" si="2023"/>
        <v>SPS1</v>
      </c>
      <c r="C1967" s="5" t="str">
        <f t="shared" si="2024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1.8474555690079598E-4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2.5148117588646697E-4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5.72215387190289E-5</v>
      </c>
      <c r="N1967" s="1"/>
    </row>
    <row r="1968" spans="2:14" x14ac:dyDescent="0.35">
      <c r="B1968" s="5" t="str">
        <f t="shared" si="2023"/>
        <v>SPS1</v>
      </c>
      <c r="C1968" s="5" t="str">
        <f t="shared" si="2024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N1968" s="1"/>
    </row>
    <row r="1969" spans="2:14" x14ac:dyDescent="0.35">
      <c r="B1969" s="5" t="str">
        <f t="shared" si="2023"/>
        <v>SPS1</v>
      </c>
      <c r="C1969" s="5" t="str">
        <f t="shared" si="2024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1.6667577224980211E-5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2.16097341922077E-5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1.78268028850114E-5</v>
      </c>
      <c r="N1969" s="1"/>
    </row>
    <row r="1970" spans="2:14" x14ac:dyDescent="0.35">
      <c r="B1970" s="5" t="str">
        <f t="shared" si="2023"/>
        <v>SPS1</v>
      </c>
      <c r="C1970" s="5" t="str">
        <f t="shared" si="2024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N1970" s="1"/>
    </row>
    <row r="1971" spans="2:14" x14ac:dyDescent="0.35">
      <c r="B1971" s="5" t="str">
        <f t="shared" si="2023"/>
        <v>SPS1</v>
      </c>
      <c r="C1971" s="5" t="str">
        <f t="shared" si="2024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N1971" s="1"/>
    </row>
    <row r="1972" spans="2:14" x14ac:dyDescent="0.35">
      <c r="B1972" s="5" t="str">
        <f t="shared" si="2023"/>
        <v>SPS1</v>
      </c>
      <c r="C1972" s="5" t="str">
        <f t="shared" si="2024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N1972" s="1"/>
    </row>
    <row r="1973" spans="2:14" x14ac:dyDescent="0.35">
      <c r="B1973" s="5" t="str">
        <f t="shared" si="2023"/>
        <v>SPS1</v>
      </c>
      <c r="C1973" s="5" t="str">
        <f t="shared" si="2024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N1973" s="1"/>
    </row>
    <row r="1974" spans="2:14" x14ac:dyDescent="0.35">
      <c r="B1974" s="5" t="str">
        <f t="shared" si="2023"/>
        <v>SPS1</v>
      </c>
      <c r="C1974" s="5" t="str">
        <f t="shared" si="2024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4.7668813690059991E-5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3.7550916384084803E-5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2.6615831087976699E-5</v>
      </c>
      <c r="N1974" s="1"/>
    </row>
    <row r="1975" spans="2:14" x14ac:dyDescent="0.35">
      <c r="B1975" s="5" t="str">
        <f t="shared" si="2023"/>
        <v>SPS1</v>
      </c>
      <c r="C1975" s="5" t="str">
        <f t="shared" si="2024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4.2848896090995223E-6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N1975" s="1"/>
    </row>
    <row r="1976" spans="2:14" x14ac:dyDescent="0.35">
      <c r="B1976" s="5" t="str">
        <f t="shared" si="2023"/>
        <v>SPS1</v>
      </c>
      <c r="C1976" s="5" t="str">
        <f t="shared" si="2024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N1976" s="1"/>
    </row>
    <row r="1977" spans="2:14" x14ac:dyDescent="0.35">
      <c r="B1977" s="5" t="str">
        <f t="shared" si="2023"/>
        <v>SPS1</v>
      </c>
      <c r="C1977" s="5" t="str">
        <f t="shared" si="2024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25">SUM(G1979:G2001)</f>
        <v>2.9264404746247203</v>
      </c>
      <c r="H1978" s="3">
        <f t="shared" ref="H1978" si="2026">SUM(H1979:H2001)</f>
        <v>2.8924550502305189</v>
      </c>
      <c r="I1978" s="3">
        <f t="shared" ref="I1978" si="2027">SUM(I1979:I2001)</f>
        <v>2.9279253936472802</v>
      </c>
      <c r="J1978" s="3">
        <f t="shared" ref="J1978" si="2028">SUM(J1979:J2001)</f>
        <v>2.9329149050123124</v>
      </c>
      <c r="K1978" s="3">
        <f t="shared" ref="K1978:L1978" si="2029">SUM(K1979:K2001)</f>
        <v>2.9284594840593181</v>
      </c>
      <c r="L1978" s="3">
        <f t="shared" si="2029"/>
        <v>2.9934784735972144</v>
      </c>
      <c r="N1978" s="1"/>
    </row>
    <row r="1979" spans="2:14" x14ac:dyDescent="0.35">
      <c r="B1979" s="5" t="str">
        <f t="shared" ref="B1979:B2001" si="2030">B1978</f>
        <v>SPS1</v>
      </c>
      <c r="C1979" s="5" t="str">
        <f t="shared" ref="C1979:C2001" si="2031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N1979" s="1"/>
    </row>
    <row r="1980" spans="2:14" x14ac:dyDescent="0.35">
      <c r="B1980" s="5" t="str">
        <f t="shared" si="2030"/>
        <v>SPS1</v>
      </c>
      <c r="C1980" s="5" t="str">
        <f t="shared" si="2031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1.40321249290651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1.2148679638678339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1.0132660449686841</v>
      </c>
      <c r="N1980" s="1"/>
    </row>
    <row r="1981" spans="2:14" x14ac:dyDescent="0.35">
      <c r="B1981" s="5" t="str">
        <f t="shared" si="2030"/>
        <v>SPS1</v>
      </c>
      <c r="C1981" s="5" t="str">
        <f t="shared" si="2031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0.9768984956621386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1.1511721743615537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1.1987779349154699</v>
      </c>
      <c r="N1981" s="1"/>
    </row>
    <row r="1982" spans="2:14" x14ac:dyDescent="0.35">
      <c r="B1982" s="5" t="str">
        <f t="shared" si="2030"/>
        <v>SPS1</v>
      </c>
      <c r="C1982" s="5" t="str">
        <f t="shared" si="2031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7.7115637640344514E-3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2.1905768013557401E-2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0.20556464574883401</v>
      </c>
      <c r="N1982" s="1"/>
    </row>
    <row r="1983" spans="2:14" x14ac:dyDescent="0.35">
      <c r="B1983" s="5" t="str">
        <f t="shared" si="2030"/>
        <v>SPS1</v>
      </c>
      <c r="C1983" s="5" t="str">
        <f t="shared" si="2031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7.5249356834981298E-4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1.0634634850978477E-3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4.2837635099971004E-4</v>
      </c>
      <c r="N1983" s="1"/>
    </row>
    <row r="1984" spans="2:14" x14ac:dyDescent="0.35">
      <c r="B1984" s="5" t="str">
        <f t="shared" si="2030"/>
        <v>SPS1</v>
      </c>
      <c r="C1984" s="5" t="str">
        <f t="shared" si="2031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3.7179144494359699E-5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9.5489688220787996E-6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5.4382903340631403E-6</v>
      </c>
      <c r="N1984" s="1"/>
    </row>
    <row r="1985" spans="2:14" x14ac:dyDescent="0.35">
      <c r="B1985" s="5" t="str">
        <f t="shared" si="2030"/>
        <v>SPS1</v>
      </c>
      <c r="C1985" s="5" t="str">
        <f t="shared" si="2031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2.8974998660053019E-6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2.8716136135379603E-6</v>
      </c>
      <c r="N1985" s="1"/>
    </row>
    <row r="1986" spans="2:14" x14ac:dyDescent="0.35">
      <c r="B1986" s="5" t="str">
        <f t="shared" si="2030"/>
        <v>SPS1</v>
      </c>
      <c r="C1986" s="5" t="str">
        <f t="shared" si="2031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N1986" s="1"/>
    </row>
    <row r="1987" spans="2:14" x14ac:dyDescent="0.35">
      <c r="B1987" s="5" t="str">
        <f t="shared" si="2030"/>
        <v>SPS1</v>
      </c>
      <c r="C1987" s="5" t="str">
        <f t="shared" si="2031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N1987" s="1"/>
    </row>
    <row r="1988" spans="2:14" x14ac:dyDescent="0.35">
      <c r="B1988" s="5" t="str">
        <f t="shared" si="2030"/>
        <v>SPS1</v>
      </c>
      <c r="C1988" s="5" t="str">
        <f t="shared" si="2031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9.6813508493854613E-3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0.19400323533543296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0.50104452117750053</v>
      </c>
      <c r="N1988" s="1"/>
    </row>
    <row r="1989" spans="2:14" x14ac:dyDescent="0.35">
      <c r="B1989" s="5" t="str">
        <f t="shared" si="2030"/>
        <v>SPS1</v>
      </c>
      <c r="C1989" s="5" t="str">
        <f t="shared" si="2031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0.27440766093968111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9.9455183475232412E-2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1.9304036186883138E-2</v>
      </c>
      <c r="N1989" s="1"/>
    </row>
    <row r="1990" spans="2:14" x14ac:dyDescent="0.35">
      <c r="B1990" s="5" t="str">
        <f t="shared" si="2030"/>
        <v>SPS1</v>
      </c>
      <c r="C1990" s="5" t="str">
        <f t="shared" si="2031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0.25997092512512898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0.245650545065495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5.498755142786E-2</v>
      </c>
      <c r="N1990" s="1"/>
    </row>
    <row r="1991" spans="2:14" x14ac:dyDescent="0.35">
      <c r="B1991" s="5" t="str">
        <f t="shared" si="2030"/>
        <v>SPS1</v>
      </c>
      <c r="C1991" s="5" t="str">
        <f t="shared" si="2031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2.2984869688684302E-4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3.31601486293233E-4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9.7052917035848088E-5</v>
      </c>
      <c r="N1991" s="1"/>
    </row>
    <row r="1992" spans="2:14" x14ac:dyDescent="0.35">
      <c r="B1992" s="5" t="str">
        <f t="shared" si="2030"/>
        <v>SPS1</v>
      </c>
      <c r="C1992" s="5" t="str">
        <f t="shared" si="2031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N1992" s="1"/>
    </row>
    <row r="1993" spans="2:14" x14ac:dyDescent="0.35">
      <c r="B1993" s="5" t="str">
        <f t="shared" si="2030"/>
        <v>SPS1</v>
      </c>
      <c r="C1993" s="5" t="str">
        <f t="shared" si="2031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2.5820692449939585E-6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N1993" s="1"/>
    </row>
    <row r="1994" spans="2:14" x14ac:dyDescent="0.35">
      <c r="B1994" s="5" t="str">
        <f t="shared" si="2030"/>
        <v>SPS1</v>
      </c>
      <c r="C1994" s="5" t="str">
        <f t="shared" si="2031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2.3234162254620526E-6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N1994" s="1"/>
    </row>
    <row r="1995" spans="2:14" x14ac:dyDescent="0.35">
      <c r="B1995" s="5" t="str">
        <f t="shared" si="2030"/>
        <v>SPS1</v>
      </c>
      <c r="C1995" s="5" t="str">
        <f t="shared" si="2031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N1995" s="1"/>
    </row>
    <row r="1996" spans="2:14" x14ac:dyDescent="0.35">
      <c r="B1996" s="5" t="str">
        <f t="shared" si="2030"/>
        <v>SPS1</v>
      </c>
      <c r="C1996" s="5" t="str">
        <f t="shared" si="2031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N1996" s="1"/>
    </row>
    <row r="1997" spans="2:14" x14ac:dyDescent="0.35">
      <c r="B1997" s="5" t="str">
        <f t="shared" si="2030"/>
        <v>SPS1</v>
      </c>
      <c r="C1997" s="5" t="str">
        <f t="shared" si="2031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N1997" s="1"/>
    </row>
    <row r="1998" spans="2:14" x14ac:dyDescent="0.35">
      <c r="B1998" s="5" t="str">
        <f t="shared" si="2030"/>
        <v>SPS1</v>
      </c>
      <c r="C1998" s="5" t="str">
        <f t="shared" si="2031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2.9020945526900357E-6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N1998" s="1"/>
    </row>
    <row r="1999" spans="2:14" x14ac:dyDescent="0.35">
      <c r="B1999" s="5" t="str">
        <f t="shared" si="2030"/>
        <v>SPS1</v>
      </c>
      <c r="C1999" s="5" t="str">
        <f t="shared" si="2031"/>
        <v>CH</v>
      </c>
      <c r="D1999" t="s">
        <v>2028</v>
      </c>
      <c r="E1999" t="s">
        <v>1999</v>
      </c>
      <c r="F1999" s="1" cm="1">
        <f t="array" ref="F1999">(SUMPRODUCT(("Var_Cap"=[1]OUT_TransportEnergyCons!$B$4:$B$10000)*1,ISNUMBER(SEARCH("T_b_c*ICE*nga*s2",[1]OUT_TransportEnergyCons!$A$4:$A$10000))*1,[1]OUT_TransportEnergyCons!D$4:D$10000))*1000</f>
        <v>0</v>
      </c>
      <c r="G1999" s="1" cm="1">
        <f t="array" ref="G1999">(SUMPRODUCT(("Var_Cap"=[1]OUT_TransportEnergyCons!$B$4:$B$10000)*1,ISNUMBER(SEARCH("T_b_c*ICE*nga*s2",[1]OUT_TransportEnergyCons!$A$4:$A$10000))*1,[1]OUT_TransportEnergyCons!E$4:E$10000))*1000</f>
        <v>2.10343902039275E-4</v>
      </c>
      <c r="H1999" s="1" cm="1">
        <f t="array" ref="H1999">(SUMPRODUCT(("Var_Cap"=[1]OUT_TransportEnergyCons!$B$4:$B$10000)*1,ISNUMBER(SEARCH("T_b_c*ICE*nga*s2",[1]OUT_TransportEnergyCons!$A$4:$A$10000))*1,[1]OUT_TransportEnergyCons!F$4:F$10000))*1000</f>
        <v>1.41299880114445E-3</v>
      </c>
      <c r="I1999" s="1" cm="1">
        <f t="array" ref="I1999">(SUMPRODUCT(("Var_Cap"=[1]OUT_TransportEnergyCons!$B$4:$B$10000)*1,ISNUMBER(SEARCH("T_b_c*ICE*nga*s2",[1]OUT_TransportEnergyCons!$A$4:$A$10000))*1,[1]OUT_TransportEnergyCons!G$4:G$10000))*1000</f>
        <v>2.553451788080094E-6</v>
      </c>
      <c r="J1999" s="1" cm="1">
        <f t="array" ref="J1999">(SUMPRODUCT(("Var_Cap"=[1]OUT_TransportEnergyCons!$B$4:$B$10000)*1,ISNUMBER(SEARCH("T_b_c*ICE*nga*s2",[1]OUT_TransportEnergyCons!$A$4:$A$10000))*1,[1]OUT_TransportEnergyCons!H$4:H$10000))*1000</f>
        <v>2.1892758136320151E-6</v>
      </c>
      <c r="K1999" s="1" cm="1">
        <f t="array" ref="K1999">(SUMPRODUCT(("Var_Cap"=[1]OUT_TransportEnergyCons!$B$4:$B$10000)*1,ISNUMBER(SEARCH("T_b_c*ICE*nga*s2",[1]OUT_TransportEnergyCons!$A$4:$A$10000))*1,[1]OUT_TransportEnergyCons!I$4:I$10000))*1000</f>
        <v>0</v>
      </c>
      <c r="L1999" s="1" cm="1">
        <f t="array" ref="L1999">(SUMPRODUCT(("Var_Cap"=[1]OUT_TransportEnergyCons!$B$4:$B$10000)*1,ISNUMBER(SEARCH("T_b_c*ICE*nga*s2",[1]OUT_TransportEnergyCons!$A$4:$A$10000))*1,[1]OUT_TransportEnergyCons!J$4:J$10000))*1000</f>
        <v>0</v>
      </c>
      <c r="N1999" s="1"/>
    </row>
    <row r="2000" spans="2:14" x14ac:dyDescent="0.35">
      <c r="B2000" s="5" t="str">
        <f t="shared" si="2030"/>
        <v>SPS1</v>
      </c>
      <c r="C2000" s="5" t="str">
        <f t="shared" si="2031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N2000" s="1"/>
    </row>
    <row r="2001" spans="2:14" x14ac:dyDescent="0.35">
      <c r="B2001" s="5" t="str">
        <f t="shared" si="2030"/>
        <v>SPS1</v>
      </c>
      <c r="C2001" s="5" t="str">
        <f t="shared" si="2031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32">SUM(G2003:G2011)</f>
        <v>399.40196087035844</v>
      </c>
      <c r="H2002" s="3">
        <f t="shared" si="2032"/>
        <v>406.73857829684556</v>
      </c>
      <c r="I2002" s="3">
        <f t="shared" si="2032"/>
        <v>418.96704142969361</v>
      </c>
      <c r="J2002" s="3">
        <f t="shared" si="2032"/>
        <v>442.92474931567955</v>
      </c>
      <c r="K2002" s="3">
        <f t="shared" si="2032"/>
        <v>466.88083818435086</v>
      </c>
      <c r="L2002" s="3">
        <f t="shared" ref="L2002" si="2033">SUM(L2003:L2011)</f>
        <v>503.82754491064242</v>
      </c>
      <c r="N2002" s="1"/>
    </row>
    <row r="2003" spans="2:14" x14ac:dyDescent="0.35">
      <c r="B2003" s="5" t="str">
        <f t="shared" ref="B2003:B2011" si="2034">B2002</f>
        <v>SPS1</v>
      </c>
      <c r="C2003" s="5" t="str">
        <f t="shared" ref="C2003:C2011" si="2035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N2003" s="1"/>
    </row>
    <row r="2004" spans="2:14" x14ac:dyDescent="0.35">
      <c r="B2004" s="5" t="str">
        <f t="shared" si="2034"/>
        <v>SPS1</v>
      </c>
      <c r="C2004" s="5" t="str">
        <f t="shared" si="2035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252.47468762345716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384.07139056248593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454.36695320060795</v>
      </c>
      <c r="N2004" s="1"/>
    </row>
    <row r="2005" spans="2:14" x14ac:dyDescent="0.35">
      <c r="B2005" s="5" t="str">
        <f t="shared" si="2034"/>
        <v>SPS1</v>
      </c>
      <c r="C2005" s="5" t="str">
        <f t="shared" si="2035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4.2200874183882011E-4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4.1747070364118229E-4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4.0483472834417801E-4</v>
      </c>
      <c r="N2005" s="1"/>
    </row>
    <row r="2006" spans="2:14" x14ac:dyDescent="0.35">
      <c r="B2006" s="5" t="str">
        <f t="shared" si="2034"/>
        <v>SPS1</v>
      </c>
      <c r="C2006" s="5" t="str">
        <f t="shared" si="2035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N2006" s="1"/>
    </row>
    <row r="2007" spans="2:14" x14ac:dyDescent="0.35">
      <c r="B2007" s="5" t="str">
        <f t="shared" si="2034"/>
        <v>SPS1</v>
      </c>
      <c r="C2007" s="5" t="str">
        <f t="shared" si="2035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30.685343832474828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4.3581361365982358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N2007" s="1"/>
    </row>
    <row r="2008" spans="2:14" x14ac:dyDescent="0.35">
      <c r="B2008" s="5" t="str">
        <f t="shared" si="2034"/>
        <v>SPS1</v>
      </c>
      <c r="C2008" s="5" t="str">
        <f t="shared" si="2035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N2008" s="1"/>
    </row>
    <row r="2009" spans="2:14" x14ac:dyDescent="0.35">
      <c r="B2009" s="5" t="str">
        <f t="shared" si="2034"/>
        <v>SPS1</v>
      </c>
      <c r="C2009" s="5" t="str">
        <f t="shared" si="2035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0.31722474891447577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0.15369549597057219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4.58256190019911E-2</v>
      </c>
      <c r="N2009" s="1"/>
    </row>
    <row r="2010" spans="2:14" x14ac:dyDescent="0.35">
      <c r="B2010" s="5" t="str">
        <f t="shared" si="2034"/>
        <v>SPS1</v>
      </c>
      <c r="C2010" s="5" t="str">
        <f t="shared" si="2035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159.44230235607142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78.292998400340778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49.410353710141258</v>
      </c>
      <c r="N2010" s="1"/>
    </row>
    <row r="2011" spans="2:14" x14ac:dyDescent="0.35">
      <c r="B2011" s="5" t="str">
        <f t="shared" si="2034"/>
        <v>SPS1</v>
      </c>
      <c r="C2011" s="5" t="str">
        <f t="shared" si="2035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4.7687460198103703E-3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4.2001182516520708E-3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4.0075461628633685E-3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36">SUM(G2013:G2021)</f>
        <v>42.364688368162582</v>
      </c>
      <c r="H2012" s="3">
        <f t="shared" ref="H2012" si="2037">SUM(H2013:H2021)</f>
        <v>43.459536196596972</v>
      </c>
      <c r="I2012" s="3">
        <f t="shared" ref="I2012" si="2038">SUM(I2013:I2021)</f>
        <v>45.296477075406145</v>
      </c>
      <c r="J2012" s="3">
        <f t="shared" ref="J2012" si="2039">SUM(J2013:J2021)</f>
        <v>47.268900318299472</v>
      </c>
      <c r="K2012" s="3">
        <f t="shared" ref="K2012:L2012" si="2040">SUM(K2013:K2021)</f>
        <v>49.241340758499561</v>
      </c>
      <c r="L2012" s="3">
        <f t="shared" si="2040"/>
        <v>53.024733782677473</v>
      </c>
      <c r="N2012" s="1"/>
    </row>
    <row r="2013" spans="2:14" x14ac:dyDescent="0.35">
      <c r="B2013" s="5" t="str">
        <f t="shared" ref="B2013:B2021" si="2041">B2012</f>
        <v>SPS1</v>
      </c>
      <c r="C2013" s="5" t="str">
        <f t="shared" ref="C2013:C2021" si="2042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N2013" s="1"/>
    </row>
    <row r="2014" spans="2:14" x14ac:dyDescent="0.35">
      <c r="B2014" s="5" t="str">
        <f t="shared" si="2041"/>
        <v>SPS1</v>
      </c>
      <c r="C2014" s="5" t="str">
        <f t="shared" si="2042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1.28315934187926E-2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1.7990386922234605E-2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46.028735813785602</v>
      </c>
      <c r="N2014" s="1"/>
    </row>
    <row r="2015" spans="2:14" x14ac:dyDescent="0.35">
      <c r="B2015" s="5" t="str">
        <f t="shared" si="2041"/>
        <v>SPS1</v>
      </c>
      <c r="C2015" s="5" t="str">
        <f t="shared" si="2042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2.9778472356378256E-4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8.4589457257250506E-4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8.2167583649431794E-4</v>
      </c>
      <c r="N2015" s="1"/>
    </row>
    <row r="2016" spans="2:14" x14ac:dyDescent="0.35">
      <c r="B2016" s="5" t="str">
        <f t="shared" si="2041"/>
        <v>SPS1</v>
      </c>
      <c r="C2016" s="5" t="str">
        <f t="shared" si="2042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N2016" s="1"/>
    </row>
    <row r="2017" spans="2:14" x14ac:dyDescent="0.35">
      <c r="B2017" s="5" t="str">
        <f t="shared" si="2041"/>
        <v>SPS1</v>
      </c>
      <c r="C2017" s="5" t="str">
        <f t="shared" si="2042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N2017" s="1"/>
    </row>
    <row r="2018" spans="2:14" x14ac:dyDescent="0.35">
      <c r="B2018" s="5" t="str">
        <f t="shared" si="2041"/>
        <v>SPS1</v>
      </c>
      <c r="C2018" s="5" t="str">
        <f t="shared" si="2042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N2018" s="1"/>
    </row>
    <row r="2019" spans="2:14" x14ac:dyDescent="0.35">
      <c r="B2019" s="5" t="str">
        <f t="shared" si="2041"/>
        <v>SPS1</v>
      </c>
      <c r="C2019" s="5" t="str">
        <f t="shared" si="2042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7.5064131390719189E-3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8.6074216372332597E-3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1.4655821305516201E-3</v>
      </c>
      <c r="N2019" s="1"/>
    </row>
    <row r="2020" spans="2:14" x14ac:dyDescent="0.35">
      <c r="B2020" s="5" t="str">
        <f t="shared" si="2041"/>
        <v>SPS1</v>
      </c>
      <c r="C2020" s="5" t="str">
        <f t="shared" si="2042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47.24442019792653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49.210037083265902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6.9898485724695698</v>
      </c>
      <c r="N2020" s="1"/>
    </row>
    <row r="2021" spans="2:14" x14ac:dyDescent="0.35">
      <c r="B2021" s="5" t="str">
        <f t="shared" si="2041"/>
        <v>SPS1</v>
      </c>
      <c r="C2021" s="5" t="str">
        <f t="shared" si="2042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3.8443290915119994E-3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3.8599721016168449E-3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3.8621384552638797E-3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3">SUM(F2023,F2027,F2030)</f>
        <v>4.11416983932213E-4</v>
      </c>
      <c r="G2022" s="3">
        <f t="shared" ref="G2022" si="2044">SUM(G2023,G2027,G2030)</f>
        <v>4.1370970511649352E-4</v>
      </c>
      <c r="H2022" s="3">
        <f t="shared" ref="H2022" si="2045">SUM(H2023,H2027,H2030)</f>
        <v>4.1473787433655361E-4</v>
      </c>
      <c r="I2022" s="3">
        <f t="shared" ref="I2022" si="2046">SUM(I2023,I2027,I2030)</f>
        <v>4.3461317963369809E-4</v>
      </c>
      <c r="J2022" s="3">
        <f t="shared" ref="J2022" si="2047">SUM(J2023,J2027,J2030)</f>
        <v>0.20567597973973079</v>
      </c>
      <c r="K2022" s="3">
        <f t="shared" ref="K2022:L2022" si="2048">SUM(K2023,K2027,K2030)</f>
        <v>0.49697473546226506</v>
      </c>
      <c r="L2022" s="3">
        <f t="shared" si="2048"/>
        <v>0.96506383294462483</v>
      </c>
      <c r="N2022" s="1"/>
    </row>
    <row r="2023" spans="2:14" x14ac:dyDescent="0.35">
      <c r="B2023" s="5" t="str">
        <f t="shared" ref="B2023:B2032" si="2049">B2022</f>
        <v>SPS1</v>
      </c>
      <c r="C2023" s="5" t="str">
        <f t="shared" ref="C2023:C2032" si="2050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SUMPRODUCT(ISNUMBER(SEARCH("SUP_ELCH2*",[1]OUT_SyntheticFuels!$C$4:$C$1000))*1,("Var_cap"=[1]OUT_SyntheticFuels!$B$4:$B$1000)*1,[1]OUT_SyntheticFuels!I$4:I$1000)</f>
        <v>0.20567466872344844</v>
      </c>
      <c r="K2023" s="1" cm="1">
        <f t="array" ref="K2023">SUMPRODUCT(ISNUMBER(SEARCH("SUP_ELCH2*",[1]OUT_SyntheticFuels!$C$4:$C$1000))*1,("Var_cap"=[1]OUT_SyntheticFuels!$B$4:$B$1000)*1,[1]OUT_SyntheticFuels!J$4:J$1000)</f>
        <v>0.49697339266221074</v>
      </c>
      <c r="L2023" s="1" cm="1">
        <f t="array" ref="L2023">SUMPRODUCT(ISNUMBER(SEARCH("SUP_ELCH2*",[1]OUT_SyntheticFuels!$C$4:$C$1000))*1,("Var_cap"=[1]OUT_SyntheticFuels!$B$4:$B$1000)*1,[1]OUT_SyntheticFuels!K$4:K$1000)</f>
        <v>0.96506283338676291</v>
      </c>
      <c r="N2023" s="1"/>
    </row>
    <row r="2024" spans="2:14" x14ac:dyDescent="0.35">
      <c r="B2024" s="5" t="str">
        <f t="shared" si="2049"/>
        <v>SPS1</v>
      </c>
      <c r="C2024" s="5" t="str">
        <f t="shared" si="2050"/>
        <v>CH</v>
      </c>
      <c r="D2024" t="s">
        <v>2145</v>
      </c>
      <c r="E2024" t="s">
        <v>2154</v>
      </c>
      <c r="F2024" s="1">
        <f t="shared" ref="F2024" si="2051">F2023-F2025-F2026</f>
        <v>4.11416983932213E-4</v>
      </c>
      <c r="G2024" s="1">
        <f t="shared" ref="G2024" si="2052">G2023-G2025-G2026</f>
        <v>4.1370970511649352E-4</v>
      </c>
      <c r="H2024" s="1">
        <f t="shared" ref="H2024" si="2053">H2023-H2025-H2026</f>
        <v>4.1473787433655361E-4</v>
      </c>
      <c r="I2024" s="1">
        <f t="shared" ref="I2024" si="2054">I2023-I2025-I2026</f>
        <v>4.3394158152939731E-4</v>
      </c>
      <c r="J2024" s="1">
        <f t="shared" ref="J2024" si="2055">J2023-J2025-J2026</f>
        <v>0.20567466872344844</v>
      </c>
      <c r="K2024" s="1">
        <f t="shared" ref="K2024:L2024" si="2056">K2023-K2025-K2026</f>
        <v>0.49697339266221074</v>
      </c>
      <c r="L2024" s="1">
        <f t="shared" si="2056"/>
        <v>0.96506283338676291</v>
      </c>
      <c r="N2024" s="1"/>
    </row>
    <row r="2025" spans="2:14" x14ac:dyDescent="0.35">
      <c r="B2025" s="5" t="str">
        <f t="shared" si="2049"/>
        <v>SPS1</v>
      </c>
      <c r="C2025" s="5" t="str">
        <f t="shared" si="2050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SUMPRODUCT(ISNUMBER(SEARCH("SUP_ELCH2*D",[1]OUT_SyntheticFuels!$C$4:$C$1000))*1,("Var_cap"=[1]OUT_SyntheticFuels!$B$4:$B$1000)*1,[1]OUT_SyntheticFuels!I$4:I$1000)</f>
        <v>0</v>
      </c>
      <c r="K2025" s="1" cm="1">
        <f t="array" ref="K2025">SUMPRODUCT(ISNUMBER(SEARCH("SUP_ELCH2*D",[1]OUT_SyntheticFuels!$C$4:$C$1000))*1,("Var_cap"=[1]OUT_SyntheticFuels!$B$4:$B$1000)*1,[1]OUT_SyntheticFuels!J$4:J$1000)</f>
        <v>0</v>
      </c>
      <c r="L2025" s="1" cm="1">
        <f t="array" ref="L2025">SUMPRODUCT(ISNUMBER(SEARCH("SUP_ELCH2*D",[1]OUT_SyntheticFuels!$C$4:$C$1000))*1,("Var_cap"=[1]OUT_SyntheticFuels!$B$4:$B$1000)*1,[1]OUT_SyntheticFuels!K$4:K$1000)</f>
        <v>0</v>
      </c>
      <c r="N2025" s="1"/>
    </row>
    <row r="2026" spans="2:14" x14ac:dyDescent="0.35">
      <c r="B2026" s="5" t="str">
        <f t="shared" si="2049"/>
        <v>SPS1</v>
      </c>
      <c r="C2026" s="5" t="str">
        <f t="shared" si="2050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0</v>
      </c>
      <c r="L2026" s="1" cm="1">
        <f t="array" ref="L2026">SUMPRODUCT(ISNUMBER(SEARCH("SUP_ELCH2*SOEC*",[1]OUT_SyntheticFuels!$C$4:$C$1000))*1,("Var_cap"=[1]OUT_SyntheticFuels!$B$4:$B$1000)*1,[1]OUT_SyntheticFuels!K$4:K$1000)</f>
        <v>0</v>
      </c>
      <c r="N2026" s="1"/>
    </row>
    <row r="2027" spans="2:14" x14ac:dyDescent="0.35">
      <c r="B2027" s="5" t="str">
        <f t="shared" si="2049"/>
        <v>SPS1</v>
      </c>
      <c r="C2027" s="5" t="str">
        <f t="shared" si="2050"/>
        <v>CH</v>
      </c>
      <c r="D2027" t="s">
        <v>2148</v>
      </c>
      <c r="E2027" t="s">
        <v>2154</v>
      </c>
      <c r="F2027" s="1">
        <f t="shared" ref="F2027" si="2057">SUM(F2028:F2029)</f>
        <v>0</v>
      </c>
      <c r="G2027" s="1">
        <f t="shared" ref="G2027" si="2058">SUM(G2028:G2029)</f>
        <v>0</v>
      </c>
      <c r="H2027" s="1">
        <f t="shared" ref="H2027" si="2059">SUM(H2028:H2029)</f>
        <v>0</v>
      </c>
      <c r="I2027" s="1">
        <f t="shared" ref="I2027" si="2060">SUM(I2028:I2029)</f>
        <v>6.7159810430076696E-7</v>
      </c>
      <c r="J2027" s="1">
        <f t="shared" ref="J2027" si="2061">SUM(J2028:J2029)</f>
        <v>1.311016282335803E-6</v>
      </c>
      <c r="K2027" s="1">
        <f t="shared" ref="K2027:L2027" si="2062">SUM(K2028:K2029)</f>
        <v>1.3428000543074671E-6</v>
      </c>
      <c r="L2027" s="1">
        <f t="shared" si="2062"/>
        <v>9.9955786194178995E-7</v>
      </c>
      <c r="N2027" s="1"/>
    </row>
    <row r="2028" spans="2:14" x14ac:dyDescent="0.35">
      <c r="B2028" s="5" t="str">
        <f t="shared" si="2049"/>
        <v>SPS1</v>
      </c>
      <c r="C2028" s="5" t="str">
        <f t="shared" si="2050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SUMPRODUCT(ISNUMBER(SEARCH("SUP_NGAH2",[1]OUT_SyntheticFuels!$C$4:$C$1000))*1,("Var_cap"=[1]OUT_SyntheticFuels!$B$4:$B$1000)*1,[1]OUT_SyntheticFuels!I$4:I$1000)-J2029</f>
        <v>1.311016282335803E-6</v>
      </c>
      <c r="K2028" s="1" cm="1">
        <f t="array" ref="K2028">SUMPRODUCT(ISNUMBER(SEARCH("SUP_NGAH2",[1]OUT_SyntheticFuels!$C$4:$C$1000))*1,("Var_cap"=[1]OUT_SyntheticFuels!$B$4:$B$1000)*1,[1]OUT_SyntheticFuels!J$4:J$1000)-K2029</f>
        <v>1.3428000543074671E-6</v>
      </c>
      <c r="L2028" s="1" cm="1">
        <f t="array" ref="L2028">SUMPRODUCT(ISNUMBER(SEARCH("SUP_NGAH2",[1]OUT_SyntheticFuels!$C$4:$C$1000))*1,("Var_cap"=[1]OUT_SyntheticFuels!$B$4:$B$1000)*1,[1]OUT_SyntheticFuels!K$4:K$1000)-L2029</f>
        <v>9.9955786194178995E-7</v>
      </c>
      <c r="N2028" s="1"/>
    </row>
    <row r="2029" spans="2:14" x14ac:dyDescent="0.35">
      <c r="B2029" s="5" t="str">
        <f t="shared" si="2049"/>
        <v>SPS1</v>
      </c>
      <c r="C2029" s="5" t="str">
        <f t="shared" si="2050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N2029" s="1"/>
    </row>
    <row r="2030" spans="2:14" x14ac:dyDescent="0.35">
      <c r="B2030" s="5" t="str">
        <f t="shared" si="2049"/>
        <v>SPS1</v>
      </c>
      <c r="C2030" s="5" t="str">
        <f t="shared" si="2050"/>
        <v>CH</v>
      </c>
      <c r="D2030" t="s">
        <v>2151</v>
      </c>
      <c r="E2030" t="s">
        <v>2154</v>
      </c>
      <c r="F2030" s="1">
        <f t="shared" ref="F2030" si="2063">SUM(F2031:F2032)</f>
        <v>0</v>
      </c>
      <c r="G2030" s="1">
        <f t="shared" ref="G2030" si="2064">SUM(G2031:G2032)</f>
        <v>0</v>
      </c>
      <c r="H2030" s="1">
        <f t="shared" ref="H2030" si="2065">SUM(H2031:H2032)</f>
        <v>0</v>
      </c>
      <c r="I2030" s="1">
        <f t="shared" ref="I2030" si="2066">SUM(I2031:I2032)</f>
        <v>0</v>
      </c>
      <c r="J2030" s="1">
        <f t="shared" ref="J2030" si="2067">SUM(J2031:J2032)</f>
        <v>0</v>
      </c>
      <c r="K2030" s="1">
        <f t="shared" ref="K2030:L2030" si="2068">SUM(K2031:K2032)</f>
        <v>0</v>
      </c>
      <c r="L2030" s="1">
        <f t="shared" si="2068"/>
        <v>0</v>
      </c>
      <c r="N2030" s="1"/>
    </row>
    <row r="2031" spans="2:14" x14ac:dyDescent="0.35">
      <c r="B2031" s="5" t="str">
        <f t="shared" si="2049"/>
        <v>SPS1</v>
      </c>
      <c r="C2031" s="5" t="str">
        <f t="shared" si="2050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N2031" s="1"/>
    </row>
    <row r="2032" spans="2:14" x14ac:dyDescent="0.35">
      <c r="B2032" s="5" t="str">
        <f t="shared" si="2049"/>
        <v>SPS1</v>
      </c>
      <c r="C2032" s="5" t="str">
        <f t="shared" si="2050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69">B2033</f>
        <v>SPS1</v>
      </c>
      <c r="C2034" s="5" t="str">
        <f t="shared" ref="C2034:C2049" si="207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SUMPRODUCT(("CT_CWODBDS"=[1]OUT_SyntheticFuels!$C$4:$C$1000)*1,("Var_cap"=[1]OUT_SyntheticFuels!$B$4:$B$1000)*1,[1]OUT_SyntheticFuels!I$4:I$1000)</f>
        <v>-9.7133553610129209E-8</v>
      </c>
      <c r="K2034" s="7" cm="1">
        <f t="array" ref="K2034">SUMPRODUCT(("CT_CWODBDS"=[1]OUT_SyntheticFuels!$C$4:$C$1000)*1,("Var_cap"=[1]OUT_SyntheticFuels!$B$4:$B$1000)*1,[1]OUT_SyntheticFuels!J$4:J$1000)</f>
        <v>0</v>
      </c>
      <c r="L2034" s="7" cm="1">
        <f t="array" ref="L2034">SUMPRODUCT(("CT_CWODBDS"=[1]OUT_SyntheticFuels!$C$4:$C$1000)*1,("Var_cap"=[1]OUT_SyntheticFuels!$B$4:$B$1000)*1,[1]OUT_SyntheticFuels!K$4:K$1000)</f>
        <v>0</v>
      </c>
      <c r="N2034" s="1"/>
    </row>
    <row r="2035" spans="2:14" x14ac:dyDescent="0.35">
      <c r="B2035" s="5" t="str">
        <f t="shared" si="2069"/>
        <v>SPS1</v>
      </c>
      <c r="C2035" s="5" t="str">
        <f t="shared" si="207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N2035" s="1"/>
    </row>
    <row r="2036" spans="2:14" x14ac:dyDescent="0.35">
      <c r="B2036" s="5" t="str">
        <f t="shared" si="2069"/>
        <v>SPS1</v>
      </c>
      <c r="C2036" s="5" t="str">
        <f t="shared" si="207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SUMPRODUCT(("CT_CWODETH"=[1]OUT_SyntheticFuels!$C$4:$C$1000)*1,("Var_cap"=[1]OUT_SyntheticFuels!$B$4:$B$1000)*1,[1]OUT_SyntheticFuels!I$4:I$1000)</f>
        <v>0</v>
      </c>
      <c r="K2036" s="7" cm="1">
        <f t="array" ref="K2036">SUMPRODUCT(("CT_CWODETH"=[1]OUT_SyntheticFuels!$C$4:$C$1000)*1,("Var_cap"=[1]OUT_SyntheticFuels!$B$4:$B$1000)*1,[1]OUT_SyntheticFuels!J$4:J$1000)</f>
        <v>0</v>
      </c>
      <c r="L2036" s="7" cm="1">
        <f t="array" ref="L2036">SUMPRODUCT(("CT_CWODETH"=[1]OUT_SyntheticFuels!$C$4:$C$1000)*1,("Var_cap"=[1]OUT_SyntheticFuels!$B$4:$B$1000)*1,[1]OUT_SyntheticFuels!K$4:K$1000)</f>
        <v>0</v>
      </c>
      <c r="N2036" s="1"/>
    </row>
    <row r="2037" spans="2:14" x14ac:dyDescent="0.35">
      <c r="B2037" s="5" t="str">
        <f t="shared" si="2069"/>
        <v>SPS1</v>
      </c>
      <c r="C2037" s="5" t="str">
        <f t="shared" si="207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N2037" s="1"/>
    </row>
    <row r="2038" spans="2:14" x14ac:dyDescent="0.35">
      <c r="B2038" s="5" t="str">
        <f t="shared" si="2069"/>
        <v>SPS1</v>
      </c>
      <c r="C2038" s="5" t="str">
        <f t="shared" si="207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SUMPRODUCT(("SUP_MNRBIO"=[1]OUT_SyntheticFuels!$C$4:$C$1000)*1,("Var_cap"=[1]OUT_SyntheticFuels!$B$4:$B$1000)*1,[1]OUT_SyntheticFuels!I$4:I$1000)</f>
        <v>0.16241445352492909</v>
      </c>
      <c r="K2038" s="7" cm="1">
        <f t="array" ref="K2038">SUMPRODUCT(("SUP_MNRBIO"=[1]OUT_SyntheticFuels!$C$4:$C$1000)*1,("Var_cap"=[1]OUT_SyntheticFuels!$B$4:$B$1000)*1,[1]OUT_SyntheticFuels!J$4:J$1000)</f>
        <v>0.21967239663055677</v>
      </c>
      <c r="L2038" s="7" cm="1">
        <f t="array" ref="L2038">SUMPRODUCT(("SUP_MNRBIO"=[1]OUT_SyntheticFuels!$C$4:$C$1000)*1,("Var_cap"=[1]OUT_SyntheticFuels!$B$4:$B$1000)*1,[1]OUT_SyntheticFuels!K$4:K$1000)</f>
        <v>0.28724113288031045</v>
      </c>
      <c r="N2038" s="1"/>
    </row>
    <row r="2039" spans="2:14" x14ac:dyDescent="0.35">
      <c r="B2039" s="5" t="str">
        <f t="shared" si="2069"/>
        <v>SPS1</v>
      </c>
      <c r="C2039" s="5" t="str">
        <f t="shared" si="207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SUMPRODUCT(("SUP_WSTBIO"=[1]OUT_SyntheticFuels!$C$4:$C$1000)*1,("Var_cap"=[1]OUT_SyntheticFuels!$B$4:$B$1000)*1,[1]OUT_SyntheticFuels!I$4:I$1000)</f>
        <v>0.28518350993481684</v>
      </c>
      <c r="K2039" s="7" cm="1">
        <f t="array" ref="K2039">SUMPRODUCT(("SUP_WSTBIO"=[1]OUT_SyntheticFuels!$C$4:$C$1000)*1,("Var_cap"=[1]OUT_SyntheticFuels!$B$4:$B$1000)*1,[1]OUT_SyntheticFuels!J$4:J$1000)</f>
        <v>0.31762817294660345</v>
      </c>
      <c r="L2039" s="7" cm="1">
        <f t="array" ref="L2039">SUMPRODUCT(("SUP_WSTBIO"=[1]OUT_SyntheticFuels!$C$4:$C$1000)*1,("Var_cap"=[1]OUT_SyntheticFuels!$B$4:$B$1000)*1,[1]OUT_SyntheticFuels!K$4:K$1000)</f>
        <v>0.37190571026466152</v>
      </c>
      <c r="N2039" s="1"/>
    </row>
    <row r="2040" spans="2:14" x14ac:dyDescent="0.35">
      <c r="B2040" s="5" t="str">
        <f t="shared" si="2069"/>
        <v>SPS1</v>
      </c>
      <c r="C2040" s="5" t="str">
        <f t="shared" si="207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N2040" s="1"/>
    </row>
    <row r="2041" spans="2:14" x14ac:dyDescent="0.35">
      <c r="B2041" s="5" t="str">
        <f t="shared" si="2069"/>
        <v>SPS1</v>
      </c>
      <c r="C2041" s="5" t="str">
        <f t="shared" si="207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3.6919124361774499E-3</v>
      </c>
      <c r="L2041" s="7" cm="1">
        <f t="array" ref="L2041">SUMPRODUCT(("SUP_WSTHTGBIO"=[1]OUT_SyntheticFuels!$C$4:$C$1000)*1,("Var_cap"=[1]OUT_SyntheticFuels!$B$4:$B$1000)*1,[1]OUT_SyntheticFuels!K$4:K$1000)</f>
        <v>4.3759640197939161E-3</v>
      </c>
      <c r="N2041" s="1"/>
    </row>
    <row r="2042" spans="2:14" x14ac:dyDescent="0.35">
      <c r="B2042" s="5" t="str">
        <f t="shared" si="2069"/>
        <v>SPS1</v>
      </c>
      <c r="C2042" s="5" t="str">
        <f t="shared" si="207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N2042" s="1"/>
    </row>
    <row r="2043" spans="2:14" x14ac:dyDescent="0.35">
      <c r="B2043" s="5" t="str">
        <f t="shared" si="2069"/>
        <v>SPS1</v>
      </c>
      <c r="C2043" s="5" t="str">
        <f t="shared" si="207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SUMPRODUCT(("SUP_WODBIO"=[1]OUT_SyntheticFuels!$C$4:$C$1000)*1,("Var_cap"=[1]OUT_SyntheticFuels!$B$4:$B$1000)*1,[1]OUT_SyntheticFuels!I$4:I$1000)</f>
        <v>0</v>
      </c>
      <c r="K2043" s="7" cm="1">
        <f t="array" ref="K2043">SUMPRODUCT(("SUP_WODBIO"=[1]OUT_SyntheticFuels!$C$4:$C$1000)*1,("Var_cap"=[1]OUT_SyntheticFuels!$B$4:$B$1000)*1,[1]OUT_SyntheticFuels!J$4:J$1000)</f>
        <v>0</v>
      </c>
      <c r="L2043" s="7" cm="1">
        <f t="array" ref="L2043">SUMPRODUCT(("SUP_WODBIO"=[1]OUT_SyntheticFuels!$C$4:$C$1000)*1,("Var_cap"=[1]OUT_SyntheticFuels!$B$4:$B$1000)*1,[1]OUT_SyntheticFuels!K$4:K$1000)</f>
        <v>0</v>
      </c>
      <c r="N2043" s="1"/>
    </row>
    <row r="2044" spans="2:14" x14ac:dyDescent="0.35">
      <c r="B2044" s="5" t="str">
        <f t="shared" si="2069"/>
        <v>SPS1</v>
      </c>
      <c r="C2044" s="5" t="str">
        <f t="shared" si="207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N2044" s="1"/>
    </row>
    <row r="2045" spans="2:14" x14ac:dyDescent="0.35">
      <c r="B2045" s="5" t="str">
        <f t="shared" si="2069"/>
        <v>SPS1</v>
      </c>
      <c r="C2045" s="5" t="str">
        <f t="shared" si="207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SUMPRODUCT(("SUP_BIONGA"=[1]OUT_SyntheticFuels!$C$4:$C$1000)*1,("Var_cap"=[1]OUT_SyntheticFuels!$B$4:$B$1000)*1,[1]OUT_SyntheticFuels!I$4:I$1000)</f>
        <v>0.14376590308186724</v>
      </c>
      <c r="K2045" s="7" cm="1">
        <f t="array" ref="K2045">SUMPRODUCT(("SUP_BIONGA"=[1]OUT_SyntheticFuels!$C$4:$C$1000)*1,("Var_cap"=[1]OUT_SyntheticFuels!$B$4:$B$1000)*1,[1]OUT_SyntheticFuels!J$4:J$1000)</f>
        <v>0.10107071081854035</v>
      </c>
      <c r="L2045" s="7" cm="1">
        <f t="array" ref="L2045">SUMPRODUCT(("SUP_BIONGA"=[1]OUT_SyntheticFuels!$C$4:$C$1000)*1,("Var_cap"=[1]OUT_SyntheticFuels!$B$4:$B$1000)*1,[1]OUT_SyntheticFuels!K$4:K$1000)</f>
        <v>0.20121163385152482</v>
      </c>
      <c r="N2045" s="1"/>
    </row>
    <row r="2046" spans="2:14" x14ac:dyDescent="0.35">
      <c r="B2046" s="5" t="str">
        <f t="shared" si="2069"/>
        <v>SPS1</v>
      </c>
      <c r="C2046" s="5" t="str">
        <f t="shared" si="207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SUMPRODUCT(("CT_CWODPLT"=[1]OUT_SyntheticFuels!$C$4:$C$1000)*1,("Var_cap"=[1]OUT_SyntheticFuels!$B$4:$B$1000)*1,[1]OUT_SyntheticFuels!I$4:I$1000)</f>
        <v>5.4942413338871593E-2</v>
      </c>
      <c r="K2046" s="7" cm="1">
        <f t="array" ref="K2046">SUMPRODUCT(("CT_CWODPLT"=[1]OUT_SyntheticFuels!$C$4:$C$1000)*1,("Var_cap"=[1]OUT_SyntheticFuels!$B$4:$B$1000)*1,[1]OUT_SyntheticFuels!J$4:J$1000)</f>
        <v>4.3763197393461899E-2</v>
      </c>
      <c r="L2046" s="7" cm="1">
        <f t="array" ref="L2046">SUMPRODUCT(("CT_CWODPLT"=[1]OUT_SyntheticFuels!$C$4:$C$1000)*1,("Var_cap"=[1]OUT_SyntheticFuels!$B$4:$B$1000)*1,[1]OUT_SyntheticFuels!K$4:K$1000)</f>
        <v>3.3774955095198893E-2</v>
      </c>
      <c r="N2046" s="1"/>
    </row>
    <row r="2047" spans="2:14" x14ac:dyDescent="0.35">
      <c r="B2047" s="5" t="str">
        <f t="shared" si="2069"/>
        <v>SPS1</v>
      </c>
      <c r="C2047" s="5" t="str">
        <f t="shared" si="207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SUMPRODUCT(("SUP_H2NGA"=[1]OUT_SyntheticFuels!$C$4:$C$1000)*1,("Var_cap"=[1]OUT_SyntheticFuels!$B$4:$B$1000)*1,[1]OUT_SyntheticFuels!I$4:I$1000)</f>
        <v>2.8173970722683391E-6</v>
      </c>
      <c r="K2047" s="7" cm="1">
        <f t="array" ref="K2047">SUMPRODUCT(("SUP_H2NGA"=[1]OUT_SyntheticFuels!$C$4:$C$1000)*1,("Var_cap"=[1]OUT_SyntheticFuels!$B$4:$B$1000)*1,[1]OUT_SyntheticFuels!J$4:J$1000)</f>
        <v>3.1518657884086098E-6</v>
      </c>
      <c r="L2047" s="7" cm="1">
        <f t="array" ref="L2047">SUMPRODUCT(("SUP_H2NGA"=[1]OUT_SyntheticFuels!$C$4:$C$1000)*1,("Var_cap"=[1]OUT_SyntheticFuels!$B$4:$B$1000)*1,[1]OUT_SyntheticFuels!K$4:K$1000)</f>
        <v>2.3899205350513296E-6</v>
      </c>
      <c r="N2047" s="1"/>
    </row>
    <row r="2048" spans="2:14" x14ac:dyDescent="0.35">
      <c r="B2048" s="5" t="str">
        <f t="shared" si="2069"/>
        <v>SPS1</v>
      </c>
      <c r="C2048" s="5" t="str">
        <f t="shared" si="207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SUMPRODUCT(("SUP_H2DSL"=[1]OUT_SyntheticFuels!$C$4:$C$1000)*1,("Var_cap"=[1]OUT_SyntheticFuels!$B$4:$B$1000)*1,[1]OUT_SyntheticFuels!I$4:I$1000)</f>
        <v>3.4970853961807716E-6</v>
      </c>
      <c r="K2048" s="7" cm="1">
        <f t="array" ref="K2048">SUMPRODUCT(("SUP_H2DSL"=[1]OUT_SyntheticFuels!$C$4:$C$1000)*1,("Var_cap"=[1]OUT_SyntheticFuels!$B$4:$B$1000)*1,[1]OUT_SyntheticFuels!J$4:J$1000)</f>
        <v>3.5643059069816396E-6</v>
      </c>
      <c r="L2048" s="7" cm="1">
        <f t="array" ref="L2048">SUMPRODUCT(("SUP_H2DSL"=[1]OUT_SyntheticFuels!$C$4:$C$1000)*1,("Var_cap"=[1]OUT_SyntheticFuels!$B$4:$B$1000)*1,[1]OUT_SyntheticFuels!K$4:K$1000)</f>
        <v>2.5625075183836204E-6</v>
      </c>
      <c r="N2048" s="1"/>
    </row>
    <row r="2049" spans="2:14" x14ac:dyDescent="0.35">
      <c r="B2049" s="5" t="str">
        <f t="shared" si="2069"/>
        <v>SPS1</v>
      </c>
      <c r="C2049" s="5" t="str">
        <f t="shared" si="207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SUMPRODUCT(("SUP_H2GSL"=[1]OUT_SyntheticFuels!$C$4:$C$1000)*1,("Var_cap"=[1]OUT_SyntheticFuels!$B$4:$B$1000)*1,[1]OUT_SyntheticFuels!I$4:I$1000)</f>
        <v>3.4546414044883829E-6</v>
      </c>
      <c r="K2049" s="7" cm="1">
        <f t="array" ref="K2049">SUMPRODUCT(("SUP_H2GSL"=[1]OUT_SyntheticFuels!$C$4:$C$1000)*1,("Var_cap"=[1]OUT_SyntheticFuels!$B$4:$B$1000)*1,[1]OUT_SyntheticFuels!J$4:J$1000)</f>
        <v>3.6563956262991096E-6</v>
      </c>
      <c r="L2049" s="7" cm="1">
        <f t="array" ref="L2049">SUMPRODUCT(("SUP_H2GSL"=[1]OUT_SyntheticFuels!$C$4:$C$1000)*1,("Var_cap"=[1]OUT_SyntheticFuels!$B$4:$B$1000)*1,[1]OUT_SyntheticFuels!K$4:K$1000)</f>
        <v>2.55564964341078E-6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1">SUM(F2051,F2053,F2057,F2061,F2077,F2084,F2092,F2094,F2102,F2106,F2100)</f>
        <v>8.1828297110053388E-3</v>
      </c>
      <c r="G2050" s="3">
        <f t="shared" si="2071"/>
        <v>9.3931905837359428E-2</v>
      </c>
      <c r="H2050" s="3">
        <f t="shared" si="2071"/>
        <v>5.1589829781185843</v>
      </c>
      <c r="I2050" s="3">
        <f t="shared" si="2071"/>
        <v>0.59524709073887427</v>
      </c>
      <c r="J2050" s="3">
        <f t="shared" si="2071"/>
        <v>8.0788287113425916</v>
      </c>
      <c r="K2050" s="3">
        <f t="shared" si="2071"/>
        <v>6.936315768519858</v>
      </c>
      <c r="L2050" s="3">
        <f t="shared" ref="L2050" si="2072">SUM(L2051,L2053,L2057,L2061,L2077,L2084,L2092,L2094,L2102,L2106,L2100)</f>
        <v>18.584166564599055</v>
      </c>
      <c r="N2050" s="1"/>
    </row>
    <row r="2051" spans="2:14" x14ac:dyDescent="0.35">
      <c r="B2051" s="5" t="str">
        <f>B2050</f>
        <v>SPS1</v>
      </c>
      <c r="C2051" s="5" t="str">
        <f t="shared" ref="C2051:C2113" si="2073">C2050</f>
        <v>CH</v>
      </c>
      <c r="D2051" t="s">
        <v>2180</v>
      </c>
      <c r="E2051" t="str">
        <f t="shared" ref="E2051:E2082" si="2074">E2050</f>
        <v>GWe/yr.</v>
      </c>
      <c r="F2051" s="1">
        <f t="shared" ref="F2051:L2051" si="2075">+F2052</f>
        <v>0</v>
      </c>
      <c r="G2051" s="1">
        <f t="shared" si="2075"/>
        <v>0</v>
      </c>
      <c r="H2051" s="1">
        <f t="shared" si="2075"/>
        <v>0</v>
      </c>
      <c r="I2051" s="1">
        <f t="shared" si="2075"/>
        <v>0</v>
      </c>
      <c r="J2051" s="1">
        <f t="shared" si="2075"/>
        <v>0</v>
      </c>
      <c r="K2051" s="1">
        <f t="shared" si="2075"/>
        <v>0</v>
      </c>
      <c r="L2051" s="1">
        <f t="shared" si="2075"/>
        <v>0</v>
      </c>
      <c r="N2051" s="1"/>
    </row>
    <row r="2052" spans="2:14" x14ac:dyDescent="0.35">
      <c r="B2052" s="5" t="str">
        <f t="shared" ref="B2052:B2113" si="2076">B2051</f>
        <v>SPS1</v>
      </c>
      <c r="C2052" s="5" t="str">
        <f t="shared" si="2073"/>
        <v>CH</v>
      </c>
      <c r="D2052" t="s">
        <v>2181</v>
      </c>
      <c r="E2052" t="str">
        <f t="shared" si="2074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N2052" s="1"/>
    </row>
    <row r="2053" spans="2:14" x14ac:dyDescent="0.35">
      <c r="B2053" s="5" t="str">
        <f t="shared" si="2076"/>
        <v>SPS1</v>
      </c>
      <c r="C2053" s="5" t="str">
        <f t="shared" si="2073"/>
        <v>CH</v>
      </c>
      <c r="D2053" t="s">
        <v>2182</v>
      </c>
      <c r="E2053" t="str">
        <f t="shared" si="2074"/>
        <v>GWe/yr.</v>
      </c>
      <c r="F2053" s="1">
        <f t="shared" ref="F2053:K2053" si="2077">SUM(F2054:F2056)</f>
        <v>0</v>
      </c>
      <c r="G2053" s="1">
        <f t="shared" si="2077"/>
        <v>1.6514735638475012E-2</v>
      </c>
      <c r="H2053" s="1">
        <f t="shared" si="2077"/>
        <v>5.6094980234101446E-3</v>
      </c>
      <c r="I2053" s="1">
        <f t="shared" si="2077"/>
        <v>4.7546836659653549E-2</v>
      </c>
      <c r="J2053" s="1">
        <f t="shared" si="2077"/>
        <v>0.15053323074773178</v>
      </c>
      <c r="K2053" s="1">
        <f t="shared" si="2077"/>
        <v>0.21392770988991991</v>
      </c>
      <c r="L2053" s="1">
        <f t="shared" ref="L2053" si="2078">SUM(L2054:L2056)</f>
        <v>0.87952357966103212</v>
      </c>
      <c r="N2053" s="1"/>
    </row>
    <row r="2054" spans="2:14" x14ac:dyDescent="0.35">
      <c r="B2054" s="5" t="str">
        <f t="shared" si="2076"/>
        <v>SPS1</v>
      </c>
      <c r="C2054" s="5" t="str">
        <f t="shared" si="2073"/>
        <v>CH</v>
      </c>
      <c r="D2054" t="s">
        <v>2183</v>
      </c>
      <c r="E2054" t="str">
        <f t="shared" si="2074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'[1]Electricity and CHPs_NCAP'!F$15</f>
        <v>0.1505315514829032</v>
      </c>
      <c r="K2054" s="1">
        <f>'[1]Electricity and CHPs_NCAP'!G$15</f>
        <v>0.15048805694880515</v>
      </c>
      <c r="L2054" s="1">
        <f>'[1]Electricity and CHPs_NCAP'!H$15</f>
        <v>0.51096325468586679</v>
      </c>
      <c r="N2054" s="1"/>
    </row>
    <row r="2055" spans="2:14" x14ac:dyDescent="0.35">
      <c r="B2055" s="5" t="str">
        <f t="shared" si="2076"/>
        <v>SPS1</v>
      </c>
      <c r="C2055" s="5" t="str">
        <f t="shared" si="2073"/>
        <v>CH</v>
      </c>
      <c r="D2055" t="s">
        <v>2184</v>
      </c>
      <c r="E2055" t="str">
        <f t="shared" si="2074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'[1]Electricity and CHPs_NCAP'!F$16</f>
        <v>1.581147400815636E-6</v>
      </c>
      <c r="K2055" s="1">
        <f>'[1]Electricity and CHPs_NCAP'!G$16</f>
        <v>6.3439502581980264E-2</v>
      </c>
      <c r="L2055" s="1">
        <f>'[1]Electricity and CHPs_NCAP'!H$16</f>
        <v>0.36855984396862729</v>
      </c>
      <c r="N2055" s="1"/>
    </row>
    <row r="2056" spans="2:14" x14ac:dyDescent="0.35">
      <c r="B2056" s="5" t="str">
        <f t="shared" si="2076"/>
        <v>SPS1</v>
      </c>
      <c r="C2056" s="5" t="str">
        <f t="shared" si="2073"/>
        <v>CH</v>
      </c>
      <c r="D2056" t="s">
        <v>2185</v>
      </c>
      <c r="E2056" t="str">
        <f t="shared" si="2074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'[1]Electricity and CHPs_NCAP'!F$17</f>
        <v>9.8117427773749806E-8</v>
      </c>
      <c r="K2056" s="1">
        <f>'[1]Electricity and CHPs_NCAP'!G$17</f>
        <v>1.5035913449073901E-7</v>
      </c>
      <c r="L2056" s="1">
        <f>'[1]Electricity and CHPs_NCAP'!H$17</f>
        <v>4.8100653807570604E-7</v>
      </c>
      <c r="N2056" s="1"/>
    </row>
    <row r="2057" spans="2:14" x14ac:dyDescent="0.35">
      <c r="B2057" s="5" t="str">
        <f t="shared" si="2076"/>
        <v>SPS1</v>
      </c>
      <c r="C2057" s="5" t="str">
        <f t="shared" si="2073"/>
        <v>CH</v>
      </c>
      <c r="D2057" t="s">
        <v>2186</v>
      </c>
      <c r="E2057" t="str">
        <f t="shared" si="2074"/>
        <v>GWe/yr.</v>
      </c>
      <c r="F2057" s="1">
        <f t="shared" ref="F2057:K2057" si="2079">SUM(F2058:F2060)</f>
        <v>0</v>
      </c>
      <c r="G2057" s="1">
        <f t="shared" si="2079"/>
        <v>1.1949601618586112E-2</v>
      </c>
      <c r="H2057" s="1">
        <f t="shared" si="2079"/>
        <v>2.5799770126144661E-3</v>
      </c>
      <c r="I2057" s="1">
        <f t="shared" si="2079"/>
        <v>1.1610697468061483E-2</v>
      </c>
      <c r="J2057" s="1">
        <f t="shared" si="2079"/>
        <v>1.1682130456767739E-2</v>
      </c>
      <c r="K2057" s="1">
        <f t="shared" si="2079"/>
        <v>5.6497962268383476E-5</v>
      </c>
      <c r="L2057" s="1">
        <f t="shared" ref="L2057" si="2080">SUM(L2058:L2060)</f>
        <v>1.2685990813780836E-2</v>
      </c>
      <c r="N2057" s="1"/>
    </row>
    <row r="2058" spans="2:14" x14ac:dyDescent="0.35">
      <c r="B2058" s="5" t="str">
        <f t="shared" si="2076"/>
        <v>SPS1</v>
      </c>
      <c r="C2058" s="5" t="str">
        <f t="shared" si="2073"/>
        <v>CH</v>
      </c>
      <c r="D2058" t="s">
        <v>2187</v>
      </c>
      <c r="E2058" t="str">
        <f t="shared" si="2074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'[1]Electricity and CHPs_NCAP'!F$18</f>
        <v>1.9141259160293999E-3</v>
      </c>
      <c r="K2058" s="1">
        <f>'[1]Electricity and CHPs_NCAP'!G$18</f>
        <v>6.55230092560908E-6</v>
      </c>
      <c r="L2058" s="1">
        <f>'[1]Electricity and CHPs_NCAP'!H$18</f>
        <v>7.3041948363149597E-6</v>
      </c>
      <c r="N2058" s="1"/>
    </row>
    <row r="2059" spans="2:14" x14ac:dyDescent="0.35">
      <c r="B2059" s="5" t="str">
        <f t="shared" si="2076"/>
        <v>SPS1</v>
      </c>
      <c r="C2059" s="5" t="str">
        <f t="shared" si="2073"/>
        <v>CH</v>
      </c>
      <c r="D2059" t="s">
        <v>2188</v>
      </c>
      <c r="E2059" t="str">
        <f t="shared" si="2074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'[1]Electricity and CHPs_NCAP'!F$28</f>
        <v>1.8220975803968398E-5</v>
      </c>
      <c r="K2059" s="1">
        <f>'[1]Electricity and CHPs_NCAP'!G$28</f>
        <v>4.9111578920522297E-5</v>
      </c>
      <c r="L2059" s="1">
        <f>'[1]Electricity and CHPs_NCAP'!H$28</f>
        <v>5.6649584799419901E-5</v>
      </c>
      <c r="N2059" s="1"/>
    </row>
    <row r="2060" spans="2:14" x14ac:dyDescent="0.35">
      <c r="B2060" s="5" t="str">
        <f t="shared" si="2076"/>
        <v>SPS1</v>
      </c>
      <c r="C2060" s="5" t="str">
        <f t="shared" si="2073"/>
        <v>CH</v>
      </c>
      <c r="D2060" t="s">
        <v>2189</v>
      </c>
      <c r="E2060" t="str">
        <f t="shared" si="2074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'[1]Electricity and CHPs_NCAP'!F$41</f>
        <v>9.7497835649343698E-3</v>
      </c>
      <c r="K2060" s="1">
        <f>'[1]Electricity and CHPs_NCAP'!G$41</f>
        <v>8.3408242225210005E-7</v>
      </c>
      <c r="L2060" s="1">
        <f>'[1]Electricity and CHPs_NCAP'!H$41</f>
        <v>1.2622037034145101E-2</v>
      </c>
      <c r="N2060" s="1"/>
    </row>
    <row r="2061" spans="2:14" x14ac:dyDescent="0.35">
      <c r="B2061" s="5" t="str">
        <f t="shared" si="2076"/>
        <v>SPS1</v>
      </c>
      <c r="C2061" s="5" t="str">
        <f t="shared" si="2073"/>
        <v>CH</v>
      </c>
      <c r="D2061" t="s">
        <v>2190</v>
      </c>
      <c r="E2061" t="str">
        <f t="shared" si="2074"/>
        <v>GWe/yr.</v>
      </c>
      <c r="F2061" s="1">
        <f t="shared" ref="F2061:K2061" si="2081">SUM(F2062:F2076)</f>
        <v>0</v>
      </c>
      <c r="G2061" s="1">
        <f t="shared" si="2081"/>
        <v>5.3664997445540971E-2</v>
      </c>
      <c r="H2061" s="1">
        <f t="shared" si="2081"/>
        <v>4.949008152430262E-2</v>
      </c>
      <c r="I2061" s="1">
        <f t="shared" si="2081"/>
        <v>0.16186518698682087</v>
      </c>
      <c r="J2061" s="1">
        <f t="shared" si="2081"/>
        <v>7.9296645352545519E-2</v>
      </c>
      <c r="K2061" s="1">
        <f t="shared" si="2081"/>
        <v>3.6829108249759358E-2</v>
      </c>
      <c r="L2061" s="1">
        <f t="shared" ref="L2061" si="2082">SUM(L2062:L2076)</f>
        <v>0.33363831492505203</v>
      </c>
      <c r="N2061" s="1"/>
    </row>
    <row r="2062" spans="2:14" x14ac:dyDescent="0.35">
      <c r="B2062" s="5" t="str">
        <f t="shared" si="2076"/>
        <v>SPS1</v>
      </c>
      <c r="C2062" s="5" t="str">
        <f t="shared" si="2073"/>
        <v>CH</v>
      </c>
      <c r="D2062" t="s">
        <v>2191</v>
      </c>
      <c r="E2062" t="str">
        <f t="shared" si="207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3.5433606601624501E-4</v>
      </c>
      <c r="L2062" s="1">
        <f>'[1]Electricity and CHPs_NCAP'!H$21</f>
        <v>1.7209099297341501E-2</v>
      </c>
      <c r="N2062" s="1"/>
    </row>
    <row r="2063" spans="2:14" x14ac:dyDescent="0.35">
      <c r="B2063" s="5" t="str">
        <f t="shared" si="2076"/>
        <v>SPS1</v>
      </c>
      <c r="C2063" s="5" t="str">
        <f t="shared" si="2073"/>
        <v>CH</v>
      </c>
      <c r="D2063" t="s">
        <v>2192</v>
      </c>
      <c r="E2063" t="str">
        <f t="shared" si="207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'[1]Electricity and CHPs_NCAP'!F$22</f>
        <v>8.6868892993393392E-6</v>
      </c>
      <c r="K2063" s="1">
        <f>'[1]Electricity and CHPs_NCAP'!G$22</f>
        <v>9.0659745112174703E-6</v>
      </c>
      <c r="L2063" s="1">
        <f>'[1]Electricity and CHPs_NCAP'!H$22</f>
        <v>2.1413566365594799E-2</v>
      </c>
      <c r="N2063" s="1"/>
    </row>
    <row r="2064" spans="2:14" x14ac:dyDescent="0.35">
      <c r="B2064" s="5" t="str">
        <f t="shared" si="2076"/>
        <v>SPS1</v>
      </c>
      <c r="C2064" s="5" t="str">
        <f t="shared" si="2073"/>
        <v>CH</v>
      </c>
      <c r="D2064" t="s">
        <v>2193</v>
      </c>
      <c r="E2064" t="str">
        <f t="shared" si="207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1.2246909311178201E-6</v>
      </c>
      <c r="L2064" s="1">
        <f>'[1]Electricity and CHPs_NCAP'!H$23</f>
        <v>8.2133373113861499E-2</v>
      </c>
      <c r="N2064" s="1"/>
    </row>
    <row r="2065" spans="2:14" x14ac:dyDescent="0.35">
      <c r="B2065" s="5" t="str">
        <f t="shared" si="2076"/>
        <v>SPS1</v>
      </c>
      <c r="C2065" s="5" t="str">
        <f t="shared" si="2073"/>
        <v>CH</v>
      </c>
      <c r="D2065" t="s">
        <v>2194</v>
      </c>
      <c r="E2065" t="str">
        <f t="shared" si="2074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'[1]Electricity and CHPs_NCAP'!F$24</f>
        <v>6.2537652017453996E-6</v>
      </c>
      <c r="K2065" s="1">
        <f>'[1]Electricity and CHPs_NCAP'!G$24</f>
        <v>1.7707316104331099E-6</v>
      </c>
      <c r="L2065" s="1">
        <f>'[1]Electricity and CHPs_NCAP'!H$24</f>
        <v>4.2539811380975498E-2</v>
      </c>
      <c r="N2065" s="1"/>
    </row>
    <row r="2066" spans="2:14" x14ac:dyDescent="0.35">
      <c r="B2066" s="5" t="str">
        <f t="shared" si="2076"/>
        <v>SPS1</v>
      </c>
      <c r="C2066" s="5" t="str">
        <f t="shared" si="2073"/>
        <v>CH</v>
      </c>
      <c r="D2066" t="s">
        <v>2195</v>
      </c>
      <c r="E2066" t="str">
        <f t="shared" si="207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6.3355152822972205E-5</v>
      </c>
      <c r="L2066" s="1">
        <f>'[1]Electricity and CHPs_NCAP'!H$29</f>
        <v>3.5121808687080897E-2</v>
      </c>
      <c r="N2066" s="1"/>
    </row>
    <row r="2067" spans="2:14" x14ac:dyDescent="0.35">
      <c r="B2067" s="5" t="str">
        <f t="shared" si="2076"/>
        <v>SPS1</v>
      </c>
      <c r="C2067" s="5" t="str">
        <f t="shared" si="2073"/>
        <v>CH</v>
      </c>
      <c r="D2067" t="s">
        <v>2196</v>
      </c>
      <c r="E2067" t="str">
        <f t="shared" si="2074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'[1]Electricity and CHPs_NCAP'!F$39</f>
        <v>8.2466181780155095E-4</v>
      </c>
      <c r="K2067" s="1">
        <f>'[1]Electricity and CHPs_NCAP'!G$39</f>
        <v>1.1338707993303599E-6</v>
      </c>
      <c r="L2067" s="1">
        <f>'[1]Electricity and CHPs_NCAP'!H$39</f>
        <v>5.5620899631541407E-3</v>
      </c>
      <c r="N2067" s="1"/>
    </row>
    <row r="2068" spans="2:14" x14ac:dyDescent="0.35">
      <c r="B2068" s="5" t="str">
        <f t="shared" si="2076"/>
        <v>SPS1</v>
      </c>
      <c r="C2068" s="5" t="str">
        <f t="shared" si="2073"/>
        <v>CH</v>
      </c>
      <c r="D2068" t="s">
        <v>2197</v>
      </c>
      <c r="E2068" t="str">
        <f t="shared" si="207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2.0600410106312102E-3</v>
      </c>
      <c r="N2068" s="1"/>
    </row>
    <row r="2069" spans="2:14" x14ac:dyDescent="0.35">
      <c r="B2069" s="5" t="str">
        <f t="shared" si="2076"/>
        <v>SPS1</v>
      </c>
      <c r="C2069" s="5" t="str">
        <f t="shared" si="2073"/>
        <v>CH</v>
      </c>
      <c r="D2069" t="s">
        <v>2198</v>
      </c>
      <c r="E2069" t="str">
        <f t="shared" si="207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1.8133978741337E-4</v>
      </c>
      <c r="K2069" s="1">
        <f>'[1]Electricity and CHPs_NCAP'!G$47</f>
        <v>2.4824559780840902E-7</v>
      </c>
      <c r="L2069" s="1">
        <f>'[1]Electricity and CHPs_NCAP'!H$47</f>
        <v>8.4082391498364495E-2</v>
      </c>
      <c r="N2069" s="1"/>
    </row>
    <row r="2070" spans="2:14" x14ac:dyDescent="0.35">
      <c r="B2070" s="5" t="str">
        <f t="shared" si="2076"/>
        <v>SPS1</v>
      </c>
      <c r="C2070" s="5" t="str">
        <f t="shared" si="2073"/>
        <v>CH</v>
      </c>
      <c r="D2070" t="s">
        <v>2199</v>
      </c>
      <c r="E2070" t="str">
        <f t="shared" si="2074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'[1]Electricity and CHPs_NCAP'!F$48</f>
        <v>6.9177893930880699E-5</v>
      </c>
      <c r="K2070" s="1">
        <f>'[1]Electricity and CHPs_NCAP'!G$48</f>
        <v>1.1639595683096961E-6</v>
      </c>
      <c r="L2070" s="1">
        <f>'[1]Electricity and CHPs_NCAP'!H$48</f>
        <v>6.34758527048925E-7</v>
      </c>
      <c r="N2070" s="1"/>
    </row>
    <row r="2071" spans="2:14" x14ac:dyDescent="0.35">
      <c r="B2071" s="5" t="str">
        <f t="shared" si="2076"/>
        <v>SPS1</v>
      </c>
      <c r="C2071" s="5" t="str">
        <f t="shared" si="2073"/>
        <v>CH</v>
      </c>
      <c r="D2071" t="s">
        <v>2200</v>
      </c>
      <c r="E2071" t="str">
        <f t="shared" si="207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'[1]Electricity and CHPs_NCAP'!F$49</f>
        <v>5.6067296605598606E-5</v>
      </c>
      <c r="K2071" s="1">
        <f>'[1]Electricity and CHPs_NCAP'!G$49</f>
        <v>3.01353137947847E-7</v>
      </c>
      <c r="L2071" s="1">
        <f>'[1]Electricity and CHPs_NCAP'!H$49</f>
        <v>6.0768328847127501E-8</v>
      </c>
      <c r="N2071" s="1"/>
    </row>
    <row r="2072" spans="2:14" x14ac:dyDescent="0.35">
      <c r="B2072" s="5" t="str">
        <f t="shared" si="2076"/>
        <v>SPS1</v>
      </c>
      <c r="C2072" s="5" t="str">
        <f t="shared" si="2073"/>
        <v>CH</v>
      </c>
      <c r="D2072" t="s">
        <v>2201</v>
      </c>
      <c r="E2072" t="str">
        <f t="shared" si="2074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'[1]Electricity and CHPs_NCAP'!F$51</f>
        <v>3.2929450366506553E-2</v>
      </c>
      <c r="K2072" s="1">
        <f>'[1]Electricity and CHPs_NCAP'!G$51</f>
        <v>5.1497132574479625E-3</v>
      </c>
      <c r="L2072" s="1">
        <f>'[1]Electricity and CHPs_NCAP'!H$51</f>
        <v>3.2830934659843669E-6</v>
      </c>
      <c r="N2072" s="1"/>
    </row>
    <row r="2073" spans="2:14" x14ac:dyDescent="0.35">
      <c r="B2073" s="5" t="str">
        <f t="shared" si="2076"/>
        <v>SPS1</v>
      </c>
      <c r="C2073" s="5" t="str">
        <f t="shared" si="2073"/>
        <v>CH</v>
      </c>
      <c r="D2073" t="s">
        <v>2202</v>
      </c>
      <c r="E2073" t="str">
        <f t="shared" si="207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'[1]Electricity and CHPs_NCAP'!F$52</f>
        <v>9.3708105262154003E-4</v>
      </c>
      <c r="K2073" s="1">
        <f>'[1]Electricity and CHPs_NCAP'!G$52</f>
        <v>4.6602661777174102E-5</v>
      </c>
      <c r="L2073" s="1">
        <f>'[1]Electricity and CHPs_NCAP'!H$52</f>
        <v>2.0401006229011598E-7</v>
      </c>
      <c r="N2073" s="1"/>
    </row>
    <row r="2074" spans="2:14" x14ac:dyDescent="0.35">
      <c r="B2074" s="5" t="str">
        <f t="shared" si="2076"/>
        <v>SPS1</v>
      </c>
      <c r="C2074" s="5" t="str">
        <f t="shared" si="2073"/>
        <v>CH</v>
      </c>
      <c r="D2074" t="s">
        <v>2203</v>
      </c>
      <c r="E2074" t="str">
        <f t="shared" si="2074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'[1]Electricity and CHPs_NCAP'!F$54</f>
        <v>4.4078986702640398E-2</v>
      </c>
      <c r="K2074" s="1">
        <f>'[1]Electricity and CHPs_NCAP'!G$54</f>
        <v>3.11553958477493E-2</v>
      </c>
      <c r="L2074" s="1">
        <f>'[1]Electricity and CHPs_NCAP'!H$54</f>
        <v>4.3488859729673E-2</v>
      </c>
      <c r="N2074" s="1"/>
    </row>
    <row r="2075" spans="2:14" x14ac:dyDescent="0.35">
      <c r="B2075" s="5" t="str">
        <f t="shared" si="2076"/>
        <v>SPS1</v>
      </c>
      <c r="C2075" s="5" t="str">
        <f t="shared" si="2073"/>
        <v>CH</v>
      </c>
      <c r="D2075" t="s">
        <v>2204</v>
      </c>
      <c r="E2075" t="str">
        <f t="shared" si="2074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'[1]Electricity and CHPs_NCAP'!F$55</f>
        <v>2.6459878953252399E-6</v>
      </c>
      <c r="K2075" s="1">
        <f>'[1]Electricity and CHPs_NCAP'!G$55</f>
        <v>4.3913752510034602E-5</v>
      </c>
      <c r="L2075" s="1">
        <f>'[1]Electricity and CHPs_NCAP'!H$55</f>
        <v>2.29059803174829E-5</v>
      </c>
      <c r="N2075" s="1"/>
    </row>
    <row r="2076" spans="2:14" x14ac:dyDescent="0.35">
      <c r="B2076" s="5" t="str">
        <f t="shared" si="2076"/>
        <v>SPS1</v>
      </c>
      <c r="C2076" s="5" t="str">
        <f t="shared" si="2073"/>
        <v>CH</v>
      </c>
      <c r="D2076" t="s">
        <v>2205</v>
      </c>
      <c r="E2076" t="str">
        <f t="shared" si="207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'[1]Electricity and CHPs_NCAP'!F$58</f>
        <v>2.0229379262921401E-4</v>
      </c>
      <c r="K2076" s="1">
        <f>'[1]Electricity and CHPs_NCAP'!G$58</f>
        <v>8.82685279506704E-7</v>
      </c>
      <c r="L2076" s="1">
        <f>'[1]Electricity and CHPs_NCAP'!H$58</f>
        <v>1.8526767329754599E-7</v>
      </c>
      <c r="N2076" s="1"/>
    </row>
    <row r="2077" spans="2:14" x14ac:dyDescent="0.35">
      <c r="B2077" s="5" t="str">
        <f t="shared" si="2076"/>
        <v>SPS1</v>
      </c>
      <c r="C2077" s="5" t="str">
        <f t="shared" si="2073"/>
        <v>CH</v>
      </c>
      <c r="D2077" t="s">
        <v>2206</v>
      </c>
      <c r="E2077" t="str">
        <f t="shared" si="2074"/>
        <v>GWe/yr.</v>
      </c>
      <c r="F2077" s="1">
        <f t="shared" ref="F2077:K2077" si="2083">SUM(F2078:F2083)</f>
        <v>0</v>
      </c>
      <c r="G2077" s="1">
        <f t="shared" si="2083"/>
        <v>1.118286009261264E-6</v>
      </c>
      <c r="H2077" s="1">
        <f t="shared" si="2083"/>
        <v>3.3386329394525238E-2</v>
      </c>
      <c r="I2077" s="1">
        <f t="shared" si="2083"/>
        <v>3.5748167520976704E-2</v>
      </c>
      <c r="J2077" s="1">
        <f t="shared" si="2083"/>
        <v>9.5126069498160201E-2</v>
      </c>
      <c r="K2077" s="1">
        <f t="shared" si="2083"/>
        <v>5.8977133044356839E-2</v>
      </c>
      <c r="L2077" s="1">
        <f t="shared" ref="L2077" si="2084">SUM(L2078:L2083)</f>
        <v>0.42318083449002281</v>
      </c>
      <c r="N2077" s="1"/>
    </row>
    <row r="2078" spans="2:14" x14ac:dyDescent="0.35">
      <c r="B2078" s="5" t="str">
        <f t="shared" si="2076"/>
        <v>SPS1</v>
      </c>
      <c r="C2078" s="5" t="str">
        <f t="shared" si="2073"/>
        <v>CH</v>
      </c>
      <c r="D2078" t="s">
        <v>2207</v>
      </c>
      <c r="E2078" t="str">
        <f t="shared" si="2074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'[1]Electricity and CHPs_NCAP'!F$19</f>
        <v>8.9463277677780395E-2</v>
      </c>
      <c r="K2078" s="1">
        <f>'[1]Electricity and CHPs_NCAP'!G$19</f>
        <v>3.9371401570218997E-2</v>
      </c>
      <c r="L2078" s="1">
        <f>'[1]Electricity and CHPs_NCAP'!H$19</f>
        <v>6.0788981947369902E-8</v>
      </c>
      <c r="N2078" s="1"/>
    </row>
    <row r="2079" spans="2:14" x14ac:dyDescent="0.35">
      <c r="B2079" s="5" t="str">
        <f t="shared" si="2076"/>
        <v>SPS1</v>
      </c>
      <c r="C2079" s="5" t="str">
        <f t="shared" si="2073"/>
        <v>CH</v>
      </c>
      <c r="D2079" t="s">
        <v>2208</v>
      </c>
      <c r="E2079" t="str">
        <f t="shared" si="207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0.31917391084021401</v>
      </c>
      <c r="N2079" s="1"/>
    </row>
    <row r="2080" spans="2:14" x14ac:dyDescent="0.35">
      <c r="B2080" s="5" t="str">
        <f t="shared" si="2076"/>
        <v>SPS1</v>
      </c>
      <c r="C2080" s="5" t="str">
        <f t="shared" si="2073"/>
        <v>CH</v>
      </c>
      <c r="D2080" t="s">
        <v>2209</v>
      </c>
      <c r="E2080" t="str">
        <f t="shared" si="2074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'[1]Electricity and CHPs_NCAP'!F$26</f>
        <v>5.6614446652348297E-3</v>
      </c>
      <c r="K2080" s="1">
        <f>'[1]Electricity and CHPs_NCAP'!G$26</f>
        <v>1.9605017494084401E-2</v>
      </c>
      <c r="L2080" s="1">
        <f>'[1]Electricity and CHPs_NCAP'!H$26</f>
        <v>5.7822174982893401E-8</v>
      </c>
      <c r="N2080" s="1"/>
    </row>
    <row r="2081" spans="2:14" x14ac:dyDescent="0.35">
      <c r="B2081" s="5" t="str">
        <f t="shared" si="2076"/>
        <v>SPS1</v>
      </c>
      <c r="C2081" s="5" t="str">
        <f t="shared" si="2073"/>
        <v>CH</v>
      </c>
      <c r="D2081" t="s">
        <v>2210</v>
      </c>
      <c r="E2081" t="str">
        <f t="shared" si="207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7.4863743508299496E-2</v>
      </c>
      <c r="N2081" s="1"/>
    </row>
    <row r="2082" spans="2:14" x14ac:dyDescent="0.35">
      <c r="B2082" s="5" t="str">
        <f t="shared" si="2076"/>
        <v>SPS1</v>
      </c>
      <c r="C2082" s="5" t="str">
        <f t="shared" si="2073"/>
        <v>CH</v>
      </c>
      <c r="D2082" t="s">
        <v>2211</v>
      </c>
      <c r="E2082" t="str">
        <f t="shared" si="2074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'[1]Electricity and CHPs_NCAP'!F$44</f>
        <v>1.34715514497836E-6</v>
      </c>
      <c r="K2082" s="1">
        <f>'[1]Electricity and CHPs_NCAP'!G$44</f>
        <v>7.1398005344294701E-7</v>
      </c>
      <c r="L2082" s="1">
        <f>'[1]Electricity and CHPs_NCAP'!H$44</f>
        <v>7.8819412068614895E-8</v>
      </c>
      <c r="N2082" s="1"/>
    </row>
    <row r="2083" spans="2:14" x14ac:dyDescent="0.35">
      <c r="B2083" s="5" t="str">
        <f t="shared" si="2076"/>
        <v>SPS1</v>
      </c>
      <c r="C2083" s="5" t="str">
        <f t="shared" si="2073"/>
        <v>CH</v>
      </c>
      <c r="D2083" t="s">
        <v>2212</v>
      </c>
      <c r="E2083" t="str">
        <f t="shared" ref="E2083:E2113" si="208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2.9142982710940301E-2</v>
      </c>
      <c r="N2083" s="1"/>
    </row>
    <row r="2084" spans="2:14" x14ac:dyDescent="0.35">
      <c r="B2084" s="5" t="str">
        <f t="shared" si="2076"/>
        <v>SPS1</v>
      </c>
      <c r="C2084" s="5" t="str">
        <f t="shared" si="2073"/>
        <v>CH</v>
      </c>
      <c r="D2084" t="s">
        <v>2213</v>
      </c>
      <c r="E2084" t="str">
        <f t="shared" si="2085"/>
        <v>GWe/yr.</v>
      </c>
      <c r="F2084" s="1">
        <f t="shared" ref="F2084:K2084" si="2086">SUM(F2085:F2091)</f>
        <v>0</v>
      </c>
      <c r="G2084" s="1">
        <f t="shared" si="2086"/>
        <v>4.6252370145991109E-3</v>
      </c>
      <c r="H2084" s="1">
        <f t="shared" si="2086"/>
        <v>4.7112625517248465E-2</v>
      </c>
      <c r="I2084" s="1">
        <f t="shared" si="2086"/>
        <v>6.3541875139732223E-2</v>
      </c>
      <c r="J2084" s="1">
        <f t="shared" si="2086"/>
        <v>4.1633384328066986E-2</v>
      </c>
      <c r="K2084" s="1">
        <f t="shared" si="2086"/>
        <v>0.14469445365800646</v>
      </c>
      <c r="L2084" s="1">
        <f t="shared" ref="L2084" si="2087">SUM(L2085:L2091)</f>
        <v>0.17775139146606486</v>
      </c>
      <c r="N2084" s="1"/>
    </row>
    <row r="2085" spans="2:14" x14ac:dyDescent="0.35">
      <c r="B2085" s="5" t="str">
        <f t="shared" si="2076"/>
        <v>SPS1</v>
      </c>
      <c r="C2085" s="5" t="str">
        <f t="shared" si="2073"/>
        <v>CH</v>
      </c>
      <c r="D2085" t="s">
        <v>2214</v>
      </c>
      <c r="E2085" t="str">
        <f t="shared" si="2085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'[1]Electricity and CHPs_NCAP'!F$25</f>
        <v>2.06832316302226E-4</v>
      </c>
      <c r="K2085" s="1">
        <f>'[1]Electricity and CHPs_NCAP'!G$25</f>
        <v>7.2455749416168799E-6</v>
      </c>
      <c r="L2085" s="1">
        <f>'[1]Electricity and CHPs_NCAP'!H$25</f>
        <v>1.9963382841879899E-6</v>
      </c>
      <c r="N2085" s="1"/>
    </row>
    <row r="2086" spans="2:14" x14ac:dyDescent="0.35">
      <c r="B2086" s="5" t="str">
        <f t="shared" si="2076"/>
        <v>SPS1</v>
      </c>
      <c r="C2086" s="5" t="str">
        <f t="shared" si="2073"/>
        <v>CH</v>
      </c>
      <c r="D2086" t="s">
        <v>2215</v>
      </c>
      <c r="E2086" t="str">
        <f t="shared" si="208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5.7553656167751804E-7</v>
      </c>
      <c r="L2086" s="1">
        <f>'[1]Electricity and CHPs_NCAP'!H$31</f>
        <v>8.9579064860319302E-2</v>
      </c>
      <c r="N2086" s="1"/>
    </row>
    <row r="2087" spans="2:14" x14ac:dyDescent="0.35">
      <c r="B2087" s="5" t="str">
        <f t="shared" si="2076"/>
        <v>SPS1</v>
      </c>
      <c r="C2087" s="5" t="str">
        <f t="shared" si="2073"/>
        <v>CH</v>
      </c>
      <c r="D2087" t="s">
        <v>2216</v>
      </c>
      <c r="E2087" t="str">
        <f t="shared" si="2085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'[1]Electricity and CHPs_NCAP'!F$42</f>
        <v>4.0818668740222802E-2</v>
      </c>
      <c r="K2087" s="1">
        <f>'[1]Electricity and CHPs_NCAP'!G$42</f>
        <v>0.123752902573957</v>
      </c>
      <c r="L2087" s="1">
        <f>'[1]Electricity and CHPs_NCAP'!H$42</f>
        <v>1.32596349102723E-2</v>
      </c>
      <c r="N2087" s="1"/>
    </row>
    <row r="2088" spans="2:14" x14ac:dyDescent="0.35">
      <c r="B2088" s="5" t="str">
        <f t="shared" si="2076"/>
        <v>SPS1</v>
      </c>
      <c r="C2088" s="5" t="str">
        <f t="shared" si="2073"/>
        <v>CH</v>
      </c>
      <c r="D2088" t="s">
        <v>2217</v>
      </c>
      <c r="E2088" t="str">
        <f t="shared" si="208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7.4909965661849306E-2</v>
      </c>
      <c r="N2088" s="1"/>
    </row>
    <row r="2089" spans="2:14" x14ac:dyDescent="0.35">
      <c r="B2089" s="5" t="str">
        <f t="shared" si="2076"/>
        <v>SPS1</v>
      </c>
      <c r="C2089" s="5" t="str">
        <f t="shared" si="2073"/>
        <v>CH</v>
      </c>
      <c r="D2089" t="s">
        <v>2218</v>
      </c>
      <c r="E2089" t="str">
        <f t="shared" si="208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'[1]Electricity and CHPs_NCAP'!F$50</f>
        <v>1.4651646706848802E-4</v>
      </c>
      <c r="K2089" s="1">
        <f>'[1]Electricity and CHPs_NCAP'!G$50</f>
        <v>1.636312129595184E-6</v>
      </c>
      <c r="L2089" s="1">
        <f>'[1]Electricity and CHPs_NCAP'!H$50</f>
        <v>1.3560278953321129E-7</v>
      </c>
      <c r="N2089" s="1"/>
    </row>
    <row r="2090" spans="2:14" x14ac:dyDescent="0.35">
      <c r="B2090" s="5" t="str">
        <f t="shared" si="2076"/>
        <v>SPS1</v>
      </c>
      <c r="C2090" s="5" t="str">
        <f t="shared" si="2073"/>
        <v>CH</v>
      </c>
      <c r="D2090" t="s">
        <v>2219</v>
      </c>
      <c r="E2090" t="str">
        <f t="shared" si="208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'[1]Electricity and CHPs_NCAP'!F$53</f>
        <v>3.7520550876142999E-4</v>
      </c>
      <c r="K2090" s="1">
        <f>'[1]Electricity and CHPs_NCAP'!G$53</f>
        <v>2.0931408572878465E-2</v>
      </c>
      <c r="L2090" s="1">
        <f>'[1]Electricity and CHPs_NCAP'!H$53</f>
        <v>2.9397851168261998E-7</v>
      </c>
      <c r="N2090" s="1"/>
    </row>
    <row r="2091" spans="2:14" x14ac:dyDescent="0.35">
      <c r="B2091" s="5" t="str">
        <f t="shared" si="2076"/>
        <v>SPS1</v>
      </c>
      <c r="C2091" s="5" t="str">
        <f t="shared" si="2073"/>
        <v>CH</v>
      </c>
      <c r="D2091" t="s">
        <v>2220</v>
      </c>
      <c r="E2091" t="str">
        <f t="shared" si="208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'[1]Electricity and CHPs_NCAP'!F$56</f>
        <v>8.6161295712041094E-5</v>
      </c>
      <c r="K2091" s="1">
        <f>'[1]Electricity and CHPs_NCAP'!G$56</f>
        <v>6.8508753809221205E-7</v>
      </c>
      <c r="L2091" s="1">
        <f>'[1]Electricity and CHPs_NCAP'!H$56</f>
        <v>3.0011403858912199E-7</v>
      </c>
      <c r="N2091" s="1"/>
    </row>
    <row r="2092" spans="2:14" x14ac:dyDescent="0.35">
      <c r="B2092" s="5" t="str">
        <f t="shared" si="2076"/>
        <v>SPS1</v>
      </c>
      <c r="C2092" s="5" t="str">
        <f t="shared" si="2073"/>
        <v>CH</v>
      </c>
      <c r="D2092" t="s">
        <v>2221</v>
      </c>
      <c r="E2092" t="str">
        <f t="shared" si="2085"/>
        <v>GWe/yr.</v>
      </c>
      <c r="F2092" s="1">
        <f t="shared" ref="F2092:L2092" si="2088">F2093</f>
        <v>0</v>
      </c>
      <c r="G2092" s="1">
        <f t="shared" si="2088"/>
        <v>7.1321505844187403E-3</v>
      </c>
      <c r="H2092" s="1">
        <f t="shared" si="2088"/>
        <v>0.20964763382690499</v>
      </c>
      <c r="I2092" s="1">
        <f t="shared" si="2088"/>
        <v>0.24874828815282801</v>
      </c>
      <c r="J2092" s="1">
        <f t="shared" si="2088"/>
        <v>0.60022142047592597</v>
      </c>
      <c r="K2092" s="1">
        <f t="shared" si="2088"/>
        <v>6.8458392204210797E-6</v>
      </c>
      <c r="L2092" s="1">
        <f t="shared" si="2088"/>
        <v>0.28805974369307102</v>
      </c>
      <c r="N2092" s="1"/>
    </row>
    <row r="2093" spans="2:14" x14ac:dyDescent="0.35">
      <c r="B2093" s="5" t="str">
        <f t="shared" si="2076"/>
        <v>SPS1</v>
      </c>
      <c r="C2093" s="5" t="str">
        <f t="shared" si="2073"/>
        <v>CH</v>
      </c>
      <c r="D2093" t="s">
        <v>2222</v>
      </c>
      <c r="E2093" t="str">
        <f t="shared" si="2085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'[1]Electricity and CHPs_NCAP'!F$33</f>
        <v>0.60022142047592597</v>
      </c>
      <c r="K2093" s="1">
        <f>'[1]Electricity and CHPs_NCAP'!G$33</f>
        <v>6.8458392204210797E-6</v>
      </c>
      <c r="L2093" s="1">
        <f>'[1]Electricity and CHPs_NCAP'!H$33</f>
        <v>0.28805974369307102</v>
      </c>
      <c r="N2093" s="1"/>
    </row>
    <row r="2094" spans="2:14" x14ac:dyDescent="0.35">
      <c r="B2094" s="5" t="str">
        <f t="shared" si="2076"/>
        <v>SPS1</v>
      </c>
      <c r="C2094" s="5" t="str">
        <f t="shared" si="2073"/>
        <v>CH</v>
      </c>
      <c r="D2094" t="s">
        <v>2223</v>
      </c>
      <c r="E2094" t="str">
        <f t="shared" si="2085"/>
        <v>GWe/yr.</v>
      </c>
      <c r="F2094" s="1">
        <f t="shared" ref="F2094:K2094" si="2089">SUM(F2095:F2099)</f>
        <v>0</v>
      </c>
      <c r="G2094" s="1">
        <f t="shared" si="2089"/>
        <v>2.9929045591440932E-5</v>
      </c>
      <c r="H2094" s="1">
        <f t="shared" si="2089"/>
        <v>4.4481455928460676</v>
      </c>
      <c r="I2094" s="1">
        <f t="shared" si="2089"/>
        <v>6.2267572063686806E-6</v>
      </c>
      <c r="J2094" s="1">
        <f t="shared" si="2089"/>
        <v>6.6593869829269039</v>
      </c>
      <c r="K2094" s="1">
        <f t="shared" si="2089"/>
        <v>6.0115361935965375</v>
      </c>
      <c r="L2094" s="1">
        <f t="shared" ref="L2094" si="2090">SUM(L2095:L2099)</f>
        <v>14.626247797049313</v>
      </c>
      <c r="N2094" s="1"/>
    </row>
    <row r="2095" spans="2:14" x14ac:dyDescent="0.35">
      <c r="B2095" s="5" t="str">
        <f t="shared" si="2076"/>
        <v>SPS1</v>
      </c>
      <c r="C2095" s="5" t="str">
        <f t="shared" si="2073"/>
        <v>CH</v>
      </c>
      <c r="D2095" t="s">
        <v>2224</v>
      </c>
      <c r="E2095" t="str">
        <f t="shared" si="208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'[1]Electricity and CHPs_NCAP'!F$34</f>
        <v>1.060565739744416E-2</v>
      </c>
      <c r="K2095" s="1">
        <f>'[1]Electricity and CHPs_NCAP'!G$34</f>
        <v>0.35416760869646108</v>
      </c>
      <c r="L2095" s="1">
        <f>'[1]Electricity and CHPs_NCAP'!H$34</f>
        <v>0.46299204700874491</v>
      </c>
      <c r="N2095" s="1"/>
    </row>
    <row r="2096" spans="2:14" x14ac:dyDescent="0.35">
      <c r="B2096" s="5" t="str">
        <f t="shared" si="2076"/>
        <v>SPS1</v>
      </c>
      <c r="C2096" s="5" t="str">
        <f t="shared" si="2073"/>
        <v>CH</v>
      </c>
      <c r="D2096" t="s">
        <v>2225</v>
      </c>
      <c r="E2096" t="str">
        <f t="shared" si="2085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'[1]Electricity and CHPs_NCAP'!F$35</f>
        <v>5.57947369179431</v>
      </c>
      <c r="K2096" s="1">
        <f>'[1]Electricity and CHPs_NCAP'!G$35</f>
        <v>3.9281762338286601</v>
      </c>
      <c r="L2096" s="1">
        <f>'[1]Electricity and CHPs_NCAP'!H$35</f>
        <v>9.8045449758973895</v>
      </c>
      <c r="N2096" s="1"/>
    </row>
    <row r="2097" spans="2:14" x14ac:dyDescent="0.35">
      <c r="B2097" s="5" t="str">
        <f t="shared" si="2076"/>
        <v>SPS1</v>
      </c>
      <c r="C2097" s="5" t="str">
        <f t="shared" si="2073"/>
        <v>CH</v>
      </c>
      <c r="D2097" t="s">
        <v>2226</v>
      </c>
      <c r="E2097" t="str">
        <f t="shared" si="2085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'[1]Electricity and CHPs_NCAP'!F$36</f>
        <v>0.29992444804363316</v>
      </c>
      <c r="K2097" s="1">
        <f>'[1]Electricity and CHPs_NCAP'!G$36</f>
        <v>0.6648609917749746</v>
      </c>
      <c r="L2097" s="1">
        <f>'[1]Electricity and CHPs_NCAP'!H$36</f>
        <v>0.68692283082215833</v>
      </c>
      <c r="N2097" s="1"/>
    </row>
    <row r="2098" spans="2:14" x14ac:dyDescent="0.35">
      <c r="B2098" s="5" t="str">
        <f t="shared" si="2076"/>
        <v>SPS1</v>
      </c>
      <c r="C2098" s="5" t="str">
        <f t="shared" si="2073"/>
        <v>CH</v>
      </c>
      <c r="D2098" t="s">
        <v>2227</v>
      </c>
      <c r="E2098" t="str">
        <f t="shared" si="2085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'[1]Electricity and CHPs_NCAP'!F$37</f>
        <v>0.14463895312692279</v>
      </c>
      <c r="K2098" s="1">
        <f>'[1]Electricity and CHPs_NCAP'!G$37</f>
        <v>0.28404546059237862</v>
      </c>
      <c r="L2098" s="1">
        <f>'[1]Electricity and CHPs_NCAP'!H$37</f>
        <v>0.94437355560675096</v>
      </c>
      <c r="N2098" s="1"/>
    </row>
    <row r="2099" spans="2:14" x14ac:dyDescent="0.35">
      <c r="B2099" s="5" t="str">
        <f t="shared" si="2076"/>
        <v>SPS1</v>
      </c>
      <c r="C2099" s="5" t="str">
        <f t="shared" si="2073"/>
        <v>CH</v>
      </c>
      <c r="D2099" t="s">
        <v>2228</v>
      </c>
      <c r="E2099" t="str">
        <f t="shared" si="2085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'[1]Electricity and CHPs_NCAP'!F$38</f>
        <v>0.62474423256459399</v>
      </c>
      <c r="K2099" s="1">
        <f>'[1]Electricity and CHPs_NCAP'!G$38</f>
        <v>0.78028589870406395</v>
      </c>
      <c r="L2099" s="1">
        <f>'[1]Electricity and CHPs_NCAP'!H$38</f>
        <v>2.72741438771427</v>
      </c>
      <c r="N2099" s="1"/>
    </row>
    <row r="2100" spans="2:14" x14ac:dyDescent="0.35">
      <c r="B2100" s="5" t="str">
        <f t="shared" si="2076"/>
        <v>SPS1</v>
      </c>
      <c r="C2100" s="5" t="str">
        <f t="shared" si="2073"/>
        <v>CH</v>
      </c>
      <c r="D2100" t="s">
        <v>2229</v>
      </c>
      <c r="E2100" t="str">
        <f t="shared" si="208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0</v>
      </c>
      <c r="L2100" s="1">
        <f>'[1]Electricity and CHPs_NCAP'!H$32</f>
        <v>0</v>
      </c>
      <c r="N2100" s="1"/>
    </row>
    <row r="2101" spans="2:14" x14ac:dyDescent="0.35">
      <c r="B2101" s="5" t="str">
        <f t="shared" si="2076"/>
        <v>SPS1</v>
      </c>
      <c r="C2101" s="5" t="str">
        <f t="shared" si="2073"/>
        <v>CH</v>
      </c>
      <c r="D2101" t="s">
        <v>2230</v>
      </c>
      <c r="E2101" t="str">
        <f t="shared" si="2085"/>
        <v>GWe/yr.</v>
      </c>
      <c r="F2101" s="1">
        <f t="shared" ref="F2101:K2101" si="2091">F2100</f>
        <v>0</v>
      </c>
      <c r="G2101" s="1">
        <f t="shared" si="2091"/>
        <v>0</v>
      </c>
      <c r="H2101" s="1">
        <f t="shared" si="2091"/>
        <v>0</v>
      </c>
      <c r="I2101" s="1">
        <f t="shared" si="2091"/>
        <v>0</v>
      </c>
      <c r="J2101" s="1">
        <f t="shared" si="2091"/>
        <v>0</v>
      </c>
      <c r="K2101" s="1">
        <f t="shared" si="2091"/>
        <v>0</v>
      </c>
      <c r="L2101" s="1">
        <f t="shared" ref="L2101" si="2092">L2100</f>
        <v>0</v>
      </c>
      <c r="N2101" s="1"/>
    </row>
    <row r="2102" spans="2:14" x14ac:dyDescent="0.35">
      <c r="B2102" s="5" t="str">
        <f t="shared" si="2076"/>
        <v>SPS1</v>
      </c>
      <c r="C2102" s="5" t="str">
        <f t="shared" si="2073"/>
        <v>CH</v>
      </c>
      <c r="D2102" t="s">
        <v>2231</v>
      </c>
      <c r="E2102" t="str">
        <f t="shared" si="2085"/>
        <v>GWe/yr.</v>
      </c>
      <c r="F2102" s="1">
        <f t="shared" ref="F2102:K2102" si="2093">SUM(F2103:F2105)</f>
        <v>0</v>
      </c>
      <c r="G2102" s="1">
        <f t="shared" si="2093"/>
        <v>0</v>
      </c>
      <c r="H2102" s="1">
        <f t="shared" si="2093"/>
        <v>0</v>
      </c>
      <c r="I2102" s="1">
        <f t="shared" si="2093"/>
        <v>2.0528716316637301E-4</v>
      </c>
      <c r="J2102" s="1">
        <f t="shared" si="2093"/>
        <v>5.9132005894247329E-4</v>
      </c>
      <c r="K2102" s="1">
        <f t="shared" si="2093"/>
        <v>1.6173959005134752E-2</v>
      </c>
      <c r="L2102" s="1">
        <f t="shared" ref="L2102" si="2094">SUM(L2103:L2105)</f>
        <v>4.4691875923930507E-2</v>
      </c>
      <c r="N2102" s="1"/>
    </row>
    <row r="2103" spans="2:14" x14ac:dyDescent="0.35">
      <c r="B2103" s="5" t="str">
        <f t="shared" si="2076"/>
        <v>SPS1</v>
      </c>
      <c r="C2103" s="5" t="str">
        <f t="shared" si="2073"/>
        <v>CH</v>
      </c>
      <c r="D2103" t="s">
        <v>2232</v>
      </c>
      <c r="E2103" t="str">
        <f t="shared" si="208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1.6172506302981001E-2</v>
      </c>
      <c r="L2103" s="1">
        <f>'[1]Electricity and CHPs_NCAP'!H$30</f>
        <v>3.0206961664597602E-6</v>
      </c>
      <c r="N2103" s="1"/>
    </row>
    <row r="2104" spans="2:14" x14ac:dyDescent="0.35">
      <c r="B2104" s="5" t="str">
        <f t="shared" si="2076"/>
        <v>SPS1</v>
      </c>
      <c r="C2104" s="5" t="str">
        <f t="shared" si="2073"/>
        <v>CH</v>
      </c>
      <c r="D2104" t="s">
        <v>2233</v>
      </c>
      <c r="E2104" t="str">
        <f t="shared" si="208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5.7465899659621899E-4</v>
      </c>
      <c r="K2104" s="1">
        <f>'[1]Electricity and CHPs_NCAP'!G$46</f>
        <v>6.9309136701633705E-7</v>
      </c>
      <c r="L2104" s="1">
        <f>'[1]Electricity and CHPs_NCAP'!H$46</f>
        <v>4.4679876099754399E-2</v>
      </c>
      <c r="N2104" s="1"/>
    </row>
    <row r="2105" spans="2:14" x14ac:dyDescent="0.35">
      <c r="B2105" s="5" t="str">
        <f t="shared" si="2076"/>
        <v>SPS1</v>
      </c>
      <c r="C2105" s="5" t="str">
        <f t="shared" si="2073"/>
        <v>CH</v>
      </c>
      <c r="D2105" t="s">
        <v>2234</v>
      </c>
      <c r="E2105" t="str">
        <f t="shared" si="208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'[1]Electricity and CHPs_NCAP'!F$57</f>
        <v>1.66610623462543E-5</v>
      </c>
      <c r="K2105" s="1">
        <f>'[1]Electricity and CHPs_NCAP'!G$57</f>
        <v>7.5961078673459796E-7</v>
      </c>
      <c r="L2105" s="1">
        <f>'[1]Electricity and CHPs_NCAP'!H$57</f>
        <v>8.9791280096515593E-6</v>
      </c>
      <c r="N2105" s="1"/>
    </row>
    <row r="2106" spans="2:14" x14ac:dyDescent="0.35">
      <c r="B2106" s="5" t="str">
        <f t="shared" si="2076"/>
        <v>SPS1</v>
      </c>
      <c r="C2106" s="5" t="str">
        <f t="shared" si="2073"/>
        <v>CH</v>
      </c>
      <c r="D2106" t="s">
        <v>2235</v>
      </c>
      <c r="E2106" t="str">
        <f t="shared" si="2085"/>
        <v>GWe/yr.</v>
      </c>
      <c r="F2106" s="1">
        <f t="shared" ref="F2106:K2106" si="2095">SUM(F2107:F2113)</f>
        <v>8.1828297110053388E-3</v>
      </c>
      <c r="G2106" s="1">
        <f t="shared" si="2095"/>
        <v>1.4136204138790099E-5</v>
      </c>
      <c r="H2106" s="1">
        <f t="shared" si="2095"/>
        <v>0.36301123997351059</v>
      </c>
      <c r="I2106" s="1">
        <f t="shared" si="2095"/>
        <v>2.5974524890428643E-2</v>
      </c>
      <c r="J2106" s="1">
        <f t="shared" si="2095"/>
        <v>0.44035752749754653</v>
      </c>
      <c r="K2106" s="1">
        <f t="shared" si="2095"/>
        <v>0.45411386727465475</v>
      </c>
      <c r="L2106" s="1">
        <f t="shared" ref="L2106" si="2096">SUM(L2107:L2113)</f>
        <v>1.7983870365767862</v>
      </c>
      <c r="N2106" s="1"/>
    </row>
    <row r="2107" spans="2:14" x14ac:dyDescent="0.35">
      <c r="B2107" s="5" t="str">
        <f t="shared" si="2076"/>
        <v>SPS1</v>
      </c>
      <c r="C2107" s="5" t="str">
        <f t="shared" si="2073"/>
        <v>CH</v>
      </c>
      <c r="D2107" t="s">
        <v>2236</v>
      </c>
      <c r="E2107" t="str">
        <f t="shared" si="2085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'[1]Electricity and CHPs_NCAP'!F$63</f>
        <v>1.1244331294063799E-6</v>
      </c>
      <c r="K2107" s="1">
        <f>'[1]Electricity and CHPs_NCAP'!G$63</f>
        <v>1.5446410730604199E-6</v>
      </c>
      <c r="L2107" s="1">
        <f>'[1]Electricity and CHPs_NCAP'!H$63</f>
        <v>1.3451736228559301E-6</v>
      </c>
      <c r="N2107" s="1"/>
    </row>
    <row r="2108" spans="2:14" x14ac:dyDescent="0.35">
      <c r="B2108" s="5" t="str">
        <f t="shared" si="2076"/>
        <v>SPS1</v>
      </c>
      <c r="C2108" s="5" t="str">
        <f t="shared" si="2073"/>
        <v>CH</v>
      </c>
      <c r="D2108" t="s">
        <v>2237</v>
      </c>
      <c r="E2108" t="str">
        <f t="shared" si="2085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'[1]Electricity and CHPs_NCAP'!F$64</f>
        <v>2.12303096740382E-2</v>
      </c>
      <c r="K2108" s="1">
        <f>'[1]Electricity and CHPs_NCAP'!G$64</f>
        <v>5.5549620009084602E-2</v>
      </c>
      <c r="L2108" s="1">
        <f>'[1]Electricity and CHPs_NCAP'!H$64</f>
        <v>0.81631783338966402</v>
      </c>
      <c r="N2108" s="1"/>
    </row>
    <row r="2109" spans="2:14" x14ac:dyDescent="0.35">
      <c r="B2109" s="5" t="str">
        <f t="shared" si="2076"/>
        <v>SPS1</v>
      </c>
      <c r="C2109" s="5" t="str">
        <f t="shared" si="2073"/>
        <v>CH</v>
      </c>
      <c r="D2109" t="s">
        <v>2238</v>
      </c>
      <c r="E2109" t="str">
        <f t="shared" si="2085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'[1]Electricity and CHPs_NCAP'!F$65</f>
        <v>9.9238501682035393E-3</v>
      </c>
      <c r="K2109" s="1">
        <f>'[1]Electricity and CHPs_NCAP'!G$65</f>
        <v>3.4480614310410197E-2</v>
      </c>
      <c r="L2109" s="1">
        <f>'[1]Electricity and CHPs_NCAP'!H$65</f>
        <v>5.0303462395477297E-2</v>
      </c>
      <c r="N2109" s="1"/>
    </row>
    <row r="2110" spans="2:14" x14ac:dyDescent="0.35">
      <c r="B2110" s="5" t="str">
        <f t="shared" si="2076"/>
        <v>SPS1</v>
      </c>
      <c r="C2110" s="5" t="str">
        <f t="shared" si="2073"/>
        <v>CH</v>
      </c>
      <c r="D2110" t="s">
        <v>2239</v>
      </c>
      <c r="E2110" t="str">
        <f t="shared" si="2085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'[1]Electricity and CHPs_NCAP'!F$66</f>
        <v>0.226000695824874</v>
      </c>
      <c r="K2110" s="1">
        <f>'[1]Electricity and CHPs_NCAP'!G$66</f>
        <v>0.18597293361138001</v>
      </c>
      <c r="L2110" s="1">
        <f>'[1]Electricity and CHPs_NCAP'!H$66</f>
        <v>0.60978626433370997</v>
      </c>
      <c r="N2110" s="1"/>
    </row>
    <row r="2111" spans="2:14" x14ac:dyDescent="0.35">
      <c r="B2111" s="5" t="str">
        <f t="shared" si="2076"/>
        <v>SPS1</v>
      </c>
      <c r="C2111" s="5" t="str">
        <f t="shared" si="2073"/>
        <v>CH</v>
      </c>
      <c r="D2111" t="s">
        <v>2240</v>
      </c>
      <c r="E2111" t="str">
        <f t="shared" si="2085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'[1]Electricity and CHPs_NCAP'!F$67</f>
        <v>7.77916990145677E-2</v>
      </c>
      <c r="K2111" s="1">
        <f>'[1]Electricity and CHPs_NCAP'!G$67</f>
        <v>7.6692652182580298E-2</v>
      </c>
      <c r="L2111" s="1">
        <f>'[1]Electricity and CHPs_NCAP'!H$67</f>
        <v>0.13927338590671251</v>
      </c>
      <c r="N2111" s="1"/>
    </row>
    <row r="2112" spans="2:14" x14ac:dyDescent="0.35">
      <c r="B2112" s="5" t="str">
        <f t="shared" si="2076"/>
        <v>SPS1</v>
      </c>
      <c r="C2112" s="5" t="str">
        <f t="shared" si="2073"/>
        <v>CH</v>
      </c>
      <c r="D2112" t="s">
        <v>2241</v>
      </c>
      <c r="E2112" t="str">
        <f t="shared" si="2085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'[1]Electricity and CHPs_NCAP'!F$68</f>
        <v>3.05820943614457E-2</v>
      </c>
      <c r="K2112" s="1">
        <f>'[1]Electricity and CHPs_NCAP'!G$68</f>
        <v>2.06673758332508E-2</v>
      </c>
      <c r="L2112" s="1">
        <f>'[1]Electricity and CHPs_NCAP'!H$68</f>
        <v>4.6809366571623698E-2</v>
      </c>
      <c r="N2112" s="1"/>
    </row>
    <row r="2113" spans="2:14" x14ac:dyDescent="0.35">
      <c r="B2113" s="5" t="str">
        <f t="shared" si="2076"/>
        <v>SPS1</v>
      </c>
      <c r="C2113" s="5" t="str">
        <f t="shared" si="2073"/>
        <v>CH</v>
      </c>
      <c r="D2113" t="s">
        <v>2242</v>
      </c>
      <c r="E2113" t="str">
        <f t="shared" si="2085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'[1]Electricity and CHPs_NCAP'!F$69</f>
        <v>7.4827754021287995E-2</v>
      </c>
      <c r="K2113" s="1">
        <f>'[1]Electricity and CHPs_NCAP'!G$69</f>
        <v>8.0749126686875797E-2</v>
      </c>
      <c r="L2113" s="1">
        <f>'[1]Electricity and CHPs_NCAP'!H$69</f>
        <v>0.13589537880597599</v>
      </c>
      <c r="N2113" s="1"/>
    </row>
    <row r="2114" spans="2:14" x14ac:dyDescent="0.35">
      <c r="B2114" s="5" t="str">
        <f>'SPS3'!B1902</f>
        <v>SPS1</v>
      </c>
      <c r="C2114" s="5" t="str">
        <f>'SPS3'!C1902</f>
        <v>CH</v>
      </c>
      <c r="D2114" s="2" t="s">
        <v>2243</v>
      </c>
      <c r="E2114" s="2" t="s">
        <v>1972</v>
      </c>
      <c r="F2114" s="3">
        <f t="shared" ref="F2114:K2114" si="2097">SUM(F2115:F2164)</f>
        <v>4.3972920200741782E-4</v>
      </c>
      <c r="G2114" s="3">
        <f t="shared" si="2097"/>
        <v>0.48004085704344951</v>
      </c>
      <c r="H2114" s="3">
        <f t="shared" si="2097"/>
        <v>0.86786562753256369</v>
      </c>
      <c r="I2114" s="3">
        <f t="shared" si="2097"/>
        <v>2.0706848765251058</v>
      </c>
      <c r="J2114" s="3">
        <f t="shared" si="2097"/>
        <v>3.1233111712185893</v>
      </c>
      <c r="K2114" s="3">
        <f t="shared" si="2097"/>
        <v>2.1063988091747969</v>
      </c>
      <c r="L2114" s="3">
        <f t="shared" ref="L2114" si="2098">SUM(L2115:L2164)</f>
        <v>4.7608227260731546</v>
      </c>
      <c r="N2114" s="1"/>
    </row>
    <row r="2115" spans="2:14" x14ac:dyDescent="0.35">
      <c r="B2115" s="5" t="str">
        <f t="shared" ref="B2115:B2146" si="2099">B2114</f>
        <v>SPS1</v>
      </c>
      <c r="C2115" s="5" t="str">
        <f t="shared" ref="C2115:C2146" si="2100">C2114</f>
        <v>CH</v>
      </c>
      <c r="D2115" t="s">
        <v>2244</v>
      </c>
      <c r="E2115" t="str">
        <f t="shared" ref="E2115:E2146" si="210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N2115" s="1"/>
    </row>
    <row r="2116" spans="2:14" x14ac:dyDescent="0.35">
      <c r="B2116" s="5" t="str">
        <f t="shared" si="2099"/>
        <v>SPS1</v>
      </c>
      <c r="C2116" s="5" t="str">
        <f t="shared" si="2100"/>
        <v>CH</v>
      </c>
      <c r="D2116" t="s">
        <v>2245</v>
      </c>
      <c r="E2116" t="str">
        <f t="shared" si="210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3.2450921647157797E-4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0.150699844810881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0.34646983666860798</v>
      </c>
      <c r="N2116" s="1"/>
    </row>
    <row r="2117" spans="2:14" x14ac:dyDescent="0.35">
      <c r="B2117" s="5" t="str">
        <f t="shared" si="2099"/>
        <v>SPS1</v>
      </c>
      <c r="C2117" s="5" t="str">
        <f t="shared" si="2100"/>
        <v>CH</v>
      </c>
      <c r="D2117" t="s">
        <v>2246</v>
      </c>
      <c r="E2117" t="str">
        <f t="shared" si="210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0.92669580818975195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0.90326560338573503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1.4242234186537399</v>
      </c>
      <c r="N2117" s="1"/>
    </row>
    <row r="2118" spans="2:14" x14ac:dyDescent="0.35">
      <c r="B2118" s="5" t="str">
        <f t="shared" si="2099"/>
        <v>SPS1</v>
      </c>
      <c r="C2118" s="5" t="str">
        <f t="shared" si="2100"/>
        <v>CH</v>
      </c>
      <c r="D2118" t="s">
        <v>2247</v>
      </c>
      <c r="E2118" t="str">
        <f t="shared" si="210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0.77737967219566895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0.43099177125125199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0.89313449881584395</v>
      </c>
      <c r="N2118" s="1"/>
    </row>
    <row r="2119" spans="2:14" x14ac:dyDescent="0.35">
      <c r="B2119" s="5" t="str">
        <f t="shared" si="2099"/>
        <v>SPS1</v>
      </c>
      <c r="C2119" s="5" t="str">
        <f t="shared" si="2100"/>
        <v>CH</v>
      </c>
      <c r="D2119" t="s">
        <v>2248</v>
      </c>
      <c r="E2119" t="str">
        <f t="shared" si="210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0.80356269499136201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0.62098562768631504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2.0969919286996501</v>
      </c>
      <c r="N2119" s="1"/>
    </row>
    <row r="2120" spans="2:14" x14ac:dyDescent="0.35">
      <c r="B2120" s="5" t="str">
        <f t="shared" si="2099"/>
        <v>SPS1</v>
      </c>
      <c r="C2120" s="5" t="str">
        <f t="shared" si="2100"/>
        <v>CH</v>
      </c>
      <c r="D2120" t="s">
        <v>2249</v>
      </c>
      <c r="E2120" t="str">
        <f t="shared" si="210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1.99644234299844E-4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6.1148236201483304E-5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0</v>
      </c>
      <c r="N2120" s="1"/>
    </row>
    <row r="2121" spans="2:14" x14ac:dyDescent="0.35">
      <c r="B2121" s="5" t="str">
        <f t="shared" si="2099"/>
        <v>SPS1</v>
      </c>
      <c r="C2121" s="5" t="str">
        <f t="shared" si="2100"/>
        <v>CH</v>
      </c>
      <c r="D2121" t="s">
        <v>2250</v>
      </c>
      <c r="E2121" t="str">
        <f t="shared" si="210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5.6442120277512705E-4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1.55483706426334E-5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0</v>
      </c>
      <c r="N2121" s="1"/>
    </row>
    <row r="2122" spans="2:14" x14ac:dyDescent="0.35">
      <c r="B2122" s="5" t="str">
        <f t="shared" si="2099"/>
        <v>SPS1</v>
      </c>
      <c r="C2122" s="5" t="str">
        <f t="shared" si="2100"/>
        <v>CH</v>
      </c>
      <c r="D2122" t="s">
        <v>2251</v>
      </c>
      <c r="E2122" t="str">
        <f t="shared" si="210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3.2493071938406102E-4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2.5039573001099601E-5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</v>
      </c>
      <c r="N2122" s="1"/>
    </row>
    <row r="2123" spans="2:14" x14ac:dyDescent="0.35">
      <c r="B2123" s="5" t="str">
        <f t="shared" si="2099"/>
        <v>SPS1</v>
      </c>
      <c r="C2123" s="5" t="str">
        <f t="shared" si="2100"/>
        <v>CH</v>
      </c>
      <c r="D2123" t="s">
        <v>2252</v>
      </c>
      <c r="E2123" t="str">
        <f t="shared" si="210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2.4658116438513501E-4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2.5919836603177699E-5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0</v>
      </c>
      <c r="N2123" s="1"/>
    </row>
    <row r="2124" spans="2:14" x14ac:dyDescent="0.35">
      <c r="B2124" s="5" t="str">
        <f t="shared" si="2099"/>
        <v>SPS1</v>
      </c>
      <c r="C2124" s="5" t="str">
        <f t="shared" si="2100"/>
        <v>CH</v>
      </c>
      <c r="D2124" t="s">
        <v>2253</v>
      </c>
      <c r="E2124" t="str">
        <f t="shared" si="210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2.2599107308321901E-4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6.3142107808084806E-5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0</v>
      </c>
      <c r="N2124" s="1"/>
    </row>
    <row r="2125" spans="2:14" x14ac:dyDescent="0.35">
      <c r="B2125" s="5" t="str">
        <f t="shared" si="2099"/>
        <v>SPS1</v>
      </c>
      <c r="C2125" s="5" t="str">
        <f t="shared" si="2100"/>
        <v>CH</v>
      </c>
      <c r="D2125" t="s">
        <v>2254</v>
      </c>
      <c r="E2125" t="str">
        <f t="shared" si="210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9.7850368912602895E-4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1.48749119195152E-5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0</v>
      </c>
      <c r="N2125" s="1"/>
    </row>
    <row r="2126" spans="2:14" x14ac:dyDescent="0.35">
      <c r="B2126" s="5" t="str">
        <f t="shared" si="2099"/>
        <v>SPS1</v>
      </c>
      <c r="C2126" s="5" t="str">
        <f t="shared" si="2100"/>
        <v>CH</v>
      </c>
      <c r="D2126" t="s">
        <v>2255</v>
      </c>
      <c r="E2126" t="str">
        <f t="shared" si="210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5.1849663074099699E-4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2.4855077246838702E-5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</v>
      </c>
      <c r="N2126" s="1"/>
    </row>
    <row r="2127" spans="2:14" x14ac:dyDescent="0.35">
      <c r="B2127" s="5" t="str">
        <f t="shared" si="2099"/>
        <v>SPS1</v>
      </c>
      <c r="C2127" s="5" t="str">
        <f t="shared" si="2100"/>
        <v>CH</v>
      </c>
      <c r="D2127" t="s">
        <v>2256</v>
      </c>
      <c r="E2127" t="str">
        <f t="shared" si="210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3.1362243587642599E-4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2.5422827518195899E-5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</v>
      </c>
      <c r="N2127" s="1"/>
    </row>
    <row r="2128" spans="2:14" x14ac:dyDescent="0.35">
      <c r="B2128" s="5" t="str">
        <f t="shared" si="2099"/>
        <v>SPS1</v>
      </c>
      <c r="C2128" s="5" t="str">
        <f t="shared" si="2100"/>
        <v>CH</v>
      </c>
      <c r="D2128" t="s">
        <v>2257</v>
      </c>
      <c r="E2128" t="str">
        <f t="shared" si="210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8.7837066594566996E-7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4.8104094353624301E-7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7.3260368014326799E-7</v>
      </c>
      <c r="N2128" s="1"/>
    </row>
    <row r="2129" spans="2:14" x14ac:dyDescent="0.35">
      <c r="B2129" s="5" t="str">
        <f t="shared" si="2099"/>
        <v>SPS1</v>
      </c>
      <c r="C2129" s="5" t="str">
        <f t="shared" si="2100"/>
        <v>CH</v>
      </c>
      <c r="D2129" t="s">
        <v>2258</v>
      </c>
      <c r="E2129" t="str">
        <f t="shared" si="210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7.9929324233480996E-7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4.32337654321859E-7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7.4965239798807199E-7</v>
      </c>
      <c r="N2129" s="1"/>
    </row>
    <row r="2130" spans="2:14" x14ac:dyDescent="0.35">
      <c r="B2130" s="5" t="str">
        <f t="shared" si="2099"/>
        <v>SPS1</v>
      </c>
      <c r="C2130" s="5" t="str">
        <f t="shared" si="2100"/>
        <v>CH</v>
      </c>
      <c r="D2130" t="s">
        <v>2259</v>
      </c>
      <c r="E2130" t="str">
        <f t="shared" si="210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5.3709893095887597E-7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3.7754718183795702E-7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7.7223971319130096E-7</v>
      </c>
      <c r="N2130" s="1"/>
    </row>
    <row r="2131" spans="2:14" x14ac:dyDescent="0.35">
      <c r="B2131" s="5" t="str">
        <f t="shared" si="2099"/>
        <v>SPS1</v>
      </c>
      <c r="C2131" s="5" t="str">
        <f t="shared" si="2100"/>
        <v>CH</v>
      </c>
      <c r="D2131" t="s">
        <v>2260</v>
      </c>
      <c r="E2131" t="str">
        <f t="shared" si="210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7.6978229053112497E-7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4.1712641917410202E-7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7.8873952159562803E-7</v>
      </c>
      <c r="N2131" s="1"/>
    </row>
    <row r="2132" spans="2:14" x14ac:dyDescent="0.35">
      <c r="B2132" s="5" t="str">
        <f t="shared" si="2099"/>
        <v>SPS1</v>
      </c>
      <c r="C2132" s="5" t="str">
        <f t="shared" si="2100"/>
        <v>CH</v>
      </c>
      <c r="D2132" t="s">
        <v>2261</v>
      </c>
      <c r="E2132" t="str">
        <f t="shared" si="210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N2132" s="1"/>
    </row>
    <row r="2133" spans="2:14" x14ac:dyDescent="0.35">
      <c r="B2133" s="5" t="str">
        <f t="shared" si="2099"/>
        <v>SPS1</v>
      </c>
      <c r="C2133" s="5" t="str">
        <f t="shared" si="2100"/>
        <v>CH</v>
      </c>
      <c r="D2133" t="s">
        <v>2262</v>
      </c>
      <c r="E2133" t="str">
        <f t="shared" si="210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5.6652333335005703E-2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6.1378271782428696E-5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N2133" s="1"/>
    </row>
    <row r="2134" spans="2:14" x14ac:dyDescent="0.35">
      <c r="B2134" s="5" t="str">
        <f t="shared" si="2099"/>
        <v>SPS1</v>
      </c>
      <c r="C2134" s="5" t="str">
        <f t="shared" si="2100"/>
        <v>CH</v>
      </c>
      <c r="D2134" t="s">
        <v>2263</v>
      </c>
      <c r="E2134" t="str">
        <f t="shared" si="210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1.71405612660557E-3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1.7690594701210601E-5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N2134" s="1"/>
    </row>
    <row r="2135" spans="2:14" x14ac:dyDescent="0.35">
      <c r="B2135" s="5" t="str">
        <f t="shared" si="2099"/>
        <v>SPS1</v>
      </c>
      <c r="C2135" s="5" t="str">
        <f t="shared" si="2100"/>
        <v>CH</v>
      </c>
      <c r="D2135" t="s">
        <v>2264</v>
      </c>
      <c r="E2135" t="str">
        <f t="shared" si="210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3.9272274726017501E-5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8.3370290648419706E-6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N2135" s="1"/>
    </row>
    <row r="2136" spans="2:14" x14ac:dyDescent="0.35">
      <c r="B2136" s="5" t="str">
        <f t="shared" si="2099"/>
        <v>SPS1</v>
      </c>
      <c r="C2136" s="5" t="str">
        <f t="shared" si="2100"/>
        <v>CH</v>
      </c>
      <c r="D2136" t="s">
        <v>2265</v>
      </c>
      <c r="E2136" t="str">
        <f t="shared" si="210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5.4160662146039397E-5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1.0835352351074801E-5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N2136" s="1"/>
    </row>
    <row r="2137" spans="2:14" x14ac:dyDescent="0.35">
      <c r="B2137" s="5" t="str">
        <f t="shared" si="2099"/>
        <v>SPS1</v>
      </c>
      <c r="C2137" s="5" t="str">
        <f t="shared" si="2100"/>
        <v>CH</v>
      </c>
      <c r="D2137" t="s">
        <v>2266</v>
      </c>
      <c r="E2137" t="str">
        <f t="shared" si="210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N2137" s="1"/>
    </row>
    <row r="2138" spans="2:14" x14ac:dyDescent="0.35">
      <c r="B2138" s="5" t="str">
        <f t="shared" si="2099"/>
        <v>SPS1</v>
      </c>
      <c r="C2138" s="5" t="str">
        <f t="shared" si="2100"/>
        <v>CH</v>
      </c>
      <c r="D2138" t="s">
        <v>2267</v>
      </c>
      <c r="E2138" t="str">
        <f t="shared" si="210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2.2296047101443201E-4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N2138" s="1"/>
    </row>
    <row r="2139" spans="2:14" x14ac:dyDescent="0.35">
      <c r="B2139" s="5" t="str">
        <f t="shared" si="2099"/>
        <v>SPS1</v>
      </c>
      <c r="C2139" s="5" t="str">
        <f t="shared" si="2100"/>
        <v>CH</v>
      </c>
      <c r="D2139" t="s">
        <v>2268</v>
      </c>
      <c r="E2139" t="str">
        <f t="shared" si="210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3.3319121729300302E-4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N2139" s="1"/>
    </row>
    <row r="2140" spans="2:14" x14ac:dyDescent="0.35">
      <c r="B2140" s="5" t="str">
        <f t="shared" si="2099"/>
        <v>SPS1</v>
      </c>
      <c r="C2140" s="5" t="str">
        <f t="shared" si="2100"/>
        <v>CH</v>
      </c>
      <c r="D2140" t="s">
        <v>2269</v>
      </c>
      <c r="E2140" t="str">
        <f t="shared" si="210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1.05165742236978E-4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N2140" s="1"/>
    </row>
    <row r="2141" spans="2:14" x14ac:dyDescent="0.35">
      <c r="B2141" s="5" t="str">
        <f t="shared" si="2099"/>
        <v>SPS1</v>
      </c>
      <c r="C2141" s="5" t="str">
        <f t="shared" si="2100"/>
        <v>CH</v>
      </c>
      <c r="D2141" t="s">
        <v>2270</v>
      </c>
      <c r="E2141" t="str">
        <f t="shared" si="210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0.40321921602252597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N2141" s="1"/>
    </row>
    <row r="2142" spans="2:14" x14ac:dyDescent="0.35">
      <c r="B2142" s="5" t="str">
        <f t="shared" si="2099"/>
        <v>SPS1</v>
      </c>
      <c r="C2142" s="5" t="str">
        <f t="shared" si="2100"/>
        <v>CH</v>
      </c>
      <c r="D2142" t="s">
        <v>2271</v>
      </c>
      <c r="E2142" t="str">
        <f t="shared" si="210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N2142" s="1"/>
    </row>
    <row r="2143" spans="2:14" x14ac:dyDescent="0.35">
      <c r="B2143" s="5" t="str">
        <f t="shared" si="2099"/>
        <v>SPS1</v>
      </c>
      <c r="C2143" s="5" t="str">
        <f t="shared" si="2100"/>
        <v>CH</v>
      </c>
      <c r="D2143" t="s">
        <v>2272</v>
      </c>
      <c r="E2143" t="str">
        <f t="shared" si="210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N2143" s="1"/>
    </row>
    <row r="2144" spans="2:14" x14ac:dyDescent="0.35">
      <c r="B2144" s="5" t="str">
        <f t="shared" si="2099"/>
        <v>SPS1</v>
      </c>
      <c r="C2144" s="5" t="str">
        <f t="shared" si="2100"/>
        <v>CH</v>
      </c>
      <c r="D2144" t="s">
        <v>2273</v>
      </c>
      <c r="E2144" t="str">
        <f t="shared" si="210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N2144" s="1"/>
    </row>
    <row r="2145" spans="2:14" x14ac:dyDescent="0.35">
      <c r="B2145" s="5" t="str">
        <f t="shared" si="2099"/>
        <v>SPS1</v>
      </c>
      <c r="C2145" s="5" t="str">
        <f t="shared" si="2100"/>
        <v>CH</v>
      </c>
      <c r="D2145" t="s">
        <v>2274</v>
      </c>
      <c r="E2145" t="str">
        <f t="shared" si="210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N2145" s="1"/>
    </row>
    <row r="2146" spans="2:14" x14ac:dyDescent="0.35">
      <c r="B2146" s="5" t="str">
        <f t="shared" si="2099"/>
        <v>SPS1</v>
      </c>
      <c r="C2146" s="5" t="str">
        <f t="shared" si="2100"/>
        <v>CH</v>
      </c>
      <c r="D2146" t="s">
        <v>2275</v>
      </c>
      <c r="E2146" t="str">
        <f t="shared" si="210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N2146" s="1"/>
    </row>
    <row r="2147" spans="2:14" x14ac:dyDescent="0.35">
      <c r="B2147" s="5" t="str">
        <f t="shared" ref="B2147:B2164" si="2102">B2146</f>
        <v>SPS1</v>
      </c>
      <c r="C2147" s="5" t="str">
        <f t="shared" ref="C2147:C2164" si="2103">C2146</f>
        <v>CH</v>
      </c>
      <c r="D2147" t="s">
        <v>2276</v>
      </c>
      <c r="E2147" t="str">
        <f t="shared" ref="E2147:E2164" si="210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0.119844025058933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6.3504326710671897E-5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N2147" s="1"/>
    </row>
    <row r="2148" spans="2:14" x14ac:dyDescent="0.35">
      <c r="B2148" s="5" t="str">
        <f t="shared" si="2102"/>
        <v>SPS1</v>
      </c>
      <c r="C2148" s="5" t="str">
        <f t="shared" si="2103"/>
        <v>CH</v>
      </c>
      <c r="D2148" t="s">
        <v>2277</v>
      </c>
      <c r="E2148" t="str">
        <f t="shared" si="210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2.94641747874301E-2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1.7550846170205301E-5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N2148" s="1"/>
    </row>
    <row r="2149" spans="2:14" x14ac:dyDescent="0.35">
      <c r="B2149" s="5" t="str">
        <f t="shared" si="2102"/>
        <v>SPS1</v>
      </c>
      <c r="C2149" s="5" t="str">
        <f t="shared" si="2103"/>
        <v>CH</v>
      </c>
      <c r="D2149" t="s">
        <v>2278</v>
      </c>
      <c r="E2149" t="str">
        <f t="shared" si="210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4.0522877165032499E-5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8.2736488288891097E-6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N2149" s="1"/>
    </row>
    <row r="2150" spans="2:14" x14ac:dyDescent="0.35">
      <c r="B2150" s="5" t="str">
        <f t="shared" si="2102"/>
        <v>SPS1</v>
      </c>
      <c r="C2150" s="5" t="str">
        <f t="shared" si="2103"/>
        <v>CH</v>
      </c>
      <c r="D2150" t="s">
        <v>2279</v>
      </c>
      <c r="E2150" t="str">
        <f t="shared" si="210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5.5898127729901199E-5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1.07329778646567E-5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N2150" s="1"/>
    </row>
    <row r="2151" spans="2:14" x14ac:dyDescent="0.35">
      <c r="B2151" s="5" t="str">
        <f t="shared" si="2102"/>
        <v>SPS1</v>
      </c>
      <c r="C2151" s="5" t="str">
        <f t="shared" si="2103"/>
        <v>CH</v>
      </c>
      <c r="D2151" t="s">
        <v>2280</v>
      </c>
      <c r="E2151" t="str">
        <f t="shared" si="210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N2151" s="1"/>
    </row>
    <row r="2152" spans="2:14" x14ac:dyDescent="0.35">
      <c r="B2152" s="5" t="str">
        <f t="shared" si="2102"/>
        <v>SPS1</v>
      </c>
      <c r="C2152" s="5" t="str">
        <f t="shared" si="2103"/>
        <v>CH</v>
      </c>
      <c r="D2152" t="s">
        <v>2281</v>
      </c>
      <c r="E2152" t="str">
        <f t="shared" si="210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7.3359357858825404E-5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N2152" s="1"/>
    </row>
    <row r="2153" spans="2:14" x14ac:dyDescent="0.35">
      <c r="B2153" s="5" t="str">
        <f t="shared" si="2102"/>
        <v>SPS1</v>
      </c>
      <c r="C2153" s="5" t="str">
        <f t="shared" si="2103"/>
        <v>CH</v>
      </c>
      <c r="D2153" t="s">
        <v>2282</v>
      </c>
      <c r="E2153" t="str">
        <f t="shared" si="210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5.7164681299528102E-5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N2153" s="1"/>
    </row>
    <row r="2154" spans="2:14" x14ac:dyDescent="0.35">
      <c r="B2154" s="5" t="str">
        <f t="shared" si="2102"/>
        <v>SPS1</v>
      </c>
      <c r="C2154" s="5" t="str">
        <f t="shared" si="2103"/>
        <v>CH</v>
      </c>
      <c r="D2154" t="s">
        <v>2283</v>
      </c>
      <c r="E2154" t="str">
        <f t="shared" si="210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3.8043486446475902E-5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N2154" s="1"/>
    </row>
    <row r="2155" spans="2:14" x14ac:dyDescent="0.35">
      <c r="B2155" s="5" t="str">
        <f t="shared" si="2102"/>
        <v>SPS1</v>
      </c>
      <c r="C2155" s="5" t="str">
        <f t="shared" si="2103"/>
        <v>CH</v>
      </c>
      <c r="D2155" t="s">
        <v>2284</v>
      </c>
      <c r="E2155" t="str">
        <f t="shared" si="210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2.7045649193361499E-5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N2155" s="1"/>
    </row>
    <row r="2156" spans="2:14" x14ac:dyDescent="0.35">
      <c r="B2156" s="5" t="str">
        <f t="shared" si="2102"/>
        <v>SPS1</v>
      </c>
      <c r="C2156" s="5" t="str">
        <f t="shared" si="2103"/>
        <v>CH</v>
      </c>
      <c r="D2156" t="s">
        <v>2285</v>
      </c>
      <c r="E2156" t="str">
        <f t="shared" si="210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N2156" s="1"/>
    </row>
    <row r="2157" spans="2:14" x14ac:dyDescent="0.35">
      <c r="B2157" s="5" t="str">
        <f t="shared" si="2102"/>
        <v>SPS1</v>
      </c>
      <c r="C2157" s="5" t="str">
        <f t="shared" si="2103"/>
        <v>CH</v>
      </c>
      <c r="D2157" t="s">
        <v>2286</v>
      </c>
      <c r="E2157" t="str">
        <f t="shared" si="210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N2157" s="1"/>
    </row>
    <row r="2158" spans="2:14" x14ac:dyDescent="0.35">
      <c r="B2158" s="5" t="str">
        <f t="shared" si="2102"/>
        <v>SPS1</v>
      </c>
      <c r="C2158" s="5" t="str">
        <f t="shared" si="2103"/>
        <v>CH</v>
      </c>
      <c r="D2158" t="s">
        <v>2287</v>
      </c>
      <c r="E2158" t="str">
        <f t="shared" si="210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N2158" s="1"/>
    </row>
    <row r="2159" spans="2:14" x14ac:dyDescent="0.35">
      <c r="B2159" s="5" t="str">
        <f t="shared" si="2102"/>
        <v>SPS1</v>
      </c>
      <c r="C2159" s="5" t="str">
        <f t="shared" si="2103"/>
        <v>CH</v>
      </c>
      <c r="D2159" t="s">
        <v>2288</v>
      </c>
      <c r="E2159" t="str">
        <f t="shared" si="210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N2159" s="1"/>
    </row>
    <row r="2160" spans="2:14" x14ac:dyDescent="0.35">
      <c r="B2160" s="5" t="str">
        <f t="shared" si="2102"/>
        <v>SPS1</v>
      </c>
      <c r="C2160" s="5" t="str">
        <f t="shared" si="2103"/>
        <v>CH</v>
      </c>
      <c r="D2160" t="s">
        <v>2289</v>
      </c>
      <c r="E2160" t="str">
        <f t="shared" si="210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N2160" s="1"/>
    </row>
    <row r="2161" spans="2:14" x14ac:dyDescent="0.35">
      <c r="B2161" s="5" t="str">
        <f t="shared" si="2102"/>
        <v>SPS1</v>
      </c>
      <c r="C2161" s="5" t="str">
        <f t="shared" si="2103"/>
        <v>CH</v>
      </c>
      <c r="D2161" t="s">
        <v>2290</v>
      </c>
      <c r="E2161" t="str">
        <f t="shared" si="210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5.8478934053234498E-6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N2161" s="1"/>
    </row>
    <row r="2162" spans="2:14" x14ac:dyDescent="0.35">
      <c r="B2162" s="5" t="str">
        <f t="shared" si="2102"/>
        <v>SPS1</v>
      </c>
      <c r="C2162" s="5" t="str">
        <f t="shared" si="2103"/>
        <v>CH</v>
      </c>
      <c r="D2162" t="s">
        <v>2291</v>
      </c>
      <c r="E2162" t="str">
        <f t="shared" si="210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7.7788232022684307E-6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N2162" s="1"/>
    </row>
    <row r="2163" spans="2:14" x14ac:dyDescent="0.35">
      <c r="B2163" s="5" t="str">
        <f t="shared" si="2102"/>
        <v>SPS1</v>
      </c>
      <c r="C2163" s="5" t="str">
        <f t="shared" si="2103"/>
        <v>CH</v>
      </c>
      <c r="D2163" t="s">
        <v>2292</v>
      </c>
      <c r="E2163" t="str">
        <f t="shared" si="210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9.4987830286254003E-6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N2163" s="1"/>
    </row>
    <row r="2164" spans="2:14" x14ac:dyDescent="0.35">
      <c r="B2164" s="5" t="str">
        <f t="shared" si="2102"/>
        <v>SPS1</v>
      </c>
      <c r="C2164" s="5" t="str">
        <f t="shared" si="2103"/>
        <v>CH</v>
      </c>
      <c r="D2164" t="s">
        <v>2293</v>
      </c>
      <c r="E2164" t="str">
        <f t="shared" si="210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9.5955532872410306E-6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N2164" s="1"/>
    </row>
    <row r="2165" spans="2:14" x14ac:dyDescent="0.35">
      <c r="B2165" s="5" t="str">
        <f>'SPS3'!B1953</f>
        <v>SPS1</v>
      </c>
      <c r="C2165" s="5" t="str">
        <f>'SPS3'!C1953</f>
        <v>CH</v>
      </c>
      <c r="D2165" s="2" t="s">
        <v>2294</v>
      </c>
      <c r="E2165" s="2" t="s">
        <v>1999</v>
      </c>
      <c r="F2165" s="3">
        <f t="shared" ref="F2165:K2165" si="2105">SUM(F2166:F2188)</f>
        <v>0</v>
      </c>
      <c r="G2165" s="3">
        <f t="shared" si="2105"/>
        <v>0.714102531705333</v>
      </c>
      <c r="H2165" s="3">
        <f t="shared" si="2105"/>
        <v>1.5539387975676742</v>
      </c>
      <c r="I2165" s="3">
        <f t="shared" si="2105"/>
        <v>5.7082829061510738</v>
      </c>
      <c r="J2165" s="3">
        <f t="shared" si="2105"/>
        <v>4.8690104919964448</v>
      </c>
      <c r="K2165" s="3">
        <f t="shared" si="2105"/>
        <v>2.2826041047289318</v>
      </c>
      <c r="L2165" s="3">
        <f t="shared" ref="L2165" si="2106">SUM(L2166:L2188)</f>
        <v>6.4607670678704254</v>
      </c>
      <c r="N2165" s="1"/>
    </row>
    <row r="2166" spans="2:14" x14ac:dyDescent="0.35">
      <c r="B2166" s="5" t="str">
        <f t="shared" ref="B2166:B2197" si="2107">B2165</f>
        <v>SPS1</v>
      </c>
      <c r="C2166" s="5" t="str">
        <f t="shared" ref="C2166:C2197" si="210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N2166" s="1"/>
    </row>
    <row r="2167" spans="2:14" x14ac:dyDescent="0.35">
      <c r="B2167" s="5" t="str">
        <f t="shared" si="2107"/>
        <v>SPS1</v>
      </c>
      <c r="C2167" s="5" t="str">
        <f t="shared" si="210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2.59918206277582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0.16745188571990202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1.22934798864868</v>
      </c>
      <c r="N2167" s="1"/>
    </row>
    <row r="2168" spans="2:14" x14ac:dyDescent="0.35">
      <c r="B2168" s="5" t="str">
        <f t="shared" si="2107"/>
        <v>SPS1</v>
      </c>
      <c r="C2168" s="5" t="str">
        <f t="shared" si="210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0.69798653505651598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0.10875337722205501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0.69138890683103593</v>
      </c>
      <c r="N2168" s="1"/>
    </row>
    <row r="2169" spans="2:14" x14ac:dyDescent="0.35">
      <c r="B2169" s="5" t="str">
        <f t="shared" si="2107"/>
        <v>SPS1</v>
      </c>
      <c r="C2169" s="5" t="str">
        <f t="shared" si="210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0.59203436132083598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1.8380486000012799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3.1204683811290801</v>
      </c>
      <c r="N2169" s="1"/>
    </row>
    <row r="2170" spans="2:14" x14ac:dyDescent="0.35">
      <c r="B2170" s="5" t="str">
        <f t="shared" si="2107"/>
        <v>SPS1</v>
      </c>
      <c r="C2170" s="5" t="str">
        <f t="shared" si="210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8.2923273946644603E-4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7.9815063654260407E-4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3.3373549445672403E-4</v>
      </c>
      <c r="N2170" s="1"/>
    </row>
    <row r="2171" spans="2:14" x14ac:dyDescent="0.35">
      <c r="B2171" s="5" t="str">
        <f t="shared" si="2107"/>
        <v>SPS1</v>
      </c>
      <c r="C2171" s="5" t="str">
        <f t="shared" si="210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4.5442717182707694E-5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N2171" s="1"/>
    </row>
    <row r="2172" spans="2:14" x14ac:dyDescent="0.35">
      <c r="B2172" s="5" t="str">
        <f t="shared" si="2107"/>
        <v>SPS1</v>
      </c>
      <c r="C2172" s="5" t="str">
        <f t="shared" si="210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N2172" s="1"/>
    </row>
    <row r="2173" spans="2:14" x14ac:dyDescent="0.35">
      <c r="B2173" s="5" t="str">
        <f t="shared" si="2107"/>
        <v>SPS1</v>
      </c>
      <c r="C2173" s="5" t="str">
        <f t="shared" si="210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N2173" s="1"/>
    </row>
    <row r="2174" spans="2:14" x14ac:dyDescent="0.35">
      <c r="B2174" s="5" t="str">
        <f t="shared" si="2107"/>
        <v>SPS1</v>
      </c>
      <c r="C2174" s="5" t="str">
        <f t="shared" si="210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N2174" s="1"/>
    </row>
    <row r="2175" spans="2:14" x14ac:dyDescent="0.35">
      <c r="B2175" s="5" t="str">
        <f t="shared" si="2107"/>
        <v>SPS1</v>
      </c>
      <c r="C2175" s="5" t="str">
        <f t="shared" si="210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4.8082918298693201E-3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1.01803336466106E-2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1.4173934964105701</v>
      </c>
      <c r="N2175" s="1"/>
    </row>
    <row r="2176" spans="2:14" x14ac:dyDescent="0.35">
      <c r="B2176" s="5" t="str">
        <f t="shared" si="2107"/>
        <v>SPS1</v>
      </c>
      <c r="C2176" s="5" t="str">
        <f t="shared" si="210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2.6803259878921599E-3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2.7972294777222602E-3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1.11975552666256E-3</v>
      </c>
      <c r="N2176" s="1"/>
    </row>
    <row r="2177" spans="2:14" x14ac:dyDescent="0.35">
      <c r="B2177" s="5" t="str">
        <f t="shared" si="2107"/>
        <v>SPS1</v>
      </c>
      <c r="C2177" s="5" t="str">
        <f t="shared" si="210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0.97124998992468492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0.15440886662689898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6.5615274632478899E-4</v>
      </c>
      <c r="N2177" s="1"/>
    </row>
    <row r="2178" spans="2:14" x14ac:dyDescent="0.35">
      <c r="B2178" s="5" t="str">
        <f t="shared" si="2107"/>
        <v>SPS1</v>
      </c>
      <c r="C2178" s="5" t="str">
        <f t="shared" si="210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1.6600437312213901E-4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1.38102461701058E-4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3.2986126042198602E-5</v>
      </c>
      <c r="N2178" s="1"/>
    </row>
    <row r="2179" spans="2:14" x14ac:dyDescent="0.35">
      <c r="B2179" s="5" t="str">
        <f t="shared" si="2107"/>
        <v>SPS1</v>
      </c>
      <c r="C2179" s="5" t="str">
        <f t="shared" si="210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N2179" s="1"/>
    </row>
    <row r="2180" spans="2:14" x14ac:dyDescent="0.35">
      <c r="B2180" s="5" t="str">
        <f t="shared" si="2107"/>
        <v>SPS1</v>
      </c>
      <c r="C2180" s="5" t="str">
        <f t="shared" si="210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1.0442346162218799E-5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1.11673880299889E-5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1.0393785624725399E-5</v>
      </c>
      <c r="N2180" s="1"/>
    </row>
    <row r="2181" spans="2:14" x14ac:dyDescent="0.35">
      <c r="B2181" s="5" t="str">
        <f t="shared" si="2107"/>
        <v>SPS1</v>
      </c>
      <c r="C2181" s="5" t="str">
        <f t="shared" si="210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N2181" s="1"/>
    </row>
    <row r="2182" spans="2:14" x14ac:dyDescent="0.35">
      <c r="B2182" s="5" t="str">
        <f t="shared" si="2107"/>
        <v>SPS1</v>
      </c>
      <c r="C2182" s="5" t="str">
        <f t="shared" si="210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N2182" s="1"/>
    </row>
    <row r="2183" spans="2:14" x14ac:dyDescent="0.35">
      <c r="B2183" s="5" t="str">
        <f t="shared" si="2107"/>
        <v>SPS1</v>
      </c>
      <c r="C2183" s="5" t="str">
        <f t="shared" si="210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N2183" s="1"/>
    </row>
    <row r="2184" spans="2:14" x14ac:dyDescent="0.35">
      <c r="B2184" s="5" t="str">
        <f t="shared" si="2107"/>
        <v>SPS1</v>
      </c>
      <c r="C2184" s="5" t="str">
        <f t="shared" si="210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N2184" s="1"/>
    </row>
    <row r="2185" spans="2:14" x14ac:dyDescent="0.35">
      <c r="B2185" s="5" t="str">
        <f t="shared" si="2107"/>
        <v>SPS1</v>
      </c>
      <c r="C2185" s="5" t="str">
        <f t="shared" si="210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1.7802924893103602E-5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1.6391548189814498E-5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1.52711719478188E-5</v>
      </c>
      <c r="N2185" s="1"/>
    </row>
    <row r="2186" spans="2:14" x14ac:dyDescent="0.35">
      <c r="B2186" s="5" t="str">
        <f t="shared" si="2107"/>
        <v>SPS1</v>
      </c>
      <c r="C2186" s="5" t="str">
        <f t="shared" si="210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N2186" s="1"/>
    </row>
    <row r="2187" spans="2:14" x14ac:dyDescent="0.35">
      <c r="B2187" s="5" t="str">
        <f t="shared" si="2107"/>
        <v>SPS1</v>
      </c>
      <c r="C2187" s="5" t="str">
        <f t="shared" si="210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N2187" s="1"/>
    </row>
    <row r="2188" spans="2:14" x14ac:dyDescent="0.35">
      <c r="B2188" s="5" t="str">
        <f t="shared" si="2107"/>
        <v>SPS1</v>
      </c>
      <c r="C2188" s="5" t="str">
        <f t="shared" si="210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N2188" s="1"/>
    </row>
    <row r="2189" spans="2:14" x14ac:dyDescent="0.35">
      <c r="B2189" s="5" t="str">
        <f t="shared" si="2107"/>
        <v>SPS1</v>
      </c>
      <c r="C2189" s="5" t="str">
        <f t="shared" si="2108"/>
        <v>CH</v>
      </c>
      <c r="D2189" s="2" t="s">
        <v>2318</v>
      </c>
      <c r="E2189" s="2" t="s">
        <v>1999</v>
      </c>
      <c r="F2189" s="3">
        <f t="shared" ref="F2189:K2189" si="2109">SUM(F2190:F2212)</f>
        <v>0</v>
      </c>
      <c r="G2189" s="3">
        <f t="shared" si="2109"/>
        <v>0.50834381466312573</v>
      </c>
      <c r="H2189" s="3">
        <f t="shared" si="2109"/>
        <v>0.36765097079572706</v>
      </c>
      <c r="I2189" s="3">
        <f t="shared" si="2109"/>
        <v>2.7433386000316005</v>
      </c>
      <c r="J2189" s="3">
        <f t="shared" si="2109"/>
        <v>1.3813675428911831</v>
      </c>
      <c r="K2189" s="3">
        <f t="shared" si="2109"/>
        <v>1.3490820722032333</v>
      </c>
      <c r="L2189" s="3">
        <f t="shared" ref="L2189" si="2110">SUM(L2190:L2212)</f>
        <v>2.1190770129221526</v>
      </c>
      <c r="N2189" s="1"/>
    </row>
    <row r="2190" spans="2:14" x14ac:dyDescent="0.35">
      <c r="B2190" s="5" t="str">
        <f t="shared" si="2107"/>
        <v>SPS1</v>
      </c>
      <c r="C2190" s="5" t="str">
        <f t="shared" si="210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N2190" s="1"/>
    </row>
    <row r="2191" spans="2:14" x14ac:dyDescent="0.35">
      <c r="B2191" s="5" t="str">
        <f t="shared" si="2107"/>
        <v>SPS1</v>
      </c>
      <c r="C2191" s="5" t="str">
        <f t="shared" si="210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1.1815126439166301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3.1226454865667799E-2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0.79030198419159703</v>
      </c>
      <c r="N2191" s="1"/>
    </row>
    <row r="2192" spans="2:14" x14ac:dyDescent="0.35">
      <c r="B2192" s="5" t="str">
        <f t="shared" si="2107"/>
        <v>SPS1</v>
      </c>
      <c r="C2192" s="5" t="str">
        <f t="shared" si="210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4.8024660047059402E-2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0.93892597953726897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0.71947924773252903</v>
      </c>
      <c r="N2192" s="1"/>
    </row>
    <row r="2193" spans="2:14" x14ac:dyDescent="0.35">
      <c r="B2193" s="5" t="str">
        <f t="shared" si="2107"/>
        <v>SPS1</v>
      </c>
      <c r="C2193" s="5" t="str">
        <f t="shared" si="210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5.2455249394042502E-3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1.6660243074153102E-2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0.19985815852001099</v>
      </c>
      <c r="N2193" s="1"/>
    </row>
    <row r="2194" spans="2:14" x14ac:dyDescent="0.35">
      <c r="B2194" s="5" t="str">
        <f t="shared" si="2107"/>
        <v>SPS1</v>
      </c>
      <c r="C2194" s="5" t="str">
        <f t="shared" si="210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6.3409087543138192E-4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7.21597034191967E-4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3.0174427149431602E-4</v>
      </c>
      <c r="N2194" s="1"/>
    </row>
    <row r="2195" spans="2:14" x14ac:dyDescent="0.35">
      <c r="B2195" s="5" t="str">
        <f t="shared" si="2107"/>
        <v>SPS1</v>
      </c>
      <c r="C2195" s="5" t="str">
        <f t="shared" si="210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3.0989415884682104E-5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N2195" s="1"/>
    </row>
    <row r="2196" spans="2:14" x14ac:dyDescent="0.35">
      <c r="B2196" s="5" t="str">
        <f t="shared" si="2107"/>
        <v>SPS1</v>
      </c>
      <c r="C2196" s="5" t="str">
        <f t="shared" si="210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1.63635302758018E-5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N2196" s="1"/>
    </row>
    <row r="2197" spans="2:14" x14ac:dyDescent="0.35">
      <c r="B2197" s="5" t="str">
        <f t="shared" si="2107"/>
        <v>SPS1</v>
      </c>
      <c r="C2197" s="5" t="str">
        <f t="shared" si="210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N2197" s="1"/>
    </row>
    <row r="2198" spans="2:14" x14ac:dyDescent="0.35">
      <c r="B2198" s="5" t="str">
        <f t="shared" ref="B2198:B2232" si="2111">B2197</f>
        <v>SPS1</v>
      </c>
      <c r="C2198" s="5" t="str">
        <f t="shared" ref="C2198:C2232" si="211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N2198" s="1"/>
    </row>
    <row r="2199" spans="2:14" x14ac:dyDescent="0.35">
      <c r="B2199" s="5" t="str">
        <f t="shared" si="2111"/>
        <v>SPS1</v>
      </c>
      <c r="C2199" s="5" t="str">
        <f t="shared" si="211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5.50399772985769E-3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0.18804099777830899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0.40578227390604099</v>
      </c>
      <c r="N2199" s="1"/>
    </row>
    <row r="2200" spans="2:14" x14ac:dyDescent="0.35">
      <c r="B2200" s="5" t="str">
        <f t="shared" si="2111"/>
        <v>SPS1</v>
      </c>
      <c r="C2200" s="5" t="str">
        <f t="shared" si="211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5.1866154991209404E-2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1.5997006012844199E-2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2.1859295782401199E-3</v>
      </c>
      <c r="N2200" s="1"/>
    </row>
    <row r="2201" spans="2:14" x14ac:dyDescent="0.35">
      <c r="B2201" s="5" t="str">
        <f t="shared" si="2111"/>
        <v>SPS1</v>
      </c>
      <c r="C2201" s="5" t="str">
        <f t="shared" si="211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8.8341438674795797E-2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0.1573091063907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1.10584018267909E-3</v>
      </c>
      <c r="N2201" s="1"/>
    </row>
    <row r="2202" spans="2:14" x14ac:dyDescent="0.35">
      <c r="B2202" s="5" t="str">
        <f t="shared" si="2111"/>
        <v>SPS1</v>
      </c>
      <c r="C2202" s="5" t="str">
        <f t="shared" si="211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1.9167877063447399E-4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2.0068751009823802E-4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6.1834539561559594E-5</v>
      </c>
      <c r="N2202" s="1"/>
    </row>
    <row r="2203" spans="2:14" x14ac:dyDescent="0.35">
      <c r="B2203" s="5" t="str">
        <f t="shared" si="2111"/>
        <v>SPS1</v>
      </c>
      <c r="C2203" s="5" t="str">
        <f t="shared" si="211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N2203" s="1"/>
    </row>
    <row r="2204" spans="2:14" x14ac:dyDescent="0.35">
      <c r="B2204" s="5" t="str">
        <f t="shared" si="2111"/>
        <v>SPS1</v>
      </c>
      <c r="C2204" s="5" t="str">
        <f t="shared" si="211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N2204" s="1"/>
    </row>
    <row r="2205" spans="2:14" x14ac:dyDescent="0.35">
      <c r="B2205" s="5" t="str">
        <f t="shared" si="2111"/>
        <v>SPS1</v>
      </c>
      <c r="C2205" s="5" t="str">
        <f t="shared" si="211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N2205" s="1"/>
    </row>
    <row r="2206" spans="2:14" x14ac:dyDescent="0.35">
      <c r="B2206" s="5" t="str">
        <f t="shared" si="2111"/>
        <v>SPS1</v>
      </c>
      <c r="C2206" s="5" t="str">
        <f t="shared" si="211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N2206" s="1"/>
    </row>
    <row r="2207" spans="2:14" x14ac:dyDescent="0.35">
      <c r="B2207" s="5" t="str">
        <f t="shared" si="2111"/>
        <v>SPS1</v>
      </c>
      <c r="C2207" s="5" t="str">
        <f t="shared" si="211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N2207" s="1"/>
    </row>
    <row r="2208" spans="2:14" x14ac:dyDescent="0.35">
      <c r="B2208" s="5" t="str">
        <f t="shared" si="2111"/>
        <v>SPS1</v>
      </c>
      <c r="C2208" s="5" t="str">
        <f t="shared" si="211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N2208" s="1"/>
    </row>
    <row r="2209" spans="2:14" x14ac:dyDescent="0.35">
      <c r="B2209" s="5" t="str">
        <f t="shared" si="2111"/>
        <v>SPS1</v>
      </c>
      <c r="C2209" s="5" t="str">
        <f t="shared" si="211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N2209" s="1"/>
    </row>
    <row r="2210" spans="2:14" x14ac:dyDescent="0.35">
      <c r="B2210" s="5" t="str">
        <f t="shared" si="2111"/>
        <v>SPS1</v>
      </c>
      <c r="C2210" s="5" t="str">
        <f t="shared" si="211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N2210" s="1"/>
    </row>
    <row r="2211" spans="2:14" x14ac:dyDescent="0.35">
      <c r="B2211" s="5" t="str">
        <f t="shared" si="2111"/>
        <v>SPS1</v>
      </c>
      <c r="C2211" s="5" t="str">
        <f t="shared" si="211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N2211" s="1"/>
    </row>
    <row r="2212" spans="2:14" x14ac:dyDescent="0.35">
      <c r="B2212" s="5" t="str">
        <f t="shared" si="2111"/>
        <v>SPS1</v>
      </c>
      <c r="C2212" s="5" t="str">
        <f t="shared" si="211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N2212" s="1"/>
    </row>
    <row r="2213" spans="2:14" x14ac:dyDescent="0.35">
      <c r="B2213" s="5" t="str">
        <f t="shared" si="2111"/>
        <v>SPS1</v>
      </c>
      <c r="C2213" s="5" t="str">
        <f t="shared" si="2112"/>
        <v>CH</v>
      </c>
      <c r="D2213" s="2" t="s">
        <v>2342</v>
      </c>
      <c r="E2213" s="2" t="s">
        <v>1999</v>
      </c>
      <c r="F2213" s="3">
        <f t="shared" ref="F2213:K2213" si="2113">SUM(F2214:F2222)</f>
        <v>3.5996499545842801E-5</v>
      </c>
      <c r="G2213" s="3">
        <f t="shared" si="2113"/>
        <v>22.187883949428592</v>
      </c>
      <c r="H2213" s="3">
        <f t="shared" si="2113"/>
        <v>63.134653465030539</v>
      </c>
      <c r="I2213" s="3">
        <f t="shared" si="2113"/>
        <v>166.45337021009328</v>
      </c>
      <c r="J2213" s="3">
        <f t="shared" si="2113"/>
        <v>244.12734559700428</v>
      </c>
      <c r="K2213" s="3">
        <f t="shared" si="2113"/>
        <v>193.27187738828647</v>
      </c>
      <c r="L2213" s="3">
        <f t="shared" ref="L2213" si="2114">SUM(L2214:L2222)</f>
        <v>364.07108012445235</v>
      </c>
      <c r="N2213" s="1"/>
    </row>
    <row r="2214" spans="2:14" x14ac:dyDescent="0.35">
      <c r="B2214" s="5" t="str">
        <f t="shared" si="2111"/>
        <v>SPS1</v>
      </c>
      <c r="C2214" s="5" t="str">
        <f t="shared" si="211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N2214" s="1"/>
    </row>
    <row r="2215" spans="2:14" x14ac:dyDescent="0.35">
      <c r="B2215" s="5" t="str">
        <f t="shared" si="2111"/>
        <v>SPS1</v>
      </c>
      <c r="C2215" s="5" t="str">
        <f t="shared" si="211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177.861987312032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193.162377209574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326.28226595578002</v>
      </c>
      <c r="N2215" s="1"/>
    </row>
    <row r="2216" spans="2:14" x14ac:dyDescent="0.35">
      <c r="B2216" s="5" t="str">
        <f t="shared" si="2111"/>
        <v>SPS1</v>
      </c>
      <c r="C2216" s="5" t="str">
        <f t="shared" si="211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1.9186010999530399E-4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1.5729321132321099E-4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2.9228208172023696E-4</v>
      </c>
      <c r="N2216" s="1"/>
    </row>
    <row r="2217" spans="2:14" x14ac:dyDescent="0.35">
      <c r="B2217" s="5" t="str">
        <f t="shared" si="2111"/>
        <v>SPS1</v>
      </c>
      <c r="C2217" s="5" t="str">
        <f t="shared" si="211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N2217" s="1"/>
    </row>
    <row r="2218" spans="2:14" x14ac:dyDescent="0.35">
      <c r="B2218" s="5" t="str">
        <f t="shared" si="2111"/>
        <v>SPS1</v>
      </c>
      <c r="C2218" s="5" t="str">
        <f t="shared" si="211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4.85063501539151E-2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6.5376172826209196E-3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N2218" s="1"/>
    </row>
    <row r="2219" spans="2:14" x14ac:dyDescent="0.35">
      <c r="B2219" s="5" t="str">
        <f t="shared" si="2111"/>
        <v>SPS1</v>
      </c>
      <c r="C2219" s="5" t="str">
        <f t="shared" si="211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N2219" s="1"/>
    </row>
    <row r="2220" spans="2:14" x14ac:dyDescent="0.35">
      <c r="B2220" s="5" t="str">
        <f t="shared" si="2111"/>
        <v>SPS1</v>
      </c>
      <c r="C2220" s="5" t="str">
        <f t="shared" si="211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0.105666902458533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2.7559441213658699E-2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1.3486756464635E-2</v>
      </c>
      <c r="N2220" s="1"/>
    </row>
    <row r="2221" spans="2:14" x14ac:dyDescent="0.35">
      <c r="B2221" s="5" t="str">
        <f t="shared" si="2111"/>
        <v>SPS1</v>
      </c>
      <c r="C2221" s="5" t="str">
        <f t="shared" si="211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66.107986249005506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7.3580799710765199E-2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37.772275807205496</v>
      </c>
      <c r="N2221" s="1"/>
    </row>
    <row r="2222" spans="2:14" x14ac:dyDescent="0.35">
      <c r="B2222" s="5" t="str">
        <f t="shared" si="2111"/>
        <v>SPS1</v>
      </c>
      <c r="C2222" s="5" t="str">
        <f t="shared" si="211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3.0069232443251199E-3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1.66502729411597E-3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2.7593229204136102E-3</v>
      </c>
      <c r="N2222" s="1"/>
    </row>
    <row r="2223" spans="2:14" x14ac:dyDescent="0.35">
      <c r="B2223" s="5" t="str">
        <f t="shared" si="2111"/>
        <v>SPS1</v>
      </c>
      <c r="C2223" s="5" t="str">
        <f t="shared" si="2112"/>
        <v>CH</v>
      </c>
      <c r="D2223" s="2" t="s">
        <v>2352</v>
      </c>
      <c r="E2223" s="2" t="s">
        <v>1999</v>
      </c>
      <c r="F2223" s="3">
        <f t="shared" ref="F2223:K2223" si="2115">SUM(F2224:F2232)</f>
        <v>0</v>
      </c>
      <c r="G2223" s="3">
        <f t="shared" si="2115"/>
        <v>2.748424571732087</v>
      </c>
      <c r="H2223" s="3">
        <f t="shared" si="2115"/>
        <v>10.082894854809144</v>
      </c>
      <c r="I2223" s="3">
        <f t="shared" si="2115"/>
        <v>26.195122105126561</v>
      </c>
      <c r="J2223" s="3">
        <f t="shared" si="2115"/>
        <v>40.475629941084151</v>
      </c>
      <c r="K2223" s="3">
        <f t="shared" si="2115"/>
        <v>21.597067698474618</v>
      </c>
      <c r="L2223" s="3">
        <f t="shared" ref="L2223" si="2116">SUM(L2224:L2232)</f>
        <v>49.234693823687003</v>
      </c>
      <c r="M2223" s="3"/>
      <c r="N2223" s="1"/>
    </row>
    <row r="2224" spans="2:14" x14ac:dyDescent="0.35">
      <c r="B2224" s="5" t="str">
        <f t="shared" si="2111"/>
        <v>SPS1</v>
      </c>
      <c r="C2224" s="5" t="str">
        <f t="shared" si="211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N2224" s="1"/>
    </row>
    <row r="2225" spans="2:14" x14ac:dyDescent="0.35">
      <c r="B2225" s="5" t="str">
        <f t="shared" si="2111"/>
        <v>SPS1</v>
      </c>
      <c r="C2225" s="5" t="str">
        <f t="shared" si="211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1.0015364093774799E-2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1.1158760975077599E-2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46.026777578039102</v>
      </c>
      <c r="N2225" s="1"/>
    </row>
    <row r="2226" spans="2:14" x14ac:dyDescent="0.35">
      <c r="B2226" s="5" t="str">
        <f t="shared" si="2111"/>
        <v>SPS1</v>
      </c>
      <c r="C2226" s="5" t="str">
        <f t="shared" si="211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3.1948267466189097E-4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6.2769227960622501E-4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7.1152297431546394E-4</v>
      </c>
      <c r="N2226" s="1"/>
    </row>
    <row r="2227" spans="2:14" x14ac:dyDescent="0.35">
      <c r="B2227" s="5" t="str">
        <f t="shared" si="2111"/>
        <v>SPS1</v>
      </c>
      <c r="C2227" s="5" t="str">
        <f t="shared" si="211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N2227" s="1"/>
    </row>
    <row r="2228" spans="2:14" x14ac:dyDescent="0.35">
      <c r="B2228" s="5" t="str">
        <f t="shared" si="2111"/>
        <v>SPS1</v>
      </c>
      <c r="C2228" s="5" t="str">
        <f t="shared" si="211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N2228" s="1"/>
    </row>
    <row r="2229" spans="2:14" x14ac:dyDescent="0.35">
      <c r="B2229" s="5" t="str">
        <f t="shared" si="2111"/>
        <v>SPS1</v>
      </c>
      <c r="C2229" s="5" t="str">
        <f t="shared" si="211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N2229" s="1"/>
    </row>
    <row r="2230" spans="2:14" x14ac:dyDescent="0.35">
      <c r="B2230" s="5" t="str">
        <f t="shared" si="2111"/>
        <v>SPS1</v>
      </c>
      <c r="C2230" s="5" t="str">
        <f t="shared" si="211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6.2525149784625903E-3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4.3370395060256597E-3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7.0448098195824503E-4</v>
      </c>
      <c r="N2230" s="1"/>
    </row>
    <row r="2231" spans="2:14" x14ac:dyDescent="0.35">
      <c r="B2231" s="5" t="str">
        <f t="shared" si="2111"/>
        <v>SPS1</v>
      </c>
      <c r="C2231" s="5" t="str">
        <f t="shared" si="211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40.455937296612007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21.579185765387699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3.2029466895312702</v>
      </c>
      <c r="N2231" s="1"/>
    </row>
    <row r="2232" spans="2:14" x14ac:dyDescent="0.35">
      <c r="B2232" s="5" t="str">
        <f t="shared" si="2111"/>
        <v>SPS1</v>
      </c>
      <c r="C2232" s="5" t="str">
        <f t="shared" si="211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3.1052827252405399E-3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1.7584403262114699E-3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3.5535521603608702E-3</v>
      </c>
      <c r="N2232" s="1"/>
    </row>
    <row r="2233" spans="2:14" x14ac:dyDescent="0.35">
      <c r="B2233" s="5" t="str">
        <f>'SPS3'!B1822</f>
        <v>SPS1</v>
      </c>
      <c r="C2233" s="5" t="str">
        <f>'SPS3'!C1822</f>
        <v>CH</v>
      </c>
      <c r="D2233" s="2" t="s">
        <v>2367</v>
      </c>
      <c r="E2233" s="2" t="s">
        <v>1858</v>
      </c>
      <c r="F2233" s="3">
        <f t="shared" ref="F2233:K2233" si="2117">SUM(F2234,F2253)</f>
        <v>6.6173166700559218E-5</v>
      </c>
      <c r="G2233" s="3">
        <f t="shared" si="2117"/>
        <v>0.72234441961498708</v>
      </c>
      <c r="H2233" s="3">
        <f t="shared" si="2117"/>
        <v>1.6519529817664553</v>
      </c>
      <c r="I2233" s="3">
        <f t="shared" si="2117"/>
        <v>1.7053540349994498</v>
      </c>
      <c r="J2233" s="3">
        <f t="shared" si="2117"/>
        <v>2.8214636142559302</v>
      </c>
      <c r="K2233" s="3">
        <f t="shared" si="2117"/>
        <v>3.9115666534639466</v>
      </c>
      <c r="L2233" s="3">
        <f t="shared" ref="L2233" si="2118">SUM(L2234,L2253)</f>
        <v>3.428527111694792</v>
      </c>
      <c r="N2233" s="1"/>
    </row>
    <row r="2234" spans="2:14" x14ac:dyDescent="0.35">
      <c r="B2234" s="5" t="str">
        <f>'SPS3'!B1822</f>
        <v>SPS1</v>
      </c>
      <c r="C2234" s="5" t="str">
        <f>'SPS3'!C1822</f>
        <v>CH</v>
      </c>
      <c r="D2234" t="s">
        <v>2368</v>
      </c>
      <c r="E2234" t="str">
        <f>E2233</f>
        <v>GWth/yr.</v>
      </c>
      <c r="F2234" s="1">
        <f t="shared" ref="F2234:K2234" si="2119">SUM(F2235,F2238,F2240,F2243,F2245,F2247,F2249,F2251)</f>
        <v>4.3708693814688274E-5</v>
      </c>
      <c r="G2234" s="1">
        <f t="shared" si="2119"/>
        <v>0.56415737816151801</v>
      </c>
      <c r="H2234" s="1">
        <f t="shared" si="2119"/>
        <v>1.4546536047867697</v>
      </c>
      <c r="I2234" s="1">
        <f t="shared" si="2119"/>
        <v>1.3281709317634558</v>
      </c>
      <c r="J2234" s="1">
        <f t="shared" si="2119"/>
        <v>2.0153650425247904</v>
      </c>
      <c r="K2234" s="1">
        <f t="shared" si="2119"/>
        <v>2.9899433713840651</v>
      </c>
      <c r="L2234" s="1">
        <f t="shared" ref="L2234" si="2120">SUM(L2235,L2238,L2240,L2243,L2245,L2247,L2249,L2251)</f>
        <v>2.2709257887566405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1">SUM(F2236:F2237)</f>
        <v>3.052259025840196E-6</v>
      </c>
      <c r="G2235" s="1">
        <f t="shared" si="2121"/>
        <v>0.27135435386403151</v>
      </c>
      <c r="H2235" s="1">
        <f t="shared" si="2121"/>
        <v>0.99853685846934037</v>
      </c>
      <c r="I2235" s="1">
        <f t="shared" si="2121"/>
        <v>1.1648709816860394</v>
      </c>
      <c r="J2235" s="1">
        <f t="shared" si="2121"/>
        <v>1.6116209195722679</v>
      </c>
      <c r="K2235" s="1">
        <f t="shared" si="2121"/>
        <v>2.1890476236810583</v>
      </c>
      <c r="L2235" s="1">
        <f t="shared" ref="L2235" si="2122">SUM(L2236:L2237)</f>
        <v>2.0487253975233828</v>
      </c>
      <c r="N2235" s="1"/>
    </row>
    <row r="2236" spans="2:14" x14ac:dyDescent="0.35">
      <c r="B2236" s="5" t="str">
        <f t="shared" ref="B2236:B2267" si="2123">B2235</f>
        <v>SPS1</v>
      </c>
      <c r="C2236" s="5" t="str">
        <f t="shared" ref="C2236:C2267" si="2124">C2235</f>
        <v>CH</v>
      </c>
      <c r="D2236" t="s">
        <v>2370</v>
      </c>
      <c r="E2236" t="str">
        <f t="shared" ref="E2236:E2267" si="212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SUMPRODUCT(([1]OUT_FinalEnergyCons!$B$4:$B$10000="var_ncap")*1,(ISNUMBER(SEARCH("RH*-SHELCBR",[1]OUT_FinalEnergyCons!$A$4:$A$10000)))*1,[1]OUT_FinalEnergyCons!H$4:H$10000)</f>
        <v>4.7852420006002363E-3</v>
      </c>
      <c r="K2236" s="1" cm="1">
        <f t="array" ref="K2236">SUMPRODUCT(([1]OUT_FinalEnergyCons!$B$4:$B$10000="var_ncap")*1,(ISNUMBER(SEARCH("RH*-SHELCBR",[1]OUT_FinalEnergyCons!$A$4:$A$10000)))*1,[1]OUT_FinalEnergyCons!I$4:I$10000)</f>
        <v>4.1275240443124799E-4</v>
      </c>
      <c r="L2236" s="1" cm="1">
        <f t="array" ref="L2236">SUMPRODUCT(([1]OUT_FinalEnergyCons!$B$4:$B$10000="var_ncap")*1,(ISNUMBER(SEARCH("RH*-SHELCBR",[1]OUT_FinalEnergyCons!$A$4:$A$10000)))*1,[1]OUT_FinalEnergyCons!J$4:J$10000)</f>
        <v>4.94452086253351E-6</v>
      </c>
      <c r="N2236" s="1"/>
    </row>
    <row r="2237" spans="2:14" x14ac:dyDescent="0.35">
      <c r="B2237" s="5" t="str">
        <f t="shared" si="2123"/>
        <v>SPS1</v>
      </c>
      <c r="C2237" s="5" t="str">
        <f t="shared" si="2124"/>
        <v>CH</v>
      </c>
      <c r="D2237" t="s">
        <v>2371</v>
      </c>
      <c r="E2237" t="str">
        <f t="shared" si="212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SUMPRODUCT(([1]OUT_FinalEnergyCons!$B$4:$B$10000="var_ncap")*1,ISNUMBER(SEARCH("RH*-SHELCHP",[1]OUT_FinalEnergyCons!$A$4:$A$10000))*1,[1]OUT_FinalEnergyCons!H$4:H$10000)</f>
        <v>1.6068356775716677</v>
      </c>
      <c r="K2237" s="1" cm="1">
        <f t="array" ref="K2237">SUMPRODUCT(([1]OUT_FinalEnergyCons!$B$4:$B$10000="var_ncap")*1,ISNUMBER(SEARCH("RH*-SHELCHP",[1]OUT_FinalEnergyCons!$A$4:$A$10000))*1,[1]OUT_FinalEnergyCons!I$4:I$10000)</f>
        <v>2.1886348712766273</v>
      </c>
      <c r="L2237" s="1" cm="1">
        <f t="array" ref="L2237">SUMPRODUCT(([1]OUT_FinalEnergyCons!$B$4:$B$10000="var_ncap")*1,ISNUMBER(SEARCH("RH*-SHELCHP",[1]OUT_FinalEnergyCons!$A$4:$A$10000))*1,[1]OUT_FinalEnergyCons!J$4:J$10000)</f>
        <v>2.0487204530025203</v>
      </c>
      <c r="N2237" s="1"/>
    </row>
    <row r="2238" spans="2:14" x14ac:dyDescent="0.35">
      <c r="B2238" s="5" t="str">
        <f t="shared" si="2123"/>
        <v>SPS1</v>
      </c>
      <c r="C2238" s="5" t="str">
        <f t="shared" si="2124"/>
        <v>CH</v>
      </c>
      <c r="D2238" t="s">
        <v>2372</v>
      </c>
      <c r="E2238" t="str">
        <f t="shared" si="2125"/>
        <v>GWth/yr.</v>
      </c>
      <c r="F2238" s="1">
        <f t="shared" ref="F2238:L2238" si="2126">F2239</f>
        <v>0</v>
      </c>
      <c r="G2238" s="1">
        <f t="shared" si="2126"/>
        <v>7.9887420814087558E-5</v>
      </c>
      <c r="H2238" s="1">
        <f t="shared" si="2126"/>
        <v>3.8447676658650759E-2</v>
      </c>
      <c r="I2238" s="1">
        <f t="shared" si="2126"/>
        <v>1.0515923657831531E-6</v>
      </c>
      <c r="J2238" s="1">
        <f t="shared" si="2126"/>
        <v>3.1326737313161407E-2</v>
      </c>
      <c r="K2238" s="1">
        <f t="shared" si="2126"/>
        <v>0.14825171144862451</v>
      </c>
      <c r="L2238" s="1">
        <f t="shared" si="2126"/>
        <v>3.9646694865946703E-7</v>
      </c>
      <c r="N2238" s="1"/>
    </row>
    <row r="2239" spans="2:14" x14ac:dyDescent="0.35">
      <c r="B2239" s="5" t="str">
        <f t="shared" si="2123"/>
        <v>SPS1</v>
      </c>
      <c r="C2239" s="5" t="str">
        <f t="shared" si="2124"/>
        <v>CH</v>
      </c>
      <c r="D2239" t="s">
        <v>2373</v>
      </c>
      <c r="E2239" t="str">
        <f t="shared" si="212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SUMPRODUCT(([1]OUT_FinalEnergyCons!$B$4:$B$10000="var_ncap")*1, (ISNUMBER(SEARCH("RH*-SHLFOBR",[1]OUT_FinalEnergyCons!$A$4:$A$10000)))*1,[1]OUT_FinalEnergyCons!H$4:H$10000)</f>
        <v>3.1326737313161407E-2</v>
      </c>
      <c r="K2239" s="1" cm="1">
        <f t="array" ref="K2239">SUMPRODUCT(([1]OUT_FinalEnergyCons!$B$4:$B$10000="var_ncap")*1, (ISNUMBER(SEARCH("RH*-SHLFOBR",[1]OUT_FinalEnergyCons!$A$4:$A$10000)))*1,[1]OUT_FinalEnergyCons!I$4:I$10000)</f>
        <v>0.14825171144862451</v>
      </c>
      <c r="L2239" s="1" cm="1">
        <f t="array" ref="L2239">SUMPRODUCT(([1]OUT_FinalEnergyCons!$B$4:$B$10000="var_ncap")*1, (ISNUMBER(SEARCH("RH*-SHLFOBR",[1]OUT_FinalEnergyCons!$A$4:$A$10000)))*1,[1]OUT_FinalEnergyCons!J$4:J$10000)</f>
        <v>3.9646694865946703E-7</v>
      </c>
      <c r="N2239" s="1"/>
    </row>
    <row r="2240" spans="2:14" x14ac:dyDescent="0.35">
      <c r="B2240" s="5" t="str">
        <f t="shared" si="2123"/>
        <v>SPS1</v>
      </c>
      <c r="C2240" s="5" t="str">
        <f t="shared" si="2124"/>
        <v>CH</v>
      </c>
      <c r="D2240" t="s">
        <v>2374</v>
      </c>
      <c r="E2240" t="str">
        <f t="shared" si="2125"/>
        <v>GWth/yr.</v>
      </c>
      <c r="F2240" s="1">
        <f t="shared" ref="F2240:K2240" si="2127">SUM(F2241:F2242)</f>
        <v>2.5228321053852198E-7</v>
      </c>
      <c r="G2240" s="1">
        <f t="shared" si="2127"/>
        <v>0.1735394234343518</v>
      </c>
      <c r="H2240" s="1">
        <f t="shared" si="2127"/>
        <v>0.41764392889221907</v>
      </c>
      <c r="I2240" s="1">
        <f t="shared" si="2127"/>
        <v>0.16324370646659467</v>
      </c>
      <c r="J2240" s="1">
        <f t="shared" si="2127"/>
        <v>0.13324038302239982</v>
      </c>
      <c r="K2240" s="1">
        <f t="shared" si="2127"/>
        <v>0.57627991248341792</v>
      </c>
      <c r="L2240" s="1">
        <f t="shared" ref="L2240" si="2128">SUM(L2241:L2242)</f>
        <v>0.22044983428700898</v>
      </c>
      <c r="N2240" s="1"/>
    </row>
    <row r="2241" spans="2:14" x14ac:dyDescent="0.35">
      <c r="B2241" s="5" t="str">
        <f t="shared" si="2123"/>
        <v>SPS1</v>
      </c>
      <c r="C2241" s="5" t="str">
        <f t="shared" si="2124"/>
        <v>CH</v>
      </c>
      <c r="D2241" t="s">
        <v>2375</v>
      </c>
      <c r="E2241" t="str">
        <f t="shared" si="212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SUMPRODUCT(([1]OUT_FinalEnergyCons!$B$4:$B$10000="var_ncap")*1, (ISNUMBER(SEARCH("RH*-SHNGABR",[1]OUT_FinalEnergyCons!$A$4:$A$10000)))*1,[1]OUT_FinalEnergyCons!H$4:H$10000)</f>
        <v>5.2387770028532503E-2</v>
      </c>
      <c r="K2241" s="1" cm="1">
        <f t="array" ref="K2241">SUMPRODUCT(([1]OUT_FinalEnergyCons!$B$4:$B$10000="var_ncap")*1, (ISNUMBER(SEARCH("RH*-SHNGABR",[1]OUT_FinalEnergyCons!$A$4:$A$10000)))*1,[1]OUT_FinalEnergyCons!I$4:I$10000)</f>
        <v>0.21335229786665938</v>
      </c>
      <c r="L2241" s="1" cm="1">
        <f t="array" ref="L2241">SUMPRODUCT(([1]OUT_FinalEnergyCons!$B$4:$B$10000="var_ncap")*1, (ISNUMBER(SEARCH("RH*-SHNGABR",[1]OUT_FinalEnergyCons!$A$4:$A$10000)))*1,[1]OUT_FinalEnergyCons!J$4:J$10000)</f>
        <v>3.5101371963947638E-6</v>
      </c>
      <c r="N2241" s="1"/>
    </row>
    <row r="2242" spans="2:14" x14ac:dyDescent="0.35">
      <c r="B2242" s="5" t="str">
        <f t="shared" si="2123"/>
        <v>SPS1</v>
      </c>
      <c r="C2242" s="5" t="str">
        <f t="shared" si="2124"/>
        <v>CH</v>
      </c>
      <c r="D2242" t="s">
        <v>2376</v>
      </c>
      <c r="E2242" t="str">
        <f t="shared" si="212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SUMPRODUCT(([1]OUT_FinalEnergyCons!$B$4:$B$10000="var_ncap")*1,ISNUMBER(SEARCH("RH*-SHngahp",[1]OUT_FinalEnergyCons!$A$4:$A$10000))*1,[1]OUT_FinalEnergyCons!H$4:H$10000)</f>
        <v>8.0852612993867326E-2</v>
      </c>
      <c r="K2242" s="1" cm="1">
        <f t="array" ref="K2242">SUMPRODUCT(([1]OUT_FinalEnergyCons!$B$4:$B$10000="var_ncap")*1,ISNUMBER(SEARCH("RH*-SHngahp",[1]OUT_FinalEnergyCons!$A$4:$A$10000))*1,[1]OUT_FinalEnergyCons!I$4:I$10000)</f>
        <v>0.36292761461675849</v>
      </c>
      <c r="L2242" s="1" cm="1">
        <f t="array" ref="L2242">SUMPRODUCT(([1]OUT_FinalEnergyCons!$B$4:$B$10000="var_ncap")*1,ISNUMBER(SEARCH("RH*-SHngahp",[1]OUT_FinalEnergyCons!$A$4:$A$10000))*1,[1]OUT_FinalEnergyCons!J$4:J$10000)</f>
        <v>0.22044632414981258</v>
      </c>
      <c r="N2242" s="1"/>
    </row>
    <row r="2243" spans="2:14" x14ac:dyDescent="0.35">
      <c r="B2243" s="5" t="str">
        <f t="shared" si="2123"/>
        <v>SPS1</v>
      </c>
      <c r="C2243" s="5" t="str">
        <f t="shared" si="2124"/>
        <v>CH</v>
      </c>
      <c r="D2243" t="s">
        <v>2377</v>
      </c>
      <c r="E2243" t="str">
        <f t="shared" si="2125"/>
        <v>GWth/yr.</v>
      </c>
      <c r="F2243" s="1">
        <f t="shared" ref="F2243:L2243" si="2129">F2244</f>
        <v>0</v>
      </c>
      <c r="G2243" s="1">
        <f t="shared" si="2129"/>
        <v>0</v>
      </c>
      <c r="H2243" s="1">
        <f t="shared" si="2129"/>
        <v>0</v>
      </c>
      <c r="I2243" s="1">
        <f t="shared" si="2129"/>
        <v>0</v>
      </c>
      <c r="J2243" s="1">
        <f t="shared" si="2129"/>
        <v>0</v>
      </c>
      <c r="K2243" s="1">
        <f t="shared" si="2129"/>
        <v>0</v>
      </c>
      <c r="L2243" s="1">
        <f t="shared" si="2129"/>
        <v>0</v>
      </c>
      <c r="N2243" s="1"/>
    </row>
    <row r="2244" spans="2:14" x14ac:dyDescent="0.35">
      <c r="B2244" s="5" t="str">
        <f t="shared" si="2123"/>
        <v>SPS1</v>
      </c>
      <c r="C2244" s="5" t="str">
        <f t="shared" si="2124"/>
        <v>CH</v>
      </c>
      <c r="D2244" t="s">
        <v>2378</v>
      </c>
      <c r="E2244" t="str">
        <f t="shared" si="212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N2244" s="1"/>
    </row>
    <row r="2245" spans="2:14" x14ac:dyDescent="0.35">
      <c r="B2245" s="5" t="str">
        <f t="shared" si="2123"/>
        <v>SPS1</v>
      </c>
      <c r="C2245" s="5" t="str">
        <f t="shared" si="2124"/>
        <v>CH</v>
      </c>
      <c r="D2245" t="s">
        <v>2379</v>
      </c>
      <c r="E2245" t="str">
        <f t="shared" si="2125"/>
        <v>GWth/yr.</v>
      </c>
      <c r="F2245" s="1">
        <f t="shared" ref="F2245:L2245" si="2130">F2246</f>
        <v>1.4094596715811501E-6</v>
      </c>
      <c r="G2245" s="1">
        <f t="shared" si="2130"/>
        <v>6.0431678725202539E-2</v>
      </c>
      <c r="H2245" s="1">
        <f t="shared" si="2130"/>
        <v>5.5158260241497979E-6</v>
      </c>
      <c r="I2245" s="1">
        <f t="shared" si="2130"/>
        <v>2.0885883454746609E-6</v>
      </c>
      <c r="J2245" s="1">
        <f t="shared" si="2130"/>
        <v>0.23780701250611708</v>
      </c>
      <c r="K2245" s="1">
        <f t="shared" si="2130"/>
        <v>6.41590975465509E-2</v>
      </c>
      <c r="L2245" s="1">
        <f t="shared" si="2130"/>
        <v>4.6404794979950794E-7</v>
      </c>
      <c r="N2245" s="1"/>
    </row>
    <row r="2246" spans="2:14" x14ac:dyDescent="0.35">
      <c r="B2246" s="5" t="str">
        <f t="shared" si="2123"/>
        <v>SPS1</v>
      </c>
      <c r="C2246" s="5" t="str">
        <f t="shared" si="2124"/>
        <v>CH</v>
      </c>
      <c r="D2246" t="s">
        <v>2380</v>
      </c>
      <c r="E2246" t="str">
        <f t="shared" si="212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SUMPRODUCT(([1]OUT_FinalEnergyCons!$B$4:$B$10000="var_ncap")*1, (ISNUMBER(SEARCH("RH*-SHWODBR",[1]OUT_FinalEnergyCons!$A$4:$A$10000)))*1,[1]OUT_FinalEnergyCons!H$4:H$10000)</f>
        <v>0.23780701250611708</v>
      </c>
      <c r="K2246" s="1" cm="1">
        <f t="array" ref="K2246">SUMPRODUCT(([1]OUT_FinalEnergyCons!$B$4:$B$10000="var_ncap")*1, (ISNUMBER(SEARCH("RH*-SHWODBR",[1]OUT_FinalEnergyCons!$A$4:$A$10000)))*1,[1]OUT_FinalEnergyCons!I$4:I$10000)</f>
        <v>6.41590975465509E-2</v>
      </c>
      <c r="L2246" s="1" cm="1">
        <f t="array" ref="L2246">SUMPRODUCT(([1]OUT_FinalEnergyCons!$B$4:$B$10000="var_ncap")*1, (ISNUMBER(SEARCH("RH*-SHWODBR",[1]OUT_FinalEnergyCons!$A$4:$A$10000)))*1,[1]OUT_FinalEnergyCons!J$4:J$10000)</f>
        <v>4.6404794979950794E-7</v>
      </c>
      <c r="N2246" s="1"/>
    </row>
    <row r="2247" spans="2:14" x14ac:dyDescent="0.35">
      <c r="B2247" s="5" t="str">
        <f t="shared" si="2123"/>
        <v>SPS1</v>
      </c>
      <c r="C2247" s="5" t="str">
        <f t="shared" si="2124"/>
        <v>CH</v>
      </c>
      <c r="D2247" t="s">
        <v>2381</v>
      </c>
      <c r="E2247" t="str">
        <f t="shared" si="2125"/>
        <v>GWth/yr.</v>
      </c>
      <c r="F2247" s="1">
        <f t="shared" ref="F2247:L2247" si="2131">F2248</f>
        <v>1.0087048691343301E-5</v>
      </c>
      <c r="G2247" s="1">
        <f t="shared" si="2131"/>
        <v>3.5944896646139847E-2</v>
      </c>
      <c r="H2247" s="1">
        <f t="shared" si="2131"/>
        <v>9.0610371762758104E-7</v>
      </c>
      <c r="I2247" s="1">
        <f t="shared" si="2131"/>
        <v>2.0370624545508839E-6</v>
      </c>
      <c r="J2247" s="1">
        <f t="shared" si="2131"/>
        <v>1.1300078400801727E-3</v>
      </c>
      <c r="K2247" s="1">
        <f t="shared" si="2131"/>
        <v>4.6600417722593192E-3</v>
      </c>
      <c r="L2247" s="1">
        <f t="shared" si="2131"/>
        <v>5.4368657132450422E-7</v>
      </c>
      <c r="N2247" s="1"/>
    </row>
    <row r="2248" spans="2:14" x14ac:dyDescent="0.35">
      <c r="B2248" s="5" t="str">
        <f t="shared" si="2123"/>
        <v>SPS1</v>
      </c>
      <c r="C2248" s="5" t="str">
        <f t="shared" si="2124"/>
        <v>CH</v>
      </c>
      <c r="D2248" t="s">
        <v>2382</v>
      </c>
      <c r="E2248" t="str">
        <f t="shared" si="212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SUMPRODUCT(([1]OUT_FinalEnergyCons!$B$4:$B$10000="var_ncap")*1, (ISNUMBER(SEARCH("RH*-SHPLTBR",[1]OUT_FinalEnergyCons!$A$4:$A$10000)))*1,[1]OUT_FinalEnergyCons!H$4:H$10000)</f>
        <v>1.1300078400801727E-3</v>
      </c>
      <c r="K2248" s="1" cm="1">
        <f t="array" ref="K2248">SUMPRODUCT(([1]OUT_FinalEnergyCons!$B$4:$B$10000="var_ncap")*1, (ISNUMBER(SEARCH("RH*-SHPLTBR",[1]OUT_FinalEnergyCons!$A$4:$A$10000)))*1,[1]OUT_FinalEnergyCons!I$4:I$10000)</f>
        <v>4.6600417722593192E-3</v>
      </c>
      <c r="L2248" s="1" cm="1">
        <f t="array" ref="L2248">SUMPRODUCT(([1]OUT_FinalEnergyCons!$B$4:$B$10000="var_ncap")*1, (ISNUMBER(SEARCH("RH*-SHPLTBR",[1]OUT_FinalEnergyCons!$A$4:$A$10000)))*1,[1]OUT_FinalEnergyCons!J$4:J$10000)</f>
        <v>5.4368657132450422E-7</v>
      </c>
      <c r="N2248" s="1"/>
    </row>
    <row r="2249" spans="2:14" x14ac:dyDescent="0.35">
      <c r="B2249" s="5" t="str">
        <f t="shared" si="2123"/>
        <v>SPS1</v>
      </c>
      <c r="C2249" s="5" t="str">
        <f t="shared" si="2124"/>
        <v>CH</v>
      </c>
      <c r="D2249" t="s">
        <v>2383</v>
      </c>
      <c r="E2249" t="str">
        <f t="shared" si="2125"/>
        <v>GWth/yr.</v>
      </c>
      <c r="F2249" s="1">
        <f t="shared" ref="F2249:L2249" si="2132">F2250</f>
        <v>2.8907643215385102E-5</v>
      </c>
      <c r="G2249" s="1">
        <f t="shared" si="2132"/>
        <v>2.2807138070978179E-2</v>
      </c>
      <c r="H2249" s="1">
        <f t="shared" si="2132"/>
        <v>1.8718836817694307E-5</v>
      </c>
      <c r="I2249" s="1">
        <f t="shared" si="2132"/>
        <v>5.1066367655980477E-5</v>
      </c>
      <c r="J2249" s="1">
        <f t="shared" si="2132"/>
        <v>2.3998227076423286E-4</v>
      </c>
      <c r="K2249" s="1">
        <f t="shared" si="2132"/>
        <v>7.5449844521535865E-3</v>
      </c>
      <c r="L2249" s="1">
        <f t="shared" si="2132"/>
        <v>1.7491527447789854E-3</v>
      </c>
      <c r="N2249" s="1"/>
    </row>
    <row r="2250" spans="2:14" x14ac:dyDescent="0.35">
      <c r="B2250" s="5" t="str">
        <f t="shared" si="2123"/>
        <v>SPS1</v>
      </c>
      <c r="C2250" s="5" t="str">
        <f t="shared" si="2124"/>
        <v>CH</v>
      </c>
      <c r="D2250" t="s">
        <v>2384</v>
      </c>
      <c r="E2250" t="str">
        <f t="shared" si="212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SUMPRODUCT(([1]OUT_FinalEnergyCons!$B$4:$B$10000="var_ncap")*1, (ISNUMBER(SEARCH("RH*-SHSOLBR",[1]OUT_FinalEnergyCons!$A$4:$A$10000)))*1,[1]OUT_FinalEnergyCons!H$4:H$10000)</f>
        <v>2.3998227076423286E-4</v>
      </c>
      <c r="K2250" s="1" cm="1">
        <f t="array" ref="K2250">SUMPRODUCT(([1]OUT_FinalEnergyCons!$B$4:$B$10000="var_ncap")*1, (ISNUMBER(SEARCH("RH*-SHSOLBR",[1]OUT_FinalEnergyCons!$A$4:$A$10000)))*1,[1]OUT_FinalEnergyCons!I$4:I$10000)</f>
        <v>7.5449844521535865E-3</v>
      </c>
      <c r="L2250" s="1" cm="1">
        <f t="array" ref="L2250">SUMPRODUCT(([1]OUT_FinalEnergyCons!$B$4:$B$10000="var_ncap")*1, (ISNUMBER(SEARCH("RH*-SHSOLBR",[1]OUT_FinalEnergyCons!$A$4:$A$10000)))*1,[1]OUT_FinalEnergyCons!J$4:J$10000)</f>
        <v>1.7491527447789854E-3</v>
      </c>
      <c r="N2250" s="1"/>
    </row>
    <row r="2251" spans="2:14" x14ac:dyDescent="0.35">
      <c r="B2251" s="5" t="str">
        <f t="shared" si="2123"/>
        <v>SPS1</v>
      </c>
      <c r="C2251" s="5" t="str">
        <f t="shared" si="2124"/>
        <v>CH</v>
      </c>
      <c r="D2251" t="s">
        <v>2385</v>
      </c>
      <c r="E2251" t="str">
        <f t="shared" si="2125"/>
        <v>GWth/yr.</v>
      </c>
      <c r="F2251" s="1">
        <f t="shared" ref="F2251:L2251" si="2133">F2252</f>
        <v>0</v>
      </c>
      <c r="G2251" s="1">
        <f t="shared" si="2133"/>
        <v>0</v>
      </c>
      <c r="H2251" s="1">
        <f t="shared" si="2133"/>
        <v>0</v>
      </c>
      <c r="I2251" s="1">
        <f t="shared" si="2133"/>
        <v>0</v>
      </c>
      <c r="J2251" s="1">
        <f t="shared" si="2133"/>
        <v>0</v>
      </c>
      <c r="K2251" s="1">
        <f t="shared" si="2133"/>
        <v>0</v>
      </c>
      <c r="L2251" s="1">
        <f t="shared" si="2133"/>
        <v>0</v>
      </c>
      <c r="N2251" s="1"/>
    </row>
    <row r="2252" spans="2:14" x14ac:dyDescent="0.35">
      <c r="B2252" s="5" t="str">
        <f t="shared" si="2123"/>
        <v>SPS1</v>
      </c>
      <c r="C2252" s="5" t="str">
        <f t="shared" si="2124"/>
        <v>CH</v>
      </c>
      <c r="D2252" t="s">
        <v>2386</v>
      </c>
      <c r="E2252" t="str">
        <f t="shared" si="212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N2252" s="1"/>
    </row>
    <row r="2253" spans="2:14" x14ac:dyDescent="0.35">
      <c r="B2253" s="5" t="str">
        <f t="shared" si="2123"/>
        <v>SPS1</v>
      </c>
      <c r="C2253" s="5" t="str">
        <f t="shared" si="2124"/>
        <v>CH</v>
      </c>
      <c r="D2253" t="s">
        <v>2387</v>
      </c>
      <c r="E2253" t="str">
        <f t="shared" si="2125"/>
        <v>GWth/yr.</v>
      </c>
      <c r="F2253" s="1">
        <f t="shared" ref="F2253:K2253" si="2134">SUM(F2254,F2257,F2259,F2262,F2264,F2266,F2268,F2270)</f>
        <v>2.2464472885870951E-5</v>
      </c>
      <c r="G2253" s="1">
        <f t="shared" si="2134"/>
        <v>0.15818704145346901</v>
      </c>
      <c r="H2253" s="1">
        <f t="shared" si="2134"/>
        <v>0.19729937697968558</v>
      </c>
      <c r="I2253" s="1">
        <f t="shared" si="2134"/>
        <v>0.37718310323599408</v>
      </c>
      <c r="J2253" s="1">
        <f t="shared" si="2134"/>
        <v>0.80609857173113975</v>
      </c>
      <c r="K2253" s="1">
        <f t="shared" si="2134"/>
        <v>0.92162328207988131</v>
      </c>
      <c r="L2253" s="1">
        <f t="shared" ref="L2253" si="2135">SUM(L2254,L2257,L2259,L2262,L2264,L2266,L2268,L2270)</f>
        <v>1.1576013229381517</v>
      </c>
      <c r="N2253" s="1"/>
    </row>
    <row r="2254" spans="2:14" x14ac:dyDescent="0.35">
      <c r="B2254" s="5" t="str">
        <f t="shared" si="2123"/>
        <v>SPS1</v>
      </c>
      <c r="C2254" s="5" t="str">
        <f t="shared" si="2124"/>
        <v>CH</v>
      </c>
      <c r="D2254" t="s">
        <v>2388</v>
      </c>
      <c r="E2254" t="str">
        <f t="shared" si="2125"/>
        <v>GWth/yr.</v>
      </c>
      <c r="F2254" s="1">
        <f t="shared" ref="F2254:K2254" si="2136">SUM(F2255:F2256)</f>
        <v>2.2464472885870951E-5</v>
      </c>
      <c r="G2254" s="1">
        <f t="shared" si="2136"/>
        <v>6.6995754072629504E-2</v>
      </c>
      <c r="H2254" s="1">
        <f t="shared" si="2136"/>
        <v>0.10536716044540011</v>
      </c>
      <c r="I2254" s="1">
        <f t="shared" si="2136"/>
        <v>0.26313990236999479</v>
      </c>
      <c r="J2254" s="1">
        <f t="shared" si="2136"/>
        <v>0.39218861251581749</v>
      </c>
      <c r="K2254" s="1">
        <f t="shared" si="2136"/>
        <v>0.49272947522972377</v>
      </c>
      <c r="L2254" s="1">
        <f t="shared" ref="L2254" si="2137">SUM(L2255:L2256)</f>
        <v>0.63921091362346716</v>
      </c>
      <c r="N2254" s="1"/>
    </row>
    <row r="2255" spans="2:14" x14ac:dyDescent="0.35">
      <c r="B2255" s="5" t="str">
        <f t="shared" si="2123"/>
        <v>SPS1</v>
      </c>
      <c r="C2255" s="5" t="str">
        <f t="shared" si="2124"/>
        <v>CH</v>
      </c>
      <c r="D2255" t="s">
        <v>2389</v>
      </c>
      <c r="E2255" t="str">
        <f t="shared" si="212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SUMPRODUCT(([1]OUT_FinalEnergyCons!$B$4:$B$10000="var_ncap")*1,(ISNUMBER(SEARCH("RH*-WHELCBR",[1]OUT_FinalEnergyCons!$A$4:$A$10000)))*1,[1]OUT_FinalEnergyCons!H$4:H$10000)</f>
        <v>5.3353281316886499E-2</v>
      </c>
      <c r="K2255" s="1" cm="1">
        <f t="array" ref="K2255">SUMPRODUCT(([1]OUT_FinalEnergyCons!$B$4:$B$10000="var_ncap")*1,(ISNUMBER(SEARCH("RH*-WHELCBR",[1]OUT_FinalEnergyCons!$A$4:$A$10000)))*1,[1]OUT_FinalEnergyCons!I$4:I$10000)</f>
        <v>5.7675199245851801E-2</v>
      </c>
      <c r="L2255" s="1" cm="1">
        <f t="array" ref="L2255">SUMPRODUCT(([1]OUT_FinalEnergyCons!$B$4:$B$10000="var_ncap")*1,(ISNUMBER(SEARCH("RH*-WHELCBR",[1]OUT_FinalEnergyCons!$A$4:$A$10000)))*1,[1]OUT_FinalEnergyCons!J$4:J$10000)</f>
        <v>3.2546592625706097E-2</v>
      </c>
      <c r="N2255" s="1"/>
    </row>
    <row r="2256" spans="2:14" x14ac:dyDescent="0.35">
      <c r="B2256" s="5" t="str">
        <f t="shared" si="2123"/>
        <v>SPS1</v>
      </c>
      <c r="C2256" s="5" t="str">
        <f t="shared" si="2124"/>
        <v>CH</v>
      </c>
      <c r="D2256" t="s">
        <v>2390</v>
      </c>
      <c r="E2256" t="str">
        <f t="shared" si="212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SUMPRODUCT(([1]OUT_FinalEnergyCons!$B$4:$B$10000="var_ncap")*1,ISNUMBER(SEARCH("RH*-WHELCHP",[1]OUT_FinalEnergyCons!$A$4:$A$10000))*1,[1]OUT_FinalEnergyCons!H$4:H$10000)</f>
        <v>0.338835331198931</v>
      </c>
      <c r="K2256" s="1" cm="1">
        <f t="array" ref="K2256">SUMPRODUCT(([1]OUT_FinalEnergyCons!$B$4:$B$10000="var_ncap")*1,ISNUMBER(SEARCH("RH*-WHELCHP",[1]OUT_FinalEnergyCons!$A$4:$A$10000))*1,[1]OUT_FinalEnergyCons!I$4:I$10000)</f>
        <v>0.43505427598387197</v>
      </c>
      <c r="L2256" s="1" cm="1">
        <f t="array" ref="L2256">SUMPRODUCT(([1]OUT_FinalEnergyCons!$B$4:$B$10000="var_ncap")*1,ISNUMBER(SEARCH("RH*-WHELCHP",[1]OUT_FinalEnergyCons!$A$4:$A$10000))*1,[1]OUT_FinalEnergyCons!J$4:J$10000)</f>
        <v>0.60666432099776102</v>
      </c>
      <c r="N2256" s="1"/>
    </row>
    <row r="2257" spans="2:14" x14ac:dyDescent="0.35">
      <c r="B2257" s="5" t="str">
        <f t="shared" si="2123"/>
        <v>SPS1</v>
      </c>
      <c r="C2257" s="5" t="str">
        <f t="shared" si="2124"/>
        <v>CH</v>
      </c>
      <c r="D2257" t="s">
        <v>2391</v>
      </c>
      <c r="E2257" t="str">
        <f t="shared" si="2125"/>
        <v>GWth/yr.</v>
      </c>
      <c r="F2257" s="1">
        <f t="shared" ref="F2257:L2257" si="2138">F2258</f>
        <v>0</v>
      </c>
      <c r="G2257" s="1">
        <f t="shared" si="2138"/>
        <v>8.5938721003759096E-7</v>
      </c>
      <c r="H2257" s="1">
        <f t="shared" si="2138"/>
        <v>2.3683463974355999E-7</v>
      </c>
      <c r="I2257" s="1">
        <f t="shared" si="2138"/>
        <v>5.2186213866202805E-7</v>
      </c>
      <c r="J2257" s="1">
        <f t="shared" si="2138"/>
        <v>1.42617212129571E-2</v>
      </c>
      <c r="K2257" s="1">
        <f t="shared" si="2138"/>
        <v>1.6674299620241001E-2</v>
      </c>
      <c r="L2257" s="1">
        <f t="shared" si="2138"/>
        <v>0</v>
      </c>
      <c r="N2257" s="1"/>
    </row>
    <row r="2258" spans="2:14" x14ac:dyDescent="0.35">
      <c r="B2258" s="5" t="str">
        <f t="shared" si="2123"/>
        <v>SPS1</v>
      </c>
      <c r="C2258" s="5" t="str">
        <f t="shared" si="2124"/>
        <v>CH</v>
      </c>
      <c r="D2258" t="s">
        <v>2392</v>
      </c>
      <c r="E2258" t="str">
        <f t="shared" si="212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SUMPRODUCT(([1]OUT_FinalEnergyCons!$B$4:$B$10000="var_ncap")*1, (ISNUMBER(SEARCH("RH*-WHLFOBR",[1]OUT_FinalEnergyCons!$A$4:$A$10000)))*1,[1]OUT_FinalEnergyCons!H$4:H$10000)</f>
        <v>1.42617212129571E-2</v>
      </c>
      <c r="K2258" s="1" cm="1">
        <f t="array" ref="K2258">SUMPRODUCT(([1]OUT_FinalEnergyCons!$B$4:$B$10000="var_ncap")*1, (ISNUMBER(SEARCH("RH*-WHLFOBR",[1]OUT_FinalEnergyCons!$A$4:$A$10000)))*1,[1]OUT_FinalEnergyCons!I$4:I$10000)</f>
        <v>1.6674299620241001E-2</v>
      </c>
      <c r="L2258" s="1" cm="1">
        <f t="array" ref="L2258">SUMPRODUCT(([1]OUT_FinalEnergyCons!$B$4:$B$10000="var_ncap")*1, (ISNUMBER(SEARCH("RH*-WHLFOBR",[1]OUT_FinalEnergyCons!$A$4:$A$10000)))*1,[1]OUT_FinalEnergyCons!J$4:J$10000)</f>
        <v>0</v>
      </c>
      <c r="N2258" s="1"/>
    </row>
    <row r="2259" spans="2:14" x14ac:dyDescent="0.35">
      <c r="B2259" s="5" t="str">
        <f t="shared" si="2123"/>
        <v>SPS1</v>
      </c>
      <c r="C2259" s="5" t="str">
        <f t="shared" si="2124"/>
        <v>CH</v>
      </c>
      <c r="D2259" t="s">
        <v>2393</v>
      </c>
      <c r="E2259" t="str">
        <f t="shared" si="2125"/>
        <v>GWth/yr.</v>
      </c>
      <c r="F2259" s="1">
        <f t="shared" ref="F2259:K2259" si="2139">SUM(F2260:F2261)</f>
        <v>0</v>
      </c>
      <c r="G2259" s="1">
        <f t="shared" si="2139"/>
        <v>1.6911483673667098E-6</v>
      </c>
      <c r="H2259" s="1">
        <f t="shared" si="2139"/>
        <v>6.5126992924813901E-2</v>
      </c>
      <c r="I2259" s="1">
        <f t="shared" si="2139"/>
        <v>7.0781083783908516E-2</v>
      </c>
      <c r="J2259" s="1">
        <f t="shared" si="2139"/>
        <v>8.1794381942763006E-2</v>
      </c>
      <c r="K2259" s="1">
        <f t="shared" si="2139"/>
        <v>0.1483368165648411</v>
      </c>
      <c r="L2259" s="1">
        <f t="shared" ref="L2259" si="2140">SUM(L2260:L2261)</f>
        <v>0.13445269997522727</v>
      </c>
      <c r="N2259" s="1"/>
    </row>
    <row r="2260" spans="2:14" x14ac:dyDescent="0.35">
      <c r="B2260" s="5" t="str">
        <f t="shared" si="2123"/>
        <v>SPS1</v>
      </c>
      <c r="C2260" s="5" t="str">
        <f t="shared" si="2124"/>
        <v>CH</v>
      </c>
      <c r="D2260" t="s">
        <v>2394</v>
      </c>
      <c r="E2260" t="str">
        <f t="shared" si="212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SUMPRODUCT(([1]OUT_FinalEnergyCons!$B$4:$B$10000="var_ncap")*1, (ISNUMBER(SEARCH("RH*-WHNGABR",[1]OUT_FinalEnergyCons!$A$4:$A$10000)))*1,[1]OUT_FinalEnergyCons!H$4:H$10000)</f>
        <v>2.8890820682556901E-2</v>
      </c>
      <c r="K2260" s="1" cm="1">
        <f t="array" ref="K2260">SUMPRODUCT(([1]OUT_FinalEnergyCons!$B$4:$B$10000="var_ncap")*1, (ISNUMBER(SEARCH("RH*-WHNGABR",[1]OUT_FinalEnergyCons!$A$4:$A$10000)))*1,[1]OUT_FinalEnergyCons!I$4:I$10000)</f>
        <v>2.3692562242333098E-2</v>
      </c>
      <c r="L2260" s="1" cm="1">
        <f t="array" ref="L2260">SUMPRODUCT(([1]OUT_FinalEnergyCons!$B$4:$B$10000="var_ncap")*1, (ISNUMBER(SEARCH("RH*-WHNGABR",[1]OUT_FinalEnergyCons!$A$4:$A$10000)))*1,[1]OUT_FinalEnergyCons!J$4:J$10000)</f>
        <v>8.3681023927126903E-7</v>
      </c>
      <c r="N2260" s="1"/>
    </row>
    <row r="2261" spans="2:14" x14ac:dyDescent="0.35">
      <c r="B2261" s="5" t="str">
        <f t="shared" si="2123"/>
        <v>SPS1</v>
      </c>
      <c r="C2261" s="5" t="str">
        <f t="shared" si="2124"/>
        <v>CH</v>
      </c>
      <c r="D2261" t="s">
        <v>2395</v>
      </c>
      <c r="E2261" t="str">
        <f t="shared" si="212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SUMPRODUCT(([1]OUT_FinalEnergyCons!$B$4:$B$10000="var_ncap")*1,ISNUMBER(SEARCH("RH*-WHngahp",[1]OUT_FinalEnergyCons!$A$4:$A$10000))*1,[1]OUT_FinalEnergyCons!H$4:H$10000)</f>
        <v>5.2903561260206101E-2</v>
      </c>
      <c r="K2261" s="1" cm="1">
        <f t="array" ref="K2261">SUMPRODUCT(([1]OUT_FinalEnergyCons!$B$4:$B$10000="var_ncap")*1,ISNUMBER(SEARCH("RH*-WHngahp",[1]OUT_FinalEnergyCons!$A$4:$A$10000))*1,[1]OUT_FinalEnergyCons!I$4:I$10000)</f>
        <v>0.124644254322508</v>
      </c>
      <c r="L2261" s="1" cm="1">
        <f t="array" ref="L2261">SUMPRODUCT(([1]OUT_FinalEnergyCons!$B$4:$B$10000="var_ncap")*1,ISNUMBER(SEARCH("RH*-WHngahp",[1]OUT_FinalEnergyCons!$A$4:$A$10000))*1,[1]OUT_FinalEnergyCons!J$4:J$10000)</f>
        <v>0.134451863164988</v>
      </c>
      <c r="N2261" s="1"/>
    </row>
    <row r="2262" spans="2:14" x14ac:dyDescent="0.35">
      <c r="B2262" s="5" t="str">
        <f t="shared" si="2123"/>
        <v>SPS1</v>
      </c>
      <c r="C2262" s="5" t="str">
        <f t="shared" si="2124"/>
        <v>CH</v>
      </c>
      <c r="D2262" t="s">
        <v>2396</v>
      </c>
      <c r="E2262" t="str">
        <f t="shared" si="2125"/>
        <v>GWth/yr.</v>
      </c>
      <c r="F2262" s="1">
        <f t="shared" ref="F2262:L2262" si="2141">F2263</f>
        <v>0</v>
      </c>
      <c r="G2262" s="1">
        <f t="shared" si="2141"/>
        <v>0</v>
      </c>
      <c r="H2262" s="1">
        <f t="shared" si="2141"/>
        <v>0</v>
      </c>
      <c r="I2262" s="1">
        <f t="shared" si="2141"/>
        <v>0</v>
      </c>
      <c r="J2262" s="1">
        <f t="shared" si="2141"/>
        <v>0</v>
      </c>
      <c r="K2262" s="1">
        <f t="shared" si="2141"/>
        <v>0</v>
      </c>
      <c r="L2262" s="1">
        <f t="shared" si="2141"/>
        <v>0</v>
      </c>
      <c r="N2262" s="1"/>
    </row>
    <row r="2263" spans="2:14" x14ac:dyDescent="0.35">
      <c r="B2263" s="5" t="str">
        <f t="shared" si="2123"/>
        <v>SPS1</v>
      </c>
      <c r="C2263" s="5" t="str">
        <f t="shared" si="2124"/>
        <v>CH</v>
      </c>
      <c r="D2263" t="s">
        <v>2397</v>
      </c>
      <c r="E2263" t="str">
        <f t="shared" si="212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N2263" s="1"/>
    </row>
    <row r="2264" spans="2:14" x14ac:dyDescent="0.35">
      <c r="B2264" s="5" t="str">
        <f t="shared" si="2123"/>
        <v>SPS1</v>
      </c>
      <c r="C2264" s="5" t="str">
        <f t="shared" si="2124"/>
        <v>CH</v>
      </c>
      <c r="D2264" t="s">
        <v>2398</v>
      </c>
      <c r="E2264" t="str">
        <f t="shared" si="2125"/>
        <v>GWth/yr.</v>
      </c>
      <c r="F2264" s="1">
        <f t="shared" ref="F2264:L2264" si="2142">F2265</f>
        <v>0</v>
      </c>
      <c r="G2264" s="1">
        <f t="shared" si="2142"/>
        <v>5.1366973849955597E-3</v>
      </c>
      <c r="H2264" s="1">
        <f t="shared" si="2142"/>
        <v>2.6801681145520399E-2</v>
      </c>
      <c r="I2264" s="1">
        <f t="shared" si="2142"/>
        <v>1.24682596332852E-6</v>
      </c>
      <c r="J2264" s="1">
        <f t="shared" si="2142"/>
        <v>1.06428540007589E-2</v>
      </c>
      <c r="K2264" s="1">
        <f t="shared" si="2142"/>
        <v>2.2093836404027699E-2</v>
      </c>
      <c r="L2264" s="1">
        <f t="shared" si="2142"/>
        <v>3.45758401036285E-7</v>
      </c>
      <c r="N2264" s="1"/>
    </row>
    <row r="2265" spans="2:14" x14ac:dyDescent="0.35">
      <c r="B2265" s="5" t="str">
        <f t="shared" si="2123"/>
        <v>SPS1</v>
      </c>
      <c r="C2265" s="5" t="str">
        <f t="shared" si="2124"/>
        <v>CH</v>
      </c>
      <c r="D2265" t="s">
        <v>2399</v>
      </c>
      <c r="E2265" t="str">
        <f t="shared" si="212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SUMPRODUCT(([1]OUT_FinalEnergyCons!$B$4:$B$10000="var_ncap")*1, (ISNUMBER(SEARCH("RH*-WHWODBR",[1]OUT_FinalEnergyCons!$A$4:$A$10000)))*1,[1]OUT_FinalEnergyCons!H$4:H$10000)</f>
        <v>1.06428540007589E-2</v>
      </c>
      <c r="K2265" s="1" cm="1">
        <f t="array" ref="K2265">SUMPRODUCT(([1]OUT_FinalEnergyCons!$B$4:$B$10000="var_ncap")*1, (ISNUMBER(SEARCH("RH*-WHWODBR",[1]OUT_FinalEnergyCons!$A$4:$A$10000)))*1,[1]OUT_FinalEnergyCons!I$4:I$10000)</f>
        <v>2.2093836404027699E-2</v>
      </c>
      <c r="L2265" s="1" cm="1">
        <f t="array" ref="L2265">SUMPRODUCT(([1]OUT_FinalEnergyCons!$B$4:$B$10000="var_ncap")*1, (ISNUMBER(SEARCH("RH*-WHWODBR",[1]OUT_FinalEnergyCons!$A$4:$A$10000)))*1,[1]OUT_FinalEnergyCons!J$4:J$10000)</f>
        <v>3.45758401036285E-7</v>
      </c>
      <c r="N2265" s="1"/>
    </row>
    <row r="2266" spans="2:14" x14ac:dyDescent="0.35">
      <c r="B2266" s="5" t="str">
        <f t="shared" si="2123"/>
        <v>SPS1</v>
      </c>
      <c r="C2266" s="5" t="str">
        <f t="shared" si="2124"/>
        <v>CH</v>
      </c>
      <c r="D2266" t="s">
        <v>2400</v>
      </c>
      <c r="E2266" t="str">
        <f t="shared" si="2125"/>
        <v>GWth/yr.</v>
      </c>
      <c r="F2266" s="1">
        <f t="shared" ref="F2266:L2266" si="2143">F2267</f>
        <v>0</v>
      </c>
      <c r="G2266" s="1">
        <f t="shared" si="2143"/>
        <v>1.9558129176277502E-3</v>
      </c>
      <c r="H2266" s="1">
        <f t="shared" si="2143"/>
        <v>2.4843196530067397E-7</v>
      </c>
      <c r="I2266" s="1">
        <f t="shared" si="2143"/>
        <v>7.98354725879578E-7</v>
      </c>
      <c r="J2266" s="1">
        <f t="shared" si="2143"/>
        <v>7.3966066102614902E-4</v>
      </c>
      <c r="K2266" s="1">
        <f t="shared" si="2143"/>
        <v>7.6090082277867897E-4</v>
      </c>
      <c r="L2266" s="1">
        <f t="shared" si="2143"/>
        <v>1.7714522017249301E-7</v>
      </c>
      <c r="N2266" s="1"/>
    </row>
    <row r="2267" spans="2:14" x14ac:dyDescent="0.35">
      <c r="B2267" s="5" t="str">
        <f t="shared" si="2123"/>
        <v>SPS1</v>
      </c>
      <c r="C2267" s="5" t="str">
        <f t="shared" si="2124"/>
        <v>CH</v>
      </c>
      <c r="D2267" t="s">
        <v>2401</v>
      </c>
      <c r="E2267" t="str">
        <f t="shared" si="212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SUMPRODUCT(([1]OUT_FinalEnergyCons!$B$4:$B$10000="var_ncap")*1, (ISNUMBER(SEARCH("RH*-WHPLTBR",[1]OUT_FinalEnergyCons!$A$4:$A$10000)))*1,[1]OUT_FinalEnergyCons!H$4:H$10000)</f>
        <v>7.3966066102614902E-4</v>
      </c>
      <c r="K2267" s="1" cm="1">
        <f t="array" ref="K2267">SUMPRODUCT(([1]OUT_FinalEnergyCons!$B$4:$B$10000="var_ncap")*1, (ISNUMBER(SEARCH("RH*-WHPLTBR",[1]OUT_FinalEnergyCons!$A$4:$A$10000)))*1,[1]OUT_FinalEnergyCons!I$4:I$10000)</f>
        <v>7.6090082277867897E-4</v>
      </c>
      <c r="L2267" s="1" cm="1">
        <f t="array" ref="L2267">SUMPRODUCT(([1]OUT_FinalEnergyCons!$B$4:$B$10000="var_ncap")*1, (ISNUMBER(SEARCH("RH*-WHPLTBR",[1]OUT_FinalEnergyCons!$A$4:$A$10000)))*1,[1]OUT_FinalEnergyCons!J$4:J$10000)</f>
        <v>1.7714522017249301E-7</v>
      </c>
      <c r="N2267" s="1"/>
    </row>
    <row r="2268" spans="2:14" x14ac:dyDescent="0.35">
      <c r="B2268" s="5" t="str">
        <f t="shared" ref="B2268:B2294" si="2144">B2267</f>
        <v>SPS1</v>
      </c>
      <c r="C2268" s="5" t="str">
        <f t="shared" ref="C2268:C2294" si="2145">C2267</f>
        <v>CH</v>
      </c>
      <c r="D2268" t="s">
        <v>2402</v>
      </c>
      <c r="E2268" t="str">
        <f t="shared" ref="E2268:E2299" si="2146">E2267</f>
        <v>GWth/yr.</v>
      </c>
      <c r="F2268" s="1">
        <f t="shared" ref="F2268:L2268" si="2147">F2269</f>
        <v>0</v>
      </c>
      <c r="G2268" s="1">
        <f t="shared" si="2147"/>
        <v>8.4096226542638805E-2</v>
      </c>
      <c r="H2268" s="1">
        <f t="shared" si="2147"/>
        <v>3.0571973461501701E-6</v>
      </c>
      <c r="I2268" s="1">
        <f t="shared" si="2147"/>
        <v>4.3259550039262899E-2</v>
      </c>
      <c r="J2268" s="1">
        <f t="shared" si="2147"/>
        <v>0.30647134139781701</v>
      </c>
      <c r="K2268" s="1">
        <f t="shared" si="2147"/>
        <v>0.24102795343826899</v>
      </c>
      <c r="L2268" s="1">
        <f t="shared" si="2147"/>
        <v>0.38393718643583602</v>
      </c>
      <c r="N2268" s="1"/>
    </row>
    <row r="2269" spans="2:14" x14ac:dyDescent="0.35">
      <c r="B2269" s="5" t="str">
        <f t="shared" si="2144"/>
        <v>SPS1</v>
      </c>
      <c r="C2269" s="5" t="str">
        <f t="shared" si="2145"/>
        <v>CH</v>
      </c>
      <c r="D2269" t="s">
        <v>2403</v>
      </c>
      <c r="E2269" t="str">
        <f t="shared" si="214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SUMPRODUCT(([1]OUT_FinalEnergyCons!$B$4:$B$10000="var_ncap")*1, (ISNUMBER(SEARCH("RH*-WHSOLBR",[1]OUT_FinalEnergyCons!$A$4:$A$10000)))*1,[1]OUT_FinalEnergyCons!H$4:H$10000)</f>
        <v>0.30647134139781701</v>
      </c>
      <c r="K2269" s="1" cm="1">
        <f t="array" ref="K2269">SUMPRODUCT(([1]OUT_FinalEnergyCons!$B$4:$B$10000="var_ncap")*1, (ISNUMBER(SEARCH("RH*-WHSOLBR",[1]OUT_FinalEnergyCons!$A$4:$A$10000)))*1,[1]OUT_FinalEnergyCons!I$4:I$10000)</f>
        <v>0.24102795343826899</v>
      </c>
      <c r="L2269" s="1" cm="1">
        <f t="array" ref="L2269">SUMPRODUCT(([1]OUT_FinalEnergyCons!$B$4:$B$10000="var_ncap")*1, (ISNUMBER(SEARCH("RH*-WHSOLBR",[1]OUT_FinalEnergyCons!$A$4:$A$10000)))*1,[1]OUT_FinalEnergyCons!J$4:J$10000)</f>
        <v>0.38393718643583602</v>
      </c>
      <c r="N2269" s="1"/>
    </row>
    <row r="2270" spans="2:14" x14ac:dyDescent="0.35">
      <c r="B2270" s="5" t="str">
        <f t="shared" si="2144"/>
        <v>SPS1</v>
      </c>
      <c r="C2270" s="5" t="str">
        <f t="shared" si="2145"/>
        <v>CH</v>
      </c>
      <c r="D2270" t="s">
        <v>2404</v>
      </c>
      <c r="E2270" t="str">
        <f t="shared" si="2146"/>
        <v>GWth/yr.</v>
      </c>
      <c r="F2270" s="1">
        <f t="shared" ref="F2270:L2270" si="2148">F2271</f>
        <v>0</v>
      </c>
      <c r="G2270" s="1">
        <f t="shared" si="2148"/>
        <v>0</v>
      </c>
      <c r="H2270" s="1">
        <f t="shared" si="2148"/>
        <v>0</v>
      </c>
      <c r="I2270" s="1">
        <f t="shared" si="2148"/>
        <v>0</v>
      </c>
      <c r="J2270" s="1">
        <f t="shared" si="2148"/>
        <v>0</v>
      </c>
      <c r="K2270" s="1">
        <f t="shared" si="2148"/>
        <v>0</v>
      </c>
      <c r="L2270" s="1">
        <f t="shared" si="2148"/>
        <v>0</v>
      </c>
      <c r="N2270" s="1"/>
    </row>
    <row r="2271" spans="2:14" x14ac:dyDescent="0.35">
      <c r="B2271" s="5" t="str">
        <f t="shared" si="2144"/>
        <v>SPS1</v>
      </c>
      <c r="C2271" s="5" t="str">
        <f t="shared" si="2145"/>
        <v>CH</v>
      </c>
      <c r="D2271" t="s">
        <v>2405</v>
      </c>
      <c r="E2271" t="str">
        <f t="shared" si="214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N2271" s="1"/>
    </row>
    <row r="2272" spans="2:14" x14ac:dyDescent="0.35">
      <c r="B2272" s="9" t="str">
        <f t="shared" si="2144"/>
        <v>SPS1</v>
      </c>
      <c r="C2272" s="9" t="str">
        <f t="shared" si="2145"/>
        <v>CH</v>
      </c>
      <c r="D2272" s="2" t="s">
        <v>2406</v>
      </c>
      <c r="E2272" s="9" t="str">
        <f t="shared" si="2146"/>
        <v>GWth/yr.</v>
      </c>
      <c r="F2272" s="17">
        <f t="shared" ref="F2272:K2272" si="2149">SUM(F2273,F2276,F2279,F2283,F2285,F2287,F2289,F2291,F2293)</f>
        <v>2.0721867494158299E-3</v>
      </c>
      <c r="G2272" s="17">
        <f t="shared" si="2149"/>
        <v>0.34424651041227633</v>
      </c>
      <c r="H2272" s="17">
        <f t="shared" si="2149"/>
        <v>1.8600067792814703E-3</v>
      </c>
      <c r="I2272" s="17">
        <f t="shared" si="2149"/>
        <v>0.11821061355266854</v>
      </c>
      <c r="J2272" s="17">
        <f t="shared" si="2149"/>
        <v>2.0115337536401041</v>
      </c>
      <c r="K2272" s="17">
        <f t="shared" si="2149"/>
        <v>0.64869868481115622</v>
      </c>
      <c r="L2272" s="17">
        <f t="shared" ref="L2272" si="2150">SUM(L2273,L2276,L2279,L2283,L2285,L2287,L2289,L2291,L2293)</f>
        <v>1.2008649468192159</v>
      </c>
      <c r="N2272" s="1"/>
    </row>
    <row r="2273" spans="2:14" x14ac:dyDescent="0.35">
      <c r="B2273" s="5" t="str">
        <f t="shared" si="2144"/>
        <v>SPS1</v>
      </c>
      <c r="C2273" s="5" t="str">
        <f t="shared" si="2145"/>
        <v>CH</v>
      </c>
      <c r="D2273" t="s">
        <v>2407</v>
      </c>
      <c r="E2273" t="str">
        <f t="shared" si="2146"/>
        <v>GWth/yr.</v>
      </c>
      <c r="F2273" s="18">
        <f t="shared" ref="F2273:K2273" si="2151">SUM(F2274:F2275)</f>
        <v>0</v>
      </c>
      <c r="G2273" s="18">
        <f t="shared" si="2151"/>
        <v>0.21485786273890059</v>
      </c>
      <c r="H2273" s="18">
        <f t="shared" si="2151"/>
        <v>9.7752883351660607E-4</v>
      </c>
      <c r="I2273" s="18">
        <f t="shared" si="2151"/>
        <v>0.11798867080567038</v>
      </c>
      <c r="J2273" s="18">
        <f t="shared" si="2151"/>
        <v>0.83596696697573591</v>
      </c>
      <c r="K2273" s="18">
        <f t="shared" si="2151"/>
        <v>0.27299132984226387</v>
      </c>
      <c r="L2273" s="18">
        <f t="shared" ref="L2273" si="2152">SUM(L2274:L2275)</f>
        <v>0.707164444060844</v>
      </c>
      <c r="N2273" s="1"/>
    </row>
    <row r="2274" spans="2:14" x14ac:dyDescent="0.35">
      <c r="B2274" s="5" t="str">
        <f t="shared" si="2144"/>
        <v>SPS1</v>
      </c>
      <c r="C2274" s="5" t="str">
        <f t="shared" si="2145"/>
        <v>CH</v>
      </c>
      <c r="D2274" t="s">
        <v>2408</v>
      </c>
      <c r="E2274" t="str">
        <f t="shared" si="214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SUMPRODUCT(([1]OUT_FinalEnergyCons!$B$4:$B$10000="var_ncap")*1,  (ISNUMBER(SEARCH("ITOT-SWHELCBR",[1]OUT_FinalEnergyCons!$A$4:$A$10000)))*1,[1]OUT_FinalEnergyCons!H$4:H$10000)</f>
        <v>0.60225248345314897</v>
      </c>
      <c r="K2274" s="1" cm="1">
        <f t="array" ref="K2274">SUMPRODUCT(([1]OUT_FinalEnergyCons!$B$4:$B$10000="var_ncap")*1,  (ISNUMBER(SEARCH("ITOT-SWHELCBR",[1]OUT_FinalEnergyCons!$A$4:$A$10000)))*1,[1]OUT_FinalEnergyCons!I$4:I$10000)</f>
        <v>0.20798095504095199</v>
      </c>
      <c r="L2274" s="1" cm="1">
        <f t="array" ref="L2274">SUMPRODUCT(([1]OUT_FinalEnergyCons!$B$4:$B$10000="var_ncap")*1,  (ISNUMBER(SEARCH("ITOT-SWHELCBR",[1]OUT_FinalEnergyCons!$A$4:$A$10000)))*1,[1]OUT_FinalEnergyCons!J$4:J$10000)</f>
        <v>0.47436408423269399</v>
      </c>
      <c r="N2274" s="1"/>
    </row>
    <row r="2275" spans="2:14" x14ac:dyDescent="0.35">
      <c r="B2275" s="5" t="str">
        <f t="shared" si="2144"/>
        <v>SPS1</v>
      </c>
      <c r="C2275" s="5" t="str">
        <f t="shared" si="2145"/>
        <v>CH</v>
      </c>
      <c r="D2275" t="s">
        <v>2409</v>
      </c>
      <c r="E2275" t="str">
        <f t="shared" si="214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SUMPRODUCT(([1]OUT_FinalEnergyCons!$B$4:$B$10000="var_ncap")*1,  (ISNUMBER(SEARCH("ITOT-SWHELCHP",[1]OUT_FinalEnergyCons!$A$4:$A$10000)))*1,[1]OUT_FinalEnergyCons!H$4:H$10000)</f>
        <v>0.233714483522587</v>
      </c>
      <c r="K2275" s="1" cm="1">
        <f t="array" ref="K2275">SUMPRODUCT(([1]OUT_FinalEnergyCons!$B$4:$B$10000="var_ncap")*1,  (ISNUMBER(SEARCH("ITOT-SWHELCHP",[1]OUT_FinalEnergyCons!$A$4:$A$10000)))*1,[1]OUT_FinalEnergyCons!I$4:I$10000)</f>
        <v>6.5010374801311901E-2</v>
      </c>
      <c r="L2275" s="1" cm="1">
        <f t="array" ref="L2275">SUMPRODUCT(([1]OUT_FinalEnergyCons!$B$4:$B$10000="var_ncap")*1,  (ISNUMBER(SEARCH("ITOT-SWHELCHP",[1]OUT_FinalEnergyCons!$A$4:$A$10000)))*1,[1]OUT_FinalEnergyCons!J$4:J$10000)</f>
        <v>0.23280035982815001</v>
      </c>
      <c r="N2275" s="1"/>
    </row>
    <row r="2276" spans="2:14" x14ac:dyDescent="0.35">
      <c r="B2276" s="5" t="str">
        <f t="shared" si="2144"/>
        <v>SPS1</v>
      </c>
      <c r="C2276" s="5" t="str">
        <f t="shared" si="2145"/>
        <v>CH</v>
      </c>
      <c r="D2276" t="s">
        <v>2410</v>
      </c>
      <c r="E2276" t="str">
        <f t="shared" si="2146"/>
        <v>GWth/yr.</v>
      </c>
      <c r="F2276" s="18">
        <f t="shared" ref="F2276:K2276" si="2153">SUM(F2277:F2278)</f>
        <v>2.0721867494158299E-3</v>
      </c>
      <c r="G2276" s="18">
        <f t="shared" si="2153"/>
        <v>1.2491138861053977E-2</v>
      </c>
      <c r="H2276" s="18">
        <f t="shared" si="2153"/>
        <v>7.5283306381636198E-5</v>
      </c>
      <c r="I2276" s="18">
        <f t="shared" si="2153"/>
        <v>7.9256715433094198E-5</v>
      </c>
      <c r="J2276" s="18">
        <f t="shared" si="2153"/>
        <v>0.11743080835996279</v>
      </c>
      <c r="K2276" s="18">
        <f t="shared" si="2153"/>
        <v>3.4563993846500793E-3</v>
      </c>
      <c r="L2276" s="18">
        <f t="shared" ref="L2276" si="2154">SUM(L2277:L2278)</f>
        <v>4.1988847968292682E-5</v>
      </c>
      <c r="N2276" s="1"/>
    </row>
    <row r="2277" spans="2:14" x14ac:dyDescent="0.35">
      <c r="B2277" s="5" t="str">
        <f t="shared" si="2144"/>
        <v>SPS1</v>
      </c>
      <c r="C2277" s="5" t="str">
        <f t="shared" si="2145"/>
        <v>CH</v>
      </c>
      <c r="D2277" t="s">
        <v>2411</v>
      </c>
      <c r="E2277" t="str">
        <f t="shared" si="214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SUMPRODUCT(([1]OUT_FinalEnergyCons!$B$4:$B$10000="var_ncap")*1,  (ISNUMBER(SEARCH("ITOT-SWHLFOBR",[1]OUT_FinalEnergyCons!$A$4:$A$10000)))*1,[1]OUT_FinalEnergyCons!H$4:H$10000)</f>
        <v>0.117351614284103</v>
      </c>
      <c r="K2277" s="1" cm="1">
        <f t="array" ref="K2277">SUMPRODUCT(([1]OUT_FinalEnergyCons!$B$4:$B$10000="var_ncap")*1,  (ISNUMBER(SEARCH("ITOT-SWHLFOBR",[1]OUT_FinalEnergyCons!$A$4:$A$10000)))*1,[1]OUT_FinalEnergyCons!I$4:I$10000)</f>
        <v>3.4494096123524999E-3</v>
      </c>
      <c r="L2277" s="1" cm="1">
        <f t="array" ref="L2277">SUMPRODUCT(([1]OUT_FinalEnergyCons!$B$4:$B$10000="var_ncap")*1,  (ISNUMBER(SEARCH("ITOT-SWHLFOBR",[1]OUT_FinalEnergyCons!$A$4:$A$10000)))*1,[1]OUT_FinalEnergyCons!J$4:J$10000)</f>
        <v>4.0533756124502901E-5</v>
      </c>
      <c r="N2277" s="1"/>
    </row>
    <row r="2278" spans="2:14" x14ac:dyDescent="0.35">
      <c r="B2278" s="5" t="str">
        <f t="shared" si="2144"/>
        <v>SPS1</v>
      </c>
      <c r="C2278" s="5" t="str">
        <f t="shared" si="2145"/>
        <v>CH</v>
      </c>
      <c r="D2278" t="s">
        <v>2412</v>
      </c>
      <c r="E2278" t="str">
        <f t="shared" si="214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SUMPRODUCT(([1]OUT_FinalEnergyCons!$B$4:$B$10000="var_ncap")*1,  (ISNUMBER(SEARCH("ITOT-SWHHFOBR",[1]OUT_FinalEnergyCons!$A$4:$A$10000)))*1,[1]OUT_FinalEnergyCons!H$4:H$10000)</f>
        <v>7.9194075859796202E-5</v>
      </c>
      <c r="K2278" s="1" cm="1">
        <f t="array" ref="K2278">SUMPRODUCT(([1]OUT_FinalEnergyCons!$B$4:$B$10000="var_ncap")*1,  (ISNUMBER(SEARCH("ITOT-SWHHFOBR",[1]OUT_FinalEnergyCons!$A$4:$A$10000)))*1,[1]OUT_FinalEnergyCons!I$4:I$10000)</f>
        <v>6.9897722975793199E-6</v>
      </c>
      <c r="L2278" s="1" cm="1">
        <f t="array" ref="L2278">SUMPRODUCT(([1]OUT_FinalEnergyCons!$B$4:$B$10000="var_ncap")*1,  (ISNUMBER(SEARCH("ITOT-SWHHFOBR",[1]OUT_FinalEnergyCons!$A$4:$A$10000)))*1,[1]OUT_FinalEnergyCons!J$4:J$10000)</f>
        <v>1.4550918437897801E-6</v>
      </c>
      <c r="N2278" s="1"/>
    </row>
    <row r="2279" spans="2:14" x14ac:dyDescent="0.35">
      <c r="B2279" s="5" t="str">
        <f t="shared" si="2144"/>
        <v>SPS1</v>
      </c>
      <c r="C2279" s="5" t="str">
        <f t="shared" si="2145"/>
        <v>CH</v>
      </c>
      <c r="D2279" t="s">
        <v>2413</v>
      </c>
      <c r="E2279" t="str">
        <f t="shared" si="2146"/>
        <v>GWth/yr.</v>
      </c>
      <c r="F2279" s="18">
        <f t="shared" ref="F2279:K2279" si="2155">SUM(F2280:F2281)</f>
        <v>0</v>
      </c>
      <c r="G2279" s="18">
        <f t="shared" si="2155"/>
        <v>1.3530577279506371E-4</v>
      </c>
      <c r="H2279" s="18">
        <f t="shared" si="2155"/>
        <v>6.3725868146422178E-4</v>
      </c>
      <c r="I2279" s="18">
        <f t="shared" si="2155"/>
        <v>4.3118620482005886E-5</v>
      </c>
      <c r="J2279" s="18">
        <f t="shared" si="2155"/>
        <v>0.14568737240700566</v>
      </c>
      <c r="K2279" s="18">
        <f t="shared" si="2155"/>
        <v>4.1913778312654859E-2</v>
      </c>
      <c r="L2279" s="18">
        <f t="shared" ref="L2279" si="2156">SUM(L2280:L2281)</f>
        <v>2.915958774944866E-2</v>
      </c>
      <c r="N2279" s="1"/>
    </row>
    <row r="2280" spans="2:14" x14ac:dyDescent="0.35">
      <c r="B2280" s="5" t="str">
        <f t="shared" si="2144"/>
        <v>SPS1</v>
      </c>
      <c r="C2280" s="5" t="str">
        <f t="shared" si="2145"/>
        <v>CH</v>
      </c>
      <c r="D2280" t="s">
        <v>2414</v>
      </c>
      <c r="E2280" t="str">
        <f t="shared" si="214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SUMPRODUCT(([1]OUT_FinalEnergyCons!$B$4:$B$10000="var_ncap")*1,  (ISNUMBER(SEARCH("ITOT-SWHNGA*BR",[1]OUT_FinalEnergyCons!$A$4:$A$10000)))*1,[1]OUT_FinalEnergyCons!H$4:H$10000)</f>
        <v>0.14565994181078901</v>
      </c>
      <c r="K2280" s="1" cm="1">
        <f t="array" ref="K2280">SUMPRODUCT(([1]OUT_FinalEnergyCons!$B$4:$B$10000="var_ncap")*1,  (ISNUMBER(SEARCH("ITOT-SWHNGA*BR",[1]OUT_FinalEnergyCons!$A$4:$A$10000)))*1,[1]OUT_FinalEnergyCons!I$4:I$10000)</f>
        <v>4.1882691586187001E-2</v>
      </c>
      <c r="L2280" s="1" cm="1">
        <f t="array" ref="L2280">SUMPRODUCT(([1]OUT_FinalEnergyCons!$B$4:$B$10000="var_ncap")*1,  (ISNUMBER(SEARCH("ITOT-SWHNGA*BR",[1]OUT_FinalEnergyCons!$A$4:$A$10000)))*1,[1]OUT_FinalEnergyCons!J$4:J$10000)</f>
        <v>6.9706257114636103E-4</v>
      </c>
      <c r="N2280" s="1"/>
    </row>
    <row r="2281" spans="2:14" x14ac:dyDescent="0.35">
      <c r="B2281" s="5" t="str">
        <f t="shared" si="2144"/>
        <v>SPS1</v>
      </c>
      <c r="C2281" s="5" t="str">
        <f t="shared" si="2145"/>
        <v>CH</v>
      </c>
      <c r="D2281" t="s">
        <v>2415</v>
      </c>
      <c r="E2281" t="str">
        <f t="shared" si="214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SUMPRODUCT(([1]OUT_FinalEnergyCons!$B$4:$B$10000="var_ncap")*1,  (ISNUMBER(SEARCH("ITOT-SWHNGAHP",[1]OUT_FinalEnergyCons!$A$4:$A$10000)))*1,[1]OUT_FinalEnergyCons!H$4:H$10000)</f>
        <v>2.7430596216651699E-5</v>
      </c>
      <c r="K2281" s="1" cm="1">
        <f t="array" ref="K2281">SUMPRODUCT(([1]OUT_FinalEnergyCons!$B$4:$B$10000="var_ncap")*1,  (ISNUMBER(SEARCH("ITOT-SWHNGAHP",[1]OUT_FinalEnergyCons!$A$4:$A$10000)))*1,[1]OUT_FinalEnergyCons!I$4:I$10000)</f>
        <v>3.1086726467858797E-5</v>
      </c>
      <c r="L2281" s="1" cm="1">
        <f t="array" ref="L2281">SUMPRODUCT(([1]OUT_FinalEnergyCons!$B$4:$B$10000="var_ncap")*1,  (ISNUMBER(SEARCH("ITOT-SWHNGAHP",[1]OUT_FinalEnergyCons!$A$4:$A$10000)))*1,[1]OUT_FinalEnergyCons!J$4:J$10000)</f>
        <v>2.8462525178302299E-2</v>
      </c>
      <c r="N2281" s="1"/>
    </row>
    <row r="2282" spans="2:14" x14ac:dyDescent="0.35">
      <c r="B2282" s="5" t="str">
        <f t="shared" si="2144"/>
        <v>SPS1</v>
      </c>
      <c r="C2282" s="5" t="str">
        <f t="shared" si="2145"/>
        <v>CH</v>
      </c>
      <c r="D2282" t="s">
        <v>2416</v>
      </c>
      <c r="E2282" t="str">
        <f t="shared" si="214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2.30465082282423E-2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3.52862107118425E-2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2.7433200542913899E-2</v>
      </c>
      <c r="N2282" s="1"/>
    </row>
    <row r="2283" spans="2:14" x14ac:dyDescent="0.35">
      <c r="B2283" s="5" t="str">
        <f t="shared" si="2144"/>
        <v>SPS1</v>
      </c>
      <c r="C2283" s="5" t="str">
        <f t="shared" si="2145"/>
        <v>CH</v>
      </c>
      <c r="D2283" t="s">
        <v>2417</v>
      </c>
      <c r="E2283" t="str">
        <f t="shared" si="2146"/>
        <v>GWth/yr.</v>
      </c>
      <c r="F2283" s="1">
        <f t="shared" ref="F2283:L2283" si="2157">F2284</f>
        <v>0</v>
      </c>
      <c r="G2283" s="1">
        <f t="shared" si="2157"/>
        <v>1.42592357857725E-5</v>
      </c>
      <c r="H2283" s="1">
        <f t="shared" si="2157"/>
        <v>1.3495378759131599E-5</v>
      </c>
      <c r="I2283" s="1">
        <f t="shared" si="2157"/>
        <v>1.1602172271724801E-5</v>
      </c>
      <c r="J2283" s="1">
        <f t="shared" si="2157"/>
        <v>6.00478391826936E-5</v>
      </c>
      <c r="K2283" s="1">
        <f t="shared" si="2157"/>
        <v>3.00464904181648E-6</v>
      </c>
      <c r="L2283" s="1">
        <f t="shared" si="2157"/>
        <v>2.7886617235401499E-5</v>
      </c>
      <c r="N2283" s="1"/>
    </row>
    <row r="2284" spans="2:14" x14ac:dyDescent="0.35">
      <c r="B2284" s="5" t="str">
        <f t="shared" si="2144"/>
        <v>SPS1</v>
      </c>
      <c r="C2284" s="5" t="str">
        <f t="shared" si="2145"/>
        <v>CH</v>
      </c>
      <c r="D2284" t="s">
        <v>2418</v>
      </c>
      <c r="E2284" t="str">
        <f t="shared" si="214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SUMPRODUCT(([1]OUT_FinalEnergyCons!$B$4:$B$10000="var_ncap")*1,  (ISNUMBER(SEARCH("ITOT-SWHCOA*BR",[1]OUT_FinalEnergyCons!$A$4:$A$10000)))*1,[1]OUT_FinalEnergyCons!H$4:H$10000)</f>
        <v>6.00478391826936E-5</v>
      </c>
      <c r="K2284" s="1" cm="1">
        <f t="array" ref="K2284">SUMPRODUCT(([1]OUT_FinalEnergyCons!$B$4:$B$10000="var_ncap")*1,  (ISNUMBER(SEARCH("ITOT-SWHCOA*BR",[1]OUT_FinalEnergyCons!$A$4:$A$10000)))*1,[1]OUT_FinalEnergyCons!I$4:I$10000)</f>
        <v>3.00464904181648E-6</v>
      </c>
      <c r="L2284" s="1" cm="1">
        <f t="array" ref="L2284">SUMPRODUCT(([1]OUT_FinalEnergyCons!$B$4:$B$10000="var_ncap")*1,  (ISNUMBER(SEARCH("ITOT-SWHCOA*BR",[1]OUT_FinalEnergyCons!$A$4:$A$10000)))*1,[1]OUT_FinalEnergyCons!J$4:J$10000)</f>
        <v>2.7886617235401499E-5</v>
      </c>
      <c r="N2284" s="1"/>
    </row>
    <row r="2285" spans="2:14" x14ac:dyDescent="0.35">
      <c r="B2285" s="5" t="str">
        <f t="shared" si="2144"/>
        <v>SPS1</v>
      </c>
      <c r="C2285" s="5" t="str">
        <f t="shared" si="2145"/>
        <v>CH</v>
      </c>
      <c r="D2285" t="s">
        <v>2419</v>
      </c>
      <c r="E2285" t="str">
        <f t="shared" si="2146"/>
        <v>GWth/yr.</v>
      </c>
      <c r="F2285" s="1">
        <f t="shared" ref="F2285:L2285" si="2158">F2286</f>
        <v>0</v>
      </c>
      <c r="G2285" s="1">
        <f t="shared" si="2158"/>
        <v>5.2654075770206699E-2</v>
      </c>
      <c r="H2285" s="1">
        <f t="shared" si="2158"/>
        <v>4.8074174048250903E-5</v>
      </c>
      <c r="I2285" s="1">
        <f t="shared" si="2158"/>
        <v>2.5368062039438899E-5</v>
      </c>
      <c r="J2285" s="1">
        <f t="shared" si="2158"/>
        <v>0.25366863364923198</v>
      </c>
      <c r="K2285" s="1">
        <f t="shared" si="2158"/>
        <v>9.1330064122079793E-2</v>
      </c>
      <c r="L2285" s="1">
        <f t="shared" si="2158"/>
        <v>0.21026669749087901</v>
      </c>
      <c r="N2285" s="1"/>
    </row>
    <row r="2286" spans="2:14" x14ac:dyDescent="0.35">
      <c r="B2286" s="5" t="str">
        <f t="shared" si="2144"/>
        <v>SPS1</v>
      </c>
      <c r="C2286" s="5" t="str">
        <f t="shared" si="2145"/>
        <v>CH</v>
      </c>
      <c r="D2286" t="s">
        <v>2420</v>
      </c>
      <c r="E2286" t="str">
        <f t="shared" si="214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SUMPRODUCT(([1]OUT_FinalEnergyCons!$B$4:$B$10000="var_ncap")*1,  (ISNUMBER(SEARCH("ITOT-SWHWOD*BR",[1]OUT_FinalEnergyCons!$A$4:$A$10000)))*1,[1]OUT_FinalEnergyCons!H$4:H$10000)</f>
        <v>0.25366863364923198</v>
      </c>
      <c r="K2286" s="1" cm="1">
        <f t="array" ref="K2286">SUMPRODUCT(([1]OUT_FinalEnergyCons!$B$4:$B$10000="var_ncap")*1,  (ISNUMBER(SEARCH("ITOT-SWHWOD*BR",[1]OUT_FinalEnergyCons!$A$4:$A$10000)))*1,[1]OUT_FinalEnergyCons!I$4:I$10000)</f>
        <v>9.1330064122079793E-2</v>
      </c>
      <c r="L2286" s="1" cm="1">
        <f t="array" ref="L2286">SUMPRODUCT(([1]OUT_FinalEnergyCons!$B$4:$B$10000="var_ncap")*1,  (ISNUMBER(SEARCH("ITOT-SWHWOD*BR",[1]OUT_FinalEnergyCons!$A$4:$A$10000)))*1,[1]OUT_FinalEnergyCons!J$4:J$10000)</f>
        <v>0.21026669749087901</v>
      </c>
      <c r="N2286" s="1"/>
    </row>
    <row r="2287" spans="2:14" x14ac:dyDescent="0.35">
      <c r="B2287" s="5" t="str">
        <f t="shared" si="2144"/>
        <v>SPS1</v>
      </c>
      <c r="C2287" s="5" t="str">
        <f t="shared" si="2145"/>
        <v>CH</v>
      </c>
      <c r="D2287" t="s">
        <v>2421</v>
      </c>
      <c r="E2287" t="str">
        <f t="shared" si="2146"/>
        <v>GWth/yr.</v>
      </c>
      <c r="F2287" s="1">
        <f t="shared" ref="F2287:L2287" si="2159">F2288</f>
        <v>0</v>
      </c>
      <c r="G2287" s="1">
        <f t="shared" si="2159"/>
        <v>8.1800199808040302E-3</v>
      </c>
      <c r="H2287" s="1">
        <f t="shared" si="2159"/>
        <v>5.3469323997206701E-5</v>
      </c>
      <c r="I2287" s="1">
        <f t="shared" si="2159"/>
        <v>1.7970751817863101E-5</v>
      </c>
      <c r="J2287" s="1">
        <f t="shared" si="2159"/>
        <v>1.9459963884966201E-2</v>
      </c>
      <c r="K2287" s="1">
        <f t="shared" si="2159"/>
        <v>1.8820242356356098E-2</v>
      </c>
      <c r="L2287" s="1">
        <f t="shared" si="2159"/>
        <v>1.2760334388498201E-2</v>
      </c>
      <c r="N2287" s="1"/>
    </row>
    <row r="2288" spans="2:14" x14ac:dyDescent="0.35">
      <c r="B2288" s="5" t="str">
        <f t="shared" si="2144"/>
        <v>SPS1</v>
      </c>
      <c r="C2288" s="5" t="str">
        <f t="shared" si="2145"/>
        <v>CH</v>
      </c>
      <c r="D2288" t="s">
        <v>2422</v>
      </c>
      <c r="E2288" t="str">
        <f t="shared" si="214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SUMPRODUCT(([1]OUT_FinalEnergyCons!$B$4:$B$10000="var_ncap")*1,  (ISNUMBER(SEARCH("ITOT-SWHPLT*BR",[1]OUT_FinalEnergyCons!$A$4:$A$10000)))*1,[1]OUT_FinalEnergyCons!H$4:H$10000)</f>
        <v>1.9459963884966201E-2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1.8820242356356098E-2</v>
      </c>
      <c r="L2288" s="1" cm="1">
        <f t="array" ref="L2288">SUMPRODUCT(([1]OUT_FinalEnergyCons!$B$4:$B$10000="var_ncap")*1,  (ISNUMBER(SEARCH("ITOT-SWHPLT*BR",[1]OUT_FinalEnergyCons!$A$4:$A$10000)))*1,[1]OUT_FinalEnergyCons!J$4:J$10000)</f>
        <v>1.2760334388498201E-2</v>
      </c>
      <c r="N2288" s="1"/>
    </row>
    <row r="2289" spans="2:14" x14ac:dyDescent="0.35">
      <c r="B2289" s="5" t="str">
        <f t="shared" si="2144"/>
        <v>SPS1</v>
      </c>
      <c r="C2289" s="5" t="str">
        <f t="shared" si="2145"/>
        <v>CH</v>
      </c>
      <c r="D2289" t="s">
        <v>2423</v>
      </c>
      <c r="E2289" t="str">
        <f t="shared" si="2146"/>
        <v>GWth/yr.</v>
      </c>
      <c r="F2289" s="1">
        <f t="shared" ref="F2289:L2289" si="2160">F2290</f>
        <v>0</v>
      </c>
      <c r="G2289" s="1">
        <f t="shared" si="2160"/>
        <v>1.93677519744774E-5</v>
      </c>
      <c r="H2289" s="1">
        <f t="shared" si="2160"/>
        <v>5.4754971392016098E-5</v>
      </c>
      <c r="I2289" s="1">
        <f t="shared" si="2160"/>
        <v>4.4429388593344397E-5</v>
      </c>
      <c r="J2289" s="1">
        <f t="shared" si="2160"/>
        <v>0.24108578381003601</v>
      </c>
      <c r="K2289" s="1">
        <f t="shared" si="2160"/>
        <v>9.8715375769984903E-2</v>
      </c>
      <c r="L2289" s="1">
        <f t="shared" si="2160"/>
        <v>5.0357913795973097E-3</v>
      </c>
      <c r="N2289" s="1"/>
    </row>
    <row r="2290" spans="2:14" x14ac:dyDescent="0.35">
      <c r="B2290" s="5" t="str">
        <f t="shared" si="2144"/>
        <v>SPS1</v>
      </c>
      <c r="C2290" s="5" t="str">
        <f t="shared" si="2145"/>
        <v>CH</v>
      </c>
      <c r="D2290" t="s">
        <v>2424</v>
      </c>
      <c r="E2290" t="str">
        <f t="shared" si="214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SUMPRODUCT(([1]OUT_FinalEnergyCons!$B$4:$B$10000="var_ncap")*1,  (ISNUMBER(SEARCH("ITOT-SWHWST*BR",[1]OUT_FinalEnergyCons!$A$4:$A$10000)))*1,[1]OUT_FinalEnergyCons!H$4:H$10000)</f>
        <v>0.24108578381003601</v>
      </c>
      <c r="K2290" s="1" cm="1">
        <f t="array" ref="K2290">SUMPRODUCT(([1]OUT_FinalEnergyCons!$B$4:$B$10000="var_ncap")*1,  (ISNUMBER(SEARCH("ITOT-SWHWST*BR",[1]OUT_FinalEnergyCons!$A$4:$A$10000)))*1,[1]OUT_FinalEnergyCons!I$4:I$10000)</f>
        <v>9.8715375769984903E-2</v>
      </c>
      <c r="L2290" s="1" cm="1">
        <f t="array" ref="L2290">SUMPRODUCT(([1]OUT_FinalEnergyCons!$B$4:$B$10000="var_ncap")*1,  (ISNUMBER(SEARCH("ITOT-SWHWST*BR",[1]OUT_FinalEnergyCons!$A$4:$A$10000)))*1,[1]OUT_FinalEnergyCons!J$4:J$10000)</f>
        <v>5.0357913795973097E-3</v>
      </c>
      <c r="N2290" s="1"/>
    </row>
    <row r="2291" spans="2:14" x14ac:dyDescent="0.35">
      <c r="B2291" s="5" t="str">
        <f t="shared" si="2144"/>
        <v>SPS1</v>
      </c>
      <c r="C2291" s="5" t="str">
        <f t="shared" si="2145"/>
        <v>CH</v>
      </c>
      <c r="D2291" t="s">
        <v>2425</v>
      </c>
      <c r="E2291" t="str">
        <f t="shared" si="2146"/>
        <v>GWth/yr.</v>
      </c>
      <c r="F2291" s="1">
        <f t="shared" ref="F2291:L2291" si="2161">F2292</f>
        <v>0</v>
      </c>
      <c r="G2291" s="1">
        <f t="shared" si="2161"/>
        <v>5.5894480300755701E-2</v>
      </c>
      <c r="H2291" s="1">
        <f t="shared" si="2161"/>
        <v>1.42109722401099E-7</v>
      </c>
      <c r="I2291" s="1">
        <f t="shared" si="2161"/>
        <v>1.9703636068248301E-7</v>
      </c>
      <c r="J2291" s="1">
        <f t="shared" si="2161"/>
        <v>3.45300046391568E-2</v>
      </c>
      <c r="K2291" s="1">
        <f t="shared" si="2161"/>
        <v>3.1183508174950501E-2</v>
      </c>
      <c r="L2291" s="1">
        <f t="shared" si="2161"/>
        <v>2.8476579489228899E-2</v>
      </c>
      <c r="N2291" s="1"/>
    </row>
    <row r="2292" spans="2:14" x14ac:dyDescent="0.35">
      <c r="B2292" s="5" t="str">
        <f t="shared" si="2144"/>
        <v>SPS1</v>
      </c>
      <c r="C2292" s="5" t="str">
        <f t="shared" si="2145"/>
        <v>CH</v>
      </c>
      <c r="D2292" t="s">
        <v>2426</v>
      </c>
      <c r="E2292" t="str">
        <f t="shared" si="214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SUMPRODUCT(([1]OUT_FinalEnergyCons!$B$4:$B$10000="var_ncap")*1, (ISNUMBER(SEARCH("ITOT-SWHSOLBR",[1]OUT_FinalEnergyCons!$A$4:$A$10000)))*1,[1]OUT_FinalEnergyCons!H$4:H$10000)</f>
        <v>3.45300046391568E-2</v>
      </c>
      <c r="K2292" s="1" cm="1">
        <f t="array" ref="K2292">SUMPRODUCT(([1]OUT_FinalEnergyCons!$B$4:$B$10000="var_ncap")*1, (ISNUMBER(SEARCH("ITOT-SWHSOLBR",[1]OUT_FinalEnergyCons!$A$4:$A$10000)))*1,[1]OUT_FinalEnergyCons!I$4:I$10000)</f>
        <v>3.1183508174950501E-2</v>
      </c>
      <c r="L2292" s="1" cm="1">
        <f t="array" ref="L2292">SUMPRODUCT(([1]OUT_FinalEnergyCons!$B$4:$B$10000="var_ncap")*1, (ISNUMBER(SEARCH("ITOT-SWHSOLBR",[1]OUT_FinalEnergyCons!$A$4:$A$10000)))*1,[1]OUT_FinalEnergyCons!J$4:J$10000)</f>
        <v>2.8476579489228899E-2</v>
      </c>
      <c r="N2292" s="1"/>
    </row>
    <row r="2293" spans="2:14" x14ac:dyDescent="0.35">
      <c r="B2293" s="5" t="str">
        <f t="shared" si="2144"/>
        <v>SPS1</v>
      </c>
      <c r="C2293" s="5" t="str">
        <f t="shared" si="2145"/>
        <v>CH</v>
      </c>
      <c r="D2293" t="s">
        <v>2427</v>
      </c>
      <c r="E2293" t="str">
        <f t="shared" si="2146"/>
        <v>GWth/yr.</v>
      </c>
      <c r="F2293" s="1">
        <f t="shared" ref="F2293:L2293" si="2162">F2294</f>
        <v>0</v>
      </c>
      <c r="G2293" s="1">
        <f t="shared" si="2162"/>
        <v>0</v>
      </c>
      <c r="H2293" s="1">
        <f t="shared" si="2162"/>
        <v>0</v>
      </c>
      <c r="I2293" s="1">
        <f t="shared" si="2162"/>
        <v>0</v>
      </c>
      <c r="J2293" s="1">
        <f t="shared" si="2162"/>
        <v>0.36364417207482602</v>
      </c>
      <c r="K2293" s="1">
        <f t="shared" si="2162"/>
        <v>9.0284982199174205E-2</v>
      </c>
      <c r="L2293" s="1">
        <f t="shared" si="2162"/>
        <v>0.20793163679551599</v>
      </c>
      <c r="N2293" s="1"/>
    </row>
    <row r="2294" spans="2:14" x14ac:dyDescent="0.35">
      <c r="B2294" s="5" t="str">
        <f t="shared" si="2144"/>
        <v>SPS1</v>
      </c>
      <c r="C2294" s="5" t="str">
        <f t="shared" si="2145"/>
        <v>CH</v>
      </c>
      <c r="D2294" t="s">
        <v>2428</v>
      </c>
      <c r="E2294" t="str">
        <f t="shared" si="214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0.36364417207482602</v>
      </c>
      <c r="K2294" s="1" cm="1">
        <f t="array" ref="K2294">SUMPRODUCT(([1]OUT_FinalEnergyCons!$B$4:$B$10000="var_ncap")*1, (ISNUMBER(SEARCH("ITOT-SWHH2BR",[1]OUT_FinalEnergyCons!$A$4:$A$10000)))*1,[1]OUT_FinalEnergyCons!I$4:I$10000)</f>
        <v>9.0284982199174205E-2</v>
      </c>
      <c r="L2294" s="1" cm="1">
        <f t="array" ref="L2294">SUMPRODUCT(([1]OUT_FinalEnergyCons!$B$4:$B$10000="var_ncap")*1, (ISNUMBER(SEARCH("ITOT-SWHH2BR",[1]OUT_FinalEnergyCons!$A$4:$A$10000)))*1,[1]OUT_FinalEnergyCons!J$4:J$10000)</f>
        <v>0.20793163679551599</v>
      </c>
      <c r="N2294" s="1"/>
    </row>
    <row r="2295" spans="2:14" x14ac:dyDescent="0.35">
      <c r="B2295" s="9" t="str">
        <f>'SPS3'!B1813</f>
        <v>SPS1</v>
      </c>
      <c r="C2295" s="9" t="str">
        <f>'SPS3'!C1813</f>
        <v>CH</v>
      </c>
      <c r="D2295" s="2" t="s">
        <v>2429</v>
      </c>
      <c r="E2295" s="9" t="str">
        <f t="shared" si="2146"/>
        <v>GWth/yr.</v>
      </c>
      <c r="F2295" s="17">
        <f t="shared" ref="F2295:K2295" si="2163">SUM(F2296,F2299,F2301,F2305,F2307,F2309,F2311)</f>
        <v>7.3687719175381046E-5</v>
      </c>
      <c r="G2295" s="17">
        <f t="shared" si="2163"/>
        <v>0.1103925931677273</v>
      </c>
      <c r="H2295" s="17">
        <f t="shared" si="2163"/>
        <v>0.24577246012099244</v>
      </c>
      <c r="I2295" s="17">
        <f t="shared" si="2163"/>
        <v>0.74102469287165695</v>
      </c>
      <c r="J2295" s="17">
        <f t="shared" si="2163"/>
        <v>2.4225684498240145</v>
      </c>
      <c r="K2295" s="17">
        <f t="shared" si="2163"/>
        <v>1.7414202479061105</v>
      </c>
      <c r="L2295" s="17">
        <f t="shared" ref="L2295" si="2164">SUM(L2296,L2299,L2301,L2305,L2307,L2309,L2311)</f>
        <v>1.8441259866285447</v>
      </c>
      <c r="N2295" s="1"/>
    </row>
    <row r="2296" spans="2:14" x14ac:dyDescent="0.35">
      <c r="B2296" s="5" t="str">
        <f t="shared" ref="B2296:B2312" si="2165">B2295</f>
        <v>SPS1</v>
      </c>
      <c r="C2296" s="5" t="str">
        <f t="shared" ref="C2296:C2312" si="2166">C2295</f>
        <v>CH</v>
      </c>
      <c r="D2296" t="s">
        <v>2430</v>
      </c>
      <c r="E2296" t="str">
        <f t="shared" si="2146"/>
        <v>GWth/yr.</v>
      </c>
      <c r="F2296" s="1">
        <f t="shared" ref="F2296:K2296" si="2167">SUM(F2297:F2298)</f>
        <v>4.2276438320730419E-6</v>
      </c>
      <c r="G2296" s="1">
        <f t="shared" si="2167"/>
        <v>3.5966019011499393E-6</v>
      </c>
      <c r="H2296" s="1">
        <f t="shared" si="2167"/>
        <v>6.9932527237505954E-2</v>
      </c>
      <c r="I2296" s="1">
        <f t="shared" si="2167"/>
        <v>0.59194479193316352</v>
      </c>
      <c r="J2296" s="1">
        <f t="shared" si="2167"/>
        <v>0.63637515428357527</v>
      </c>
      <c r="K2296" s="1">
        <f t="shared" si="2167"/>
        <v>0.78420121175182711</v>
      </c>
      <c r="L2296" s="1">
        <f t="shared" ref="L2296" si="2168">SUM(L2297:L2298)</f>
        <v>0.9262051721750364</v>
      </c>
      <c r="N2296" s="1"/>
    </row>
    <row r="2297" spans="2:14" x14ac:dyDescent="0.35">
      <c r="B2297" s="5" t="str">
        <f t="shared" si="2165"/>
        <v>SPS1</v>
      </c>
      <c r="C2297" s="5" t="str">
        <f t="shared" si="2166"/>
        <v>CH</v>
      </c>
      <c r="D2297" t="s">
        <v>2431</v>
      </c>
      <c r="E2297" t="str">
        <f t="shared" si="214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SUMPRODUCT(([1]OUT_FinalEnergyCons!$B$4:$B$10000="var_ncap")*1, (ISNUMBER(SEARCH("SCOM-SHELCBR",[1]OUT_FinalEnergyCons!$A$4:$A$10000)))*1,[1]OUT_FinalEnergyCons!H$4:H$10000)</f>
        <v>1.19784428220783E-2</v>
      </c>
      <c r="K2297" s="1" cm="1">
        <f t="array" ref="K2297">SUMPRODUCT(([1]OUT_FinalEnergyCons!$B$4:$B$10000="var_ncap")*1, (ISNUMBER(SEARCH("SCOM-SHELCBR",[1]OUT_FinalEnergyCons!$A$4:$A$10000)))*1,[1]OUT_FinalEnergyCons!I$4:I$10000)</f>
        <v>1.16426763620341E-2</v>
      </c>
      <c r="L2297" s="1" cm="1">
        <f t="array" ref="L2297">SUMPRODUCT(([1]OUT_FinalEnergyCons!$B$4:$B$10000="var_ncap")*1, (ISNUMBER(SEARCH("SCOM-SHELCBR",[1]OUT_FinalEnergyCons!$A$4:$A$10000)))*1,[1]OUT_FinalEnergyCons!J$4:J$10000)</f>
        <v>2.24251444610343E-4</v>
      </c>
      <c r="N2297" s="1"/>
    </row>
    <row r="2298" spans="2:14" x14ac:dyDescent="0.35">
      <c r="B2298" s="5" t="str">
        <f t="shared" si="2165"/>
        <v>SPS1</v>
      </c>
      <c r="C2298" s="5" t="str">
        <f t="shared" si="2166"/>
        <v>CH</v>
      </c>
      <c r="D2298" t="s">
        <v>2432</v>
      </c>
      <c r="E2298" t="str">
        <f t="shared" si="214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SUMPRODUCT(([1]OUT_FinalEnergyCons!$B$4:$B$10000="var_ncap")*1, (ISNUMBER(SEARCH("SCOM-SHELCHP",[1]OUT_FinalEnergyCons!$A$4:$A$10000)))*1,[1]OUT_FinalEnergyCons!H$4:H$10000)</f>
        <v>0.624396711461497</v>
      </c>
      <c r="K2298" s="1" cm="1">
        <f t="array" ref="K2298">SUMPRODUCT(([1]OUT_FinalEnergyCons!$B$4:$B$10000="var_ncap")*1, (ISNUMBER(SEARCH("SCOM-SHELCHP",[1]OUT_FinalEnergyCons!$A$4:$A$10000)))*1,[1]OUT_FinalEnergyCons!I$4:I$10000)</f>
        <v>0.77255853538979302</v>
      </c>
      <c r="L2298" s="1" cm="1">
        <f t="array" ref="L2298">SUMPRODUCT(([1]OUT_FinalEnergyCons!$B$4:$B$10000="var_ncap")*1, (ISNUMBER(SEARCH("SCOM-SHELCHP",[1]OUT_FinalEnergyCons!$A$4:$A$10000)))*1,[1]OUT_FinalEnergyCons!J$4:J$10000)</f>
        <v>0.92598092073042604</v>
      </c>
      <c r="N2298" s="1"/>
    </row>
    <row r="2299" spans="2:14" x14ac:dyDescent="0.35">
      <c r="B2299" s="5" t="str">
        <f t="shared" si="2165"/>
        <v>SPS1</v>
      </c>
      <c r="C2299" s="5" t="str">
        <f t="shared" si="2166"/>
        <v>CH</v>
      </c>
      <c r="D2299" t="s">
        <v>2433</v>
      </c>
      <c r="E2299" t="str">
        <f t="shared" si="2146"/>
        <v>GWth/yr.</v>
      </c>
      <c r="F2299" s="1">
        <f t="shared" ref="F2299:L2299" si="2169">F2300</f>
        <v>2.32413958126165E-6</v>
      </c>
      <c r="G2299" s="1">
        <f t="shared" si="2169"/>
        <v>1.62985990115554E-6</v>
      </c>
      <c r="H2299" s="1">
        <f t="shared" si="2169"/>
        <v>1.52209550494033E-6</v>
      </c>
      <c r="I2299" s="1">
        <f t="shared" si="2169"/>
        <v>1.86076836266184E-6</v>
      </c>
      <c r="J2299" s="1">
        <f t="shared" si="2169"/>
        <v>0.18875058392462599</v>
      </c>
      <c r="K2299" s="1">
        <f t="shared" si="2169"/>
        <v>7.68538753109316E-6</v>
      </c>
      <c r="L2299" s="1">
        <f t="shared" si="2169"/>
        <v>4.7697839319464798E-7</v>
      </c>
      <c r="N2299" s="1"/>
    </row>
    <row r="2300" spans="2:14" x14ac:dyDescent="0.35">
      <c r="B2300" s="5" t="str">
        <f t="shared" si="2165"/>
        <v>SPS1</v>
      </c>
      <c r="C2300" s="5" t="str">
        <f t="shared" si="2166"/>
        <v>CH</v>
      </c>
      <c r="D2300" t="s">
        <v>2434</v>
      </c>
      <c r="E2300" t="str">
        <f t="shared" ref="E2300:E2312" si="217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SUMPRODUCT(([1]OUT_FinalEnergyCons!$B$4:$B$10000="var_ncap")*1,(ISNUMBER(SEARCH("SCOM-SHLFOBR",[1]OUT_FinalEnergyCons!$A$4:$A$10000)))*1,[1]OUT_FinalEnergyCons!H$4:H$10000)</f>
        <v>0.18875058392462599</v>
      </c>
      <c r="K2300" s="1" cm="1">
        <f t="array" ref="K2300">SUMPRODUCT(([1]OUT_FinalEnergyCons!$B$4:$B$10000="var_ncap")*1,(ISNUMBER(SEARCH("SCOM-SHLFOBR",[1]OUT_FinalEnergyCons!$A$4:$A$10000)))*1,[1]OUT_FinalEnergyCons!I$4:I$10000)</f>
        <v>7.68538753109316E-6</v>
      </c>
      <c r="L2300" s="1" cm="1">
        <f t="array" ref="L2300">SUMPRODUCT(([1]OUT_FinalEnergyCons!$B$4:$B$10000="var_ncap")*1,(ISNUMBER(SEARCH("SCOM-SHLFOBR",[1]OUT_FinalEnergyCons!$A$4:$A$10000)))*1,[1]OUT_FinalEnergyCons!J$4:J$10000)</f>
        <v>4.7697839319464798E-7</v>
      </c>
      <c r="N2300" s="1"/>
    </row>
    <row r="2301" spans="2:14" x14ac:dyDescent="0.35">
      <c r="B2301" s="5" t="str">
        <f t="shared" si="2165"/>
        <v>SPS1</v>
      </c>
      <c r="C2301" s="5" t="str">
        <f t="shared" si="2166"/>
        <v>CH</v>
      </c>
      <c r="D2301" t="s">
        <v>2435</v>
      </c>
      <c r="E2301" t="str">
        <f t="shared" si="2170"/>
        <v>GWth/yr.</v>
      </c>
      <c r="F2301" s="1">
        <f t="shared" ref="F2301:K2301" si="2171">SUM(F2302:F2304)</f>
        <v>2.3297496233326951E-6</v>
      </c>
      <c r="G2301" s="1">
        <f t="shared" si="2171"/>
        <v>1.0695073032803771E-4</v>
      </c>
      <c r="H2301" s="1">
        <f t="shared" si="2171"/>
        <v>0.17583262600420232</v>
      </c>
      <c r="I2301" s="1">
        <f t="shared" si="2171"/>
        <v>0.13040385289045681</v>
      </c>
      <c r="J2301" s="1">
        <f t="shared" si="2171"/>
        <v>0.33615028712076594</v>
      </c>
      <c r="K2301" s="1">
        <f t="shared" si="2171"/>
        <v>0.26352229362787039</v>
      </c>
      <c r="L2301" s="1">
        <f t="shared" ref="L2301" si="2172">SUM(L2302:L2304)</f>
        <v>0.17704766686105439</v>
      </c>
      <c r="N2301" s="1"/>
    </row>
    <row r="2302" spans="2:14" x14ac:dyDescent="0.35">
      <c r="B2302" s="5" t="str">
        <f t="shared" si="2165"/>
        <v>SPS1</v>
      </c>
      <c r="C2302" s="5" t="str">
        <f t="shared" si="2166"/>
        <v>CH</v>
      </c>
      <c r="D2302" t="s">
        <v>2436</v>
      </c>
      <c r="E2302" t="str">
        <f t="shared" si="217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SUMPRODUCT(([1]OUT_FinalEnergyCons!$B$4:$B$10000="var_ncap")*1, (ISNUMBER(SEARCH("SCOM-SHNGABR",[1]OUT_FinalEnergyCons!$A$4:$A$10000)))*1,[1]OUT_FinalEnergyCons!H$4:H$10000)</f>
        <v>0.263303063980448</v>
      </c>
      <c r="K2302" s="1" cm="1">
        <f t="array" ref="K2302">SUMPRODUCT(([1]OUT_FinalEnergyCons!$B$4:$B$10000="var_ncap")*1, (ISNUMBER(SEARCH("SCOM-SHNGABR",[1]OUT_FinalEnergyCons!$A$4:$A$10000)))*1,[1]OUT_FinalEnergyCons!I$4:I$10000)</f>
        <v>3.6197104309444802E-5</v>
      </c>
      <c r="L2302" s="1" cm="1">
        <f t="array" ref="L2302">SUMPRODUCT(([1]OUT_FinalEnergyCons!$B$4:$B$10000="var_ncap")*1, (ISNUMBER(SEARCH("SCOM-SHNGABR",[1]OUT_FinalEnergyCons!$A$4:$A$10000)))*1,[1]OUT_FinalEnergyCons!J$4:J$10000)</f>
        <v>5.6229425770262002E-6</v>
      </c>
      <c r="N2302" s="1"/>
    </row>
    <row r="2303" spans="2:14" x14ac:dyDescent="0.35">
      <c r="B2303" s="5" t="str">
        <f t="shared" si="2165"/>
        <v>SPS1</v>
      </c>
      <c r="C2303" s="5" t="str">
        <f t="shared" si="2166"/>
        <v>CH</v>
      </c>
      <c r="D2303" t="s">
        <v>2437</v>
      </c>
      <c r="E2303" t="str">
        <f t="shared" si="217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SUMPRODUCT(([1]OUT_FinalEnergyCons!$B$4:$B$10000="var_ncap")*1, (ISNUMBER(SEARCH("SCOM-SHngahp",[1]OUT_FinalEnergyCons!$A$4:$A$10000)))*1,[1]OUT_FinalEnergyCons!H$4:H$10000)</f>
        <v>7.2763053667422695E-2</v>
      </c>
      <c r="K2303" s="1" cm="1">
        <f t="array" ref="K2303">SUMPRODUCT(([1]OUT_FinalEnergyCons!$B$4:$B$10000="var_ncap")*1, (ISNUMBER(SEARCH("SCOM-SHngahp",[1]OUT_FinalEnergyCons!$A$4:$A$10000)))*1,[1]OUT_FinalEnergyCons!I$4:I$10000)</f>
        <v>0.26339654655987399</v>
      </c>
      <c r="L2303" s="1" cm="1">
        <f t="array" ref="L2303">SUMPRODUCT(([1]OUT_FinalEnergyCons!$B$4:$B$10000="var_ncap")*1, (ISNUMBER(SEARCH("SCOM-SHngahp",[1]OUT_FinalEnergyCons!$A$4:$A$10000)))*1,[1]OUT_FinalEnergyCons!J$4:J$10000)</f>
        <v>0.17699952597173799</v>
      </c>
      <c r="N2303" s="1"/>
    </row>
    <row r="2304" spans="2:14" x14ac:dyDescent="0.35">
      <c r="B2304" s="5" t="str">
        <f t="shared" si="2165"/>
        <v>SPS1</v>
      </c>
      <c r="C2304" s="5" t="str">
        <f t="shared" si="2166"/>
        <v>CH</v>
      </c>
      <c r="D2304" t="s">
        <v>2438</v>
      </c>
      <c r="E2304" t="str">
        <f t="shared" si="217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8.4169472895260196E-5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8.9549963686952401E-5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4.2517946739363202E-5</v>
      </c>
      <c r="N2304" s="1"/>
    </row>
    <row r="2305" spans="2:14" x14ac:dyDescent="0.35">
      <c r="B2305" s="5" t="str">
        <f t="shared" si="2165"/>
        <v>SPS1</v>
      </c>
      <c r="C2305" s="5" t="str">
        <f t="shared" si="2166"/>
        <v>CH</v>
      </c>
      <c r="D2305" t="s">
        <v>2439</v>
      </c>
      <c r="E2305" t="str">
        <f t="shared" si="2170"/>
        <v>GWth/yr.</v>
      </c>
      <c r="F2305" s="1">
        <f t="shared" ref="F2305:L2305" si="2173">F2306</f>
        <v>2.60520127497197E-5</v>
      </c>
      <c r="G2305" s="1">
        <f t="shared" si="2173"/>
        <v>7.7137754269244296E-2</v>
      </c>
      <c r="H2305" s="1">
        <f t="shared" si="2173"/>
        <v>1.58610599839601E-6</v>
      </c>
      <c r="I2305" s="1">
        <f t="shared" si="2173"/>
        <v>2.4223013300442198E-6</v>
      </c>
      <c r="J2305" s="1">
        <f t="shared" si="2173"/>
        <v>0.20204294945596701</v>
      </c>
      <c r="K2305" s="1">
        <f t="shared" si="2173"/>
        <v>1.18549116555533E-2</v>
      </c>
      <c r="L2305" s="1">
        <f t="shared" si="2173"/>
        <v>1.02516347674218E-6</v>
      </c>
      <c r="N2305" s="1"/>
    </row>
    <row r="2306" spans="2:14" x14ac:dyDescent="0.35">
      <c r="B2306" s="5" t="str">
        <f t="shared" si="2165"/>
        <v>SPS1</v>
      </c>
      <c r="C2306" s="5" t="str">
        <f t="shared" si="2166"/>
        <v>CH</v>
      </c>
      <c r="D2306" t="s">
        <v>2440</v>
      </c>
      <c r="E2306" t="str">
        <f t="shared" si="217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SUMPRODUCT(([1]OUT_FinalEnergyCons!$B$4:$B$10000="var_ncap")*1, (ISNUMBER(SEARCH("SCOM-SHWODBR",[1]OUT_FinalEnergyCons!$A$4:$A$10000)))*1,[1]OUT_FinalEnergyCons!H$4:H$10000)</f>
        <v>0.20204294945596701</v>
      </c>
      <c r="K2306" s="1" cm="1">
        <f t="array" ref="K2306">SUMPRODUCT(([1]OUT_FinalEnergyCons!$B$4:$B$10000="var_ncap")*1, (ISNUMBER(SEARCH("SCOM-SHWODBR",[1]OUT_FinalEnergyCons!$A$4:$A$10000)))*1,[1]OUT_FinalEnergyCons!I$4:I$10000)</f>
        <v>1.18549116555533E-2</v>
      </c>
      <c r="L2306" s="1" cm="1">
        <f t="array" ref="L2306">SUMPRODUCT(([1]OUT_FinalEnergyCons!$B$4:$B$10000="var_ncap")*1, (ISNUMBER(SEARCH("SCOM-SHWODBR",[1]OUT_FinalEnergyCons!$A$4:$A$10000)))*1,[1]OUT_FinalEnergyCons!J$4:J$10000)</f>
        <v>1.02516347674218E-6</v>
      </c>
      <c r="N2306" s="1"/>
    </row>
    <row r="2307" spans="2:14" x14ac:dyDescent="0.35">
      <c r="B2307" s="5" t="str">
        <f t="shared" si="2165"/>
        <v>SPS1</v>
      </c>
      <c r="C2307" s="5" t="str">
        <f t="shared" si="2166"/>
        <v>CH</v>
      </c>
      <c r="D2307" t="s">
        <v>2441</v>
      </c>
      <c r="E2307" t="str">
        <f t="shared" si="2170"/>
        <v>GWth/yr.</v>
      </c>
      <c r="F2307" s="1">
        <f t="shared" ref="F2307:L2307" si="2174">F2308</f>
        <v>4.6778508406623502E-6</v>
      </c>
      <c r="G2307" s="1">
        <f t="shared" si="2174"/>
        <v>2.4367091578579001E-2</v>
      </c>
      <c r="H2307" s="1">
        <f t="shared" si="2174"/>
        <v>8.7691177289598198E-7</v>
      </c>
      <c r="I2307" s="1">
        <f t="shared" si="2174"/>
        <v>1.77443550316708E-6</v>
      </c>
      <c r="J2307" s="1">
        <f t="shared" si="2174"/>
        <v>3.0557106704746199E-3</v>
      </c>
      <c r="K2307" s="1">
        <f t="shared" si="2174"/>
        <v>3.4742904828632499E-3</v>
      </c>
      <c r="L2307" s="1">
        <f t="shared" si="2174"/>
        <v>3.8043723777419401E-7</v>
      </c>
      <c r="N2307" s="1"/>
    </row>
    <row r="2308" spans="2:14" x14ac:dyDescent="0.35">
      <c r="B2308" s="5" t="str">
        <f t="shared" si="2165"/>
        <v>SPS1</v>
      </c>
      <c r="C2308" s="5" t="str">
        <f t="shared" si="2166"/>
        <v>CH</v>
      </c>
      <c r="D2308" t="s">
        <v>2442</v>
      </c>
      <c r="E2308" t="str">
        <f t="shared" si="217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SUMPRODUCT(([1]OUT_FinalEnergyCons!$B$4:$B$10000="var_ncap")*1,(ISNUMBER(SEARCH("SCOM-SHPLTBR",[1]OUT_FinalEnergyCons!$A$4:$A$10000)))*1,[1]OUT_FinalEnergyCons!H$4:H$10000)</f>
        <v>3.0557106704746199E-3</v>
      </c>
      <c r="K2308" s="1" cm="1">
        <f t="array" ref="K2308">SUMPRODUCT(([1]OUT_FinalEnergyCons!$B$4:$B$10000="var_ncap")*1,(ISNUMBER(SEARCH("SCOM-SHPLTBR",[1]OUT_FinalEnergyCons!$A$4:$A$10000)))*1,[1]OUT_FinalEnergyCons!I$4:I$10000)</f>
        <v>3.4742904828632499E-3</v>
      </c>
      <c r="L2308" s="1" cm="1">
        <f t="array" ref="L2308">SUMPRODUCT(([1]OUT_FinalEnergyCons!$B$4:$B$10000="var_ncap")*1,(ISNUMBER(SEARCH("SCOM-SHPLTBR",[1]OUT_FinalEnergyCons!$A$4:$A$10000)))*1,[1]OUT_FinalEnergyCons!J$4:J$10000)</f>
        <v>3.8043723777419401E-7</v>
      </c>
      <c r="N2308" s="1"/>
    </row>
    <row r="2309" spans="2:14" x14ac:dyDescent="0.35">
      <c r="B2309" s="5" t="str">
        <f t="shared" si="2165"/>
        <v>SPS1</v>
      </c>
      <c r="C2309" s="5" t="str">
        <f t="shared" si="2166"/>
        <v>CH</v>
      </c>
      <c r="D2309" t="s">
        <v>2443</v>
      </c>
      <c r="E2309" t="str">
        <f t="shared" si="2170"/>
        <v>GWth/yr.</v>
      </c>
      <c r="F2309" s="1">
        <f t="shared" ref="F2309:L2309" si="2175">F2310</f>
        <v>3.4076322548331601E-5</v>
      </c>
      <c r="G2309" s="1">
        <f t="shared" si="2175"/>
        <v>8.7755701277736596E-3</v>
      </c>
      <c r="H2309" s="1">
        <f t="shared" si="2175"/>
        <v>3.3217660079181102E-6</v>
      </c>
      <c r="I2309" s="1">
        <f t="shared" si="2175"/>
        <v>1.8668359518979698E-2</v>
      </c>
      <c r="J2309" s="1">
        <f t="shared" si="2175"/>
        <v>9.2317868477494597E-2</v>
      </c>
      <c r="K2309" s="1">
        <f t="shared" si="2175"/>
        <v>5.9852315386612398E-2</v>
      </c>
      <c r="L2309" s="1">
        <f t="shared" si="2175"/>
        <v>0.137207467631553</v>
      </c>
      <c r="N2309" s="1"/>
    </row>
    <row r="2310" spans="2:14" x14ac:dyDescent="0.35">
      <c r="B2310" s="5" t="str">
        <f t="shared" si="2165"/>
        <v>SPS1</v>
      </c>
      <c r="C2310" s="5" t="str">
        <f t="shared" si="2166"/>
        <v>CH</v>
      </c>
      <c r="D2310" t="s">
        <v>2444</v>
      </c>
      <c r="E2310" t="str">
        <f t="shared" si="217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SUMPRODUCT(([1]OUT_FinalEnergyCons!$B$4:$B$10000="var_ncap")*1, (ISNUMBER(SEARCH("SCOM-SHSOLBR",[1]OUT_FinalEnergyCons!$A$4:$A$10000)))*1,[1]OUT_FinalEnergyCons!H$4:H$10000)</f>
        <v>9.2317868477494597E-2</v>
      </c>
      <c r="K2310" s="1" cm="1">
        <f t="array" ref="K2310">SUMPRODUCT(([1]OUT_FinalEnergyCons!$B$4:$B$10000="var_ncap")*1, (ISNUMBER(SEARCH("SCOM-SHSOLBR",[1]OUT_FinalEnergyCons!$A$4:$A$10000)))*1,[1]OUT_FinalEnergyCons!I$4:I$10000)</f>
        <v>5.9852315386612398E-2</v>
      </c>
      <c r="L2310" s="1" cm="1">
        <f t="array" ref="L2310">SUMPRODUCT(([1]OUT_FinalEnergyCons!$B$4:$B$10000="var_ncap")*1, (ISNUMBER(SEARCH("SCOM-SHSOLBR",[1]OUT_FinalEnergyCons!$A$4:$A$10000)))*1,[1]OUT_FinalEnergyCons!J$4:J$10000)</f>
        <v>0.137207467631553</v>
      </c>
      <c r="N2310" s="1"/>
    </row>
    <row r="2311" spans="2:14" x14ac:dyDescent="0.35">
      <c r="B2311" s="5" t="str">
        <f t="shared" si="2165"/>
        <v>SPS1</v>
      </c>
      <c r="C2311" s="5" t="str">
        <f t="shared" si="2166"/>
        <v>CH</v>
      </c>
      <c r="D2311" t="s">
        <v>2445</v>
      </c>
      <c r="E2311" t="str">
        <f t="shared" si="2170"/>
        <v>GWth/yr.</v>
      </c>
      <c r="F2311" s="1">
        <f t="shared" ref="F2311:L2311" si="2176">F2312</f>
        <v>0</v>
      </c>
      <c r="G2311" s="1">
        <f t="shared" si="2176"/>
        <v>0</v>
      </c>
      <c r="H2311" s="1">
        <f t="shared" si="2176"/>
        <v>0</v>
      </c>
      <c r="I2311" s="1">
        <f t="shared" si="2176"/>
        <v>1.6310238609986699E-6</v>
      </c>
      <c r="J2311" s="1">
        <f t="shared" si="2176"/>
        <v>0.963875895891111</v>
      </c>
      <c r="K2311" s="1">
        <f t="shared" si="2176"/>
        <v>0.61850753961385296</v>
      </c>
      <c r="L2311" s="1">
        <f t="shared" si="2176"/>
        <v>0.60366379738179299</v>
      </c>
      <c r="N2311" s="1"/>
    </row>
    <row r="2312" spans="2:14" x14ac:dyDescent="0.35">
      <c r="B2312" s="5" t="str">
        <f t="shared" si="2165"/>
        <v>SPS1</v>
      </c>
      <c r="C2312" s="5" t="str">
        <f t="shared" si="2166"/>
        <v>CH</v>
      </c>
      <c r="D2312" t="s">
        <v>2446</v>
      </c>
      <c r="E2312" t="str">
        <f t="shared" si="217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SUMPRODUCT(([1]OUT_FinalEnergyCons!$B$4:$B$10000="var_ncap")*1, (ISNUMBER(SEARCH("SCOM-SHH2BR",[1]OUT_FinalEnergyCons!$A$4:$A$10000)))*1,[1]OUT_FinalEnergyCons!H$4:H$10000)</f>
        <v>0.963875895891111</v>
      </c>
      <c r="K2312" s="1" cm="1">
        <f t="array" ref="K2312">SUMPRODUCT(([1]OUT_FinalEnergyCons!$B$4:$B$10000="var_ncap")*1, (ISNUMBER(SEARCH("SCOM-SHH2BR",[1]OUT_FinalEnergyCons!$A$4:$A$10000)))*1,[1]OUT_FinalEnergyCons!I$4:I$10000)</f>
        <v>0.61850753961385296</v>
      </c>
      <c r="L2312" s="1" cm="1">
        <f t="array" ref="L2312">SUMPRODUCT(([1]OUT_FinalEnergyCons!$B$4:$B$10000="var_ncap")*1, (ISNUMBER(SEARCH("SCOM-SHH2BR",[1]OUT_FinalEnergyCons!$A$4:$A$10000)))*1,[1]OUT_FinalEnergyCons!J$4:J$10000)</f>
        <v>0.60366379738179299</v>
      </c>
      <c r="N2312" s="1"/>
    </row>
    <row r="2313" spans="2:14" x14ac:dyDescent="0.35">
      <c r="B2313" s="5" t="str">
        <f>'SPS3'!B2021</f>
        <v>SPS1</v>
      </c>
      <c r="C2313" s="5" t="str">
        <f>'SPS3'!C2021</f>
        <v>CH</v>
      </c>
      <c r="D2313" s="2" t="s">
        <v>2448</v>
      </c>
      <c r="E2313" s="2" t="s">
        <v>2154</v>
      </c>
      <c r="F2313" s="3">
        <f t="shared" ref="F2313:K2313" si="2177">SUM(F2314,F2318,F2321)</f>
        <v>4.11416983932213E-4</v>
      </c>
      <c r="G2313" s="3">
        <f t="shared" si="2177"/>
        <v>2.5784491327660198E-6</v>
      </c>
      <c r="H2313" s="3">
        <f t="shared" si="2177"/>
        <v>1.6103811153679899E-6</v>
      </c>
      <c r="I2313" s="3">
        <f t="shared" si="2177"/>
        <v>2.0670713116209868E-5</v>
      </c>
      <c r="J2313" s="3">
        <f t="shared" si="2177"/>
        <v>0.20524306682151722</v>
      </c>
      <c r="K2313" s="3">
        <f t="shared" si="2177"/>
        <v>0.29156856111567375</v>
      </c>
      <c r="L2313" s="3">
        <f t="shared" ref="L2313" si="2178">SUM(L2314,L2318,L2321)</f>
        <v>0.50994206762096639</v>
      </c>
      <c r="N2313" s="1"/>
    </row>
    <row r="2314" spans="2:14" x14ac:dyDescent="0.35">
      <c r="B2314" s="5" t="str">
        <f t="shared" ref="B2314:B2340" si="2179">B2313</f>
        <v>SPS1</v>
      </c>
      <c r="C2314" s="5" t="str">
        <f t="shared" ref="C2314:C2340" si="218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SUMPRODUCT(ISNUMBER(SEARCH("SUP_ELCH2*",[1]OUT_SyntheticFuels!$C$4:$C$1000))*1,("var_ncap"=[1]OUT_SyntheticFuels!$B$4:$B$1000)*1,[1]OUT_SyntheticFuels!I$4:I$1000)</f>
        <v>0.20524213501343</v>
      </c>
      <c r="K2314" s="1" cm="1">
        <f t="array" ref="K2314">SUMPRODUCT(ISNUMBER(SEARCH("SUP_ELCH2*",[1]OUT_SyntheticFuels!$C$4:$C$1000))*1,("var_ncap"=[1]OUT_SyntheticFuels!$B$4:$B$1000)*1,[1]OUT_SyntheticFuels!J$4:J$1000)</f>
        <v>0.29156789504428798</v>
      </c>
      <c r="L2314" s="1" cm="1">
        <f t="array" ref="L2314">SUMPRODUCT(ISNUMBER(SEARCH("SUP_ELCH2*",[1]OUT_SyntheticFuels!$C$4:$C$1000))*1,("var_ncap"=[1]OUT_SyntheticFuels!$B$4:$B$1000)*1,[1]OUT_SyntheticFuels!K$4:K$1000)</f>
        <v>0.50994155354784798</v>
      </c>
      <c r="N2314" s="1"/>
    </row>
    <row r="2315" spans="2:14" x14ac:dyDescent="0.35">
      <c r="B2315" s="5" t="str">
        <f t="shared" si="2179"/>
        <v>SPS1</v>
      </c>
      <c r="C2315" s="5" t="str">
        <f t="shared" si="2180"/>
        <v>CH</v>
      </c>
      <c r="D2315" t="s">
        <v>2450</v>
      </c>
      <c r="E2315" t="s">
        <v>2154</v>
      </c>
      <c r="F2315" s="1">
        <f t="shared" ref="F2315:K2315" si="2181">F2314-F2316-F2317</f>
        <v>4.11416983932213E-4</v>
      </c>
      <c r="G2315" s="1">
        <f t="shared" si="2181"/>
        <v>2.5784491327660198E-6</v>
      </c>
      <c r="H2315" s="1">
        <f t="shared" si="2181"/>
        <v>1.6103811153679899E-6</v>
      </c>
      <c r="I2315" s="1">
        <f t="shared" si="2181"/>
        <v>1.9999115011909101E-5</v>
      </c>
      <c r="J2315" s="1">
        <f t="shared" si="2181"/>
        <v>0.20524213501343</v>
      </c>
      <c r="K2315" s="1">
        <f t="shared" si="2181"/>
        <v>0.29156789504428798</v>
      </c>
      <c r="L2315" s="1">
        <f t="shared" ref="L2315" si="2182">L2314-L2316-L2317</f>
        <v>0.50994155354784798</v>
      </c>
      <c r="N2315" s="1"/>
    </row>
    <row r="2316" spans="2:14" x14ac:dyDescent="0.35">
      <c r="B2316" s="5" t="str">
        <f t="shared" si="2179"/>
        <v>SPS1</v>
      </c>
      <c r="C2316" s="5" t="str">
        <f t="shared" si="218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SUMPRODUCT(ISNUMBER(SEARCH("SUP_ELCH2*D",[1]OUT_SyntheticFuels!$C$4:$C$1000))*1,("var_ncap"=[1]OUT_SyntheticFuels!$B$4:$B$1000)*1,[1]OUT_SyntheticFuels!I$4:I$1000)</f>
        <v>0</v>
      </c>
      <c r="K2316" s="1" cm="1">
        <f t="array" ref="K2316">SUMPRODUCT(ISNUMBER(SEARCH("SUP_ELCH2*D",[1]OUT_SyntheticFuels!$C$4:$C$1000))*1,("var_ncap"=[1]OUT_SyntheticFuels!$B$4:$B$1000)*1,[1]OUT_SyntheticFuels!J$4:J$1000)</f>
        <v>0</v>
      </c>
      <c r="L2316" s="1" cm="1">
        <f t="array" ref="L2316">SUMPRODUCT(ISNUMBER(SEARCH("SUP_ELCH2*D",[1]OUT_SyntheticFuels!$C$4:$C$1000))*1,("var_ncap"=[1]OUT_SyntheticFuels!$B$4:$B$1000)*1,[1]OUT_SyntheticFuels!K$4:K$1000)</f>
        <v>0</v>
      </c>
      <c r="N2316" s="1"/>
    </row>
    <row r="2317" spans="2:14" x14ac:dyDescent="0.35">
      <c r="B2317" s="5" t="str">
        <f t="shared" si="2179"/>
        <v>SPS1</v>
      </c>
      <c r="C2317" s="5" t="str">
        <f t="shared" si="218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0</v>
      </c>
      <c r="L2317" s="1" cm="1">
        <f t="array" ref="L2317">SUMPRODUCT(ISNUMBER(SEARCH("SUP_ELCH2*SOEC*",[1]OUT_SyntheticFuels!$C$4:$C$1000))*1,("var_ncap"=[1]OUT_SyntheticFuels!$B$4:$B$1000)*1,[1]OUT_SyntheticFuels!K$4:K$1000)</f>
        <v>0</v>
      </c>
      <c r="N2317" s="1"/>
    </row>
    <row r="2318" spans="2:14" x14ac:dyDescent="0.35">
      <c r="B2318" s="5" t="str">
        <f t="shared" si="2179"/>
        <v>SPS1</v>
      </c>
      <c r="C2318" s="5" t="str">
        <f t="shared" si="2180"/>
        <v>CH</v>
      </c>
      <c r="D2318" t="s">
        <v>2453</v>
      </c>
      <c r="E2318" t="s">
        <v>2154</v>
      </c>
      <c r="F2318" s="1">
        <f t="shared" ref="F2318:K2318" si="2183">SUM(F2319:F2320)</f>
        <v>0</v>
      </c>
      <c r="G2318" s="1">
        <f t="shared" si="2183"/>
        <v>0</v>
      </c>
      <c r="H2318" s="1">
        <f t="shared" si="2183"/>
        <v>0</v>
      </c>
      <c r="I2318" s="1">
        <f t="shared" si="2183"/>
        <v>6.7159810430076696E-7</v>
      </c>
      <c r="J2318" s="1">
        <f t="shared" si="2183"/>
        <v>9.3180808721706704E-7</v>
      </c>
      <c r="K2318" s="1">
        <f t="shared" si="2183"/>
        <v>6.6607138579057495E-7</v>
      </c>
      <c r="L2318" s="1">
        <f t="shared" ref="L2318" si="2184">SUM(L2319:L2320)</f>
        <v>5.1407311839358898E-7</v>
      </c>
      <c r="N2318" s="1"/>
    </row>
    <row r="2319" spans="2:14" x14ac:dyDescent="0.35">
      <c r="B2319" s="5" t="str">
        <f t="shared" si="2179"/>
        <v>SPS1</v>
      </c>
      <c r="C2319" s="5" t="str">
        <f t="shared" si="218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SUMPRODUCT(ISNUMBER(SEARCH("SUP_NGAH2",[1]OUT_SyntheticFuels!$C$4:$C$1000))*1,("var_ncap"=[1]OUT_SyntheticFuels!$B$4:$B$1000)*1,[1]OUT_SyntheticFuels!I$4:I$1000)-J2320</f>
        <v>9.3180808721706704E-7</v>
      </c>
      <c r="K2319" s="1" cm="1">
        <f t="array" ref="K2319">SUMPRODUCT(ISNUMBER(SEARCH("SUP_NGAH2",[1]OUT_SyntheticFuels!$C$4:$C$1000))*1,("var_ncap"=[1]OUT_SyntheticFuels!$B$4:$B$1000)*1,[1]OUT_SyntheticFuels!J$4:J$1000)-K2320</f>
        <v>6.6607138579057495E-7</v>
      </c>
      <c r="L2319" s="1" cm="1">
        <f t="array" ref="L2319">SUMPRODUCT(ISNUMBER(SEARCH("SUP_NGAH2",[1]OUT_SyntheticFuels!$C$4:$C$1000))*1,("var_ncap"=[1]OUT_SyntheticFuels!$B$4:$B$1000)*1,[1]OUT_SyntheticFuels!K$4:K$1000)-L2320</f>
        <v>5.1407311839358898E-7</v>
      </c>
      <c r="N2319" s="1"/>
    </row>
    <row r="2320" spans="2:14" x14ac:dyDescent="0.35">
      <c r="B2320" s="5" t="str">
        <f t="shared" si="2179"/>
        <v>SPS1</v>
      </c>
      <c r="C2320" s="5" t="str">
        <f t="shared" si="218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N2320" s="1"/>
    </row>
    <row r="2321" spans="2:14" x14ac:dyDescent="0.35">
      <c r="B2321" s="5" t="str">
        <f t="shared" si="2179"/>
        <v>SPS1</v>
      </c>
      <c r="C2321" s="5" t="str">
        <f t="shared" si="2180"/>
        <v>CH</v>
      </c>
      <c r="D2321" t="s">
        <v>2456</v>
      </c>
      <c r="E2321" t="s">
        <v>2154</v>
      </c>
      <c r="F2321" s="1">
        <f t="shared" ref="F2321:K2321" si="2185">SUM(F2322:F2323)</f>
        <v>0</v>
      </c>
      <c r="G2321" s="1">
        <f t="shared" si="2185"/>
        <v>0</v>
      </c>
      <c r="H2321" s="1">
        <f t="shared" si="2185"/>
        <v>0</v>
      </c>
      <c r="I2321" s="1">
        <f t="shared" si="2185"/>
        <v>0</v>
      </c>
      <c r="J2321" s="1">
        <f t="shared" si="2185"/>
        <v>0</v>
      </c>
      <c r="K2321" s="1">
        <f t="shared" si="2185"/>
        <v>0</v>
      </c>
      <c r="L2321" s="1">
        <f t="shared" ref="L2321" si="2186">SUM(L2322:L2323)</f>
        <v>0</v>
      </c>
      <c r="N2321" s="1"/>
    </row>
    <row r="2322" spans="2:14" x14ac:dyDescent="0.35">
      <c r="B2322" s="5" t="str">
        <f t="shared" si="2179"/>
        <v>SPS1</v>
      </c>
      <c r="C2322" s="5" t="str">
        <f t="shared" si="218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N2322" s="1"/>
    </row>
    <row r="2323" spans="2:14" x14ac:dyDescent="0.35">
      <c r="B2323" s="5" t="str">
        <f t="shared" si="2179"/>
        <v>SPS1</v>
      </c>
      <c r="C2323" s="5" t="str">
        <f t="shared" si="218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N2323" s="1"/>
    </row>
    <row r="2324" spans="2:14" x14ac:dyDescent="0.35">
      <c r="B2324" s="5" t="str">
        <f t="shared" si="2179"/>
        <v>SPS1</v>
      </c>
      <c r="C2324" s="5" t="str">
        <f t="shared" si="2180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79"/>
        <v>SPS1</v>
      </c>
      <c r="C2325" s="5" t="str">
        <f t="shared" si="218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SUMPRODUCT(("CT_CWODBDS"=[1]OUT_SyntheticFuels!$C$4:$C$1000)*1,("var_ncap"=[1]OUT_SyntheticFuels!$B$4:$B$1000)*1,[1]OUT_SyntheticFuels!I$4:I$1000)</f>
        <v>0</v>
      </c>
      <c r="K2325" s="7" cm="1">
        <f t="array" ref="K2325">SUMPRODUCT(("CT_CWODBDS"=[1]OUT_SyntheticFuels!$C$4:$C$1000)*1,("var_ncap"=[1]OUT_SyntheticFuels!$B$4:$B$1000)*1,[1]OUT_SyntheticFuels!J$4:J$1000)</f>
        <v>0</v>
      </c>
      <c r="L2325" s="7" cm="1">
        <f t="array" ref="L2325">SUMPRODUCT(("CT_CWODBDS"=[1]OUT_SyntheticFuels!$C$4:$C$1000)*1,("var_ncap"=[1]OUT_SyntheticFuels!$B$4:$B$1000)*1,[1]OUT_SyntheticFuels!K$4:K$1000)</f>
        <v>0</v>
      </c>
      <c r="N2325" s="1"/>
    </row>
    <row r="2326" spans="2:14" x14ac:dyDescent="0.35">
      <c r="B2326" s="5" t="str">
        <f t="shared" si="2179"/>
        <v>SPS1</v>
      </c>
      <c r="C2326" s="5" t="str">
        <f t="shared" si="218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N2326" s="1"/>
    </row>
    <row r="2327" spans="2:14" x14ac:dyDescent="0.35">
      <c r="B2327" s="5" t="str">
        <f t="shared" si="2179"/>
        <v>SPS1</v>
      </c>
      <c r="C2327" s="5" t="str">
        <f t="shared" si="218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SUMPRODUCT(("CT_CWODETH"=[1]OUT_SyntheticFuels!$C$4:$C$1000)*1,("var_ncap"=[1]OUT_SyntheticFuels!$B$4:$B$1000)*1,[1]OUT_SyntheticFuels!I$4:I$1000)</f>
        <v>0</v>
      </c>
      <c r="K2327" s="7" cm="1">
        <f t="array" ref="K2327">SUMPRODUCT(("CT_CWODETH"=[1]OUT_SyntheticFuels!$C$4:$C$1000)*1,("var_ncap"=[1]OUT_SyntheticFuels!$B$4:$B$1000)*1,[1]OUT_SyntheticFuels!J$4:J$1000)</f>
        <v>0</v>
      </c>
      <c r="L2327" s="7" cm="1">
        <f t="array" ref="L2327">SUMPRODUCT(("CT_CWODETH"=[1]OUT_SyntheticFuels!$C$4:$C$1000)*1,("var_ncap"=[1]OUT_SyntheticFuels!$B$4:$B$1000)*1,[1]OUT_SyntheticFuels!K$4:K$1000)</f>
        <v>0</v>
      </c>
      <c r="N2327" s="1"/>
    </row>
    <row r="2328" spans="2:14" x14ac:dyDescent="0.35">
      <c r="B2328" s="5" t="str">
        <f t="shared" si="2179"/>
        <v>SPS1</v>
      </c>
      <c r="C2328" s="5" t="str">
        <f t="shared" si="218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N2328" s="1"/>
    </row>
    <row r="2329" spans="2:14" x14ac:dyDescent="0.35">
      <c r="B2329" s="5" t="str">
        <f t="shared" si="2179"/>
        <v>SPS1</v>
      </c>
      <c r="C2329" s="5" t="str">
        <f t="shared" si="218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SUMPRODUCT(("SUP_MNRBIO"=[1]OUT_SyntheticFuels!$C$4:$C$1000)*1,("var_ncap"=[1]OUT_SyntheticFuels!$B$4:$B$1000)*1,[1]OUT_SyntheticFuels!I$4:I$1000)</f>
        <v>1.6299054935001099E-5</v>
      </c>
      <c r="K2329" s="7" cm="1">
        <f t="array" ref="K2329">SUMPRODUCT(("SUP_MNRBIO"=[1]OUT_SyntheticFuels!$C$4:$C$1000)*1,("var_ncap"=[1]OUT_SyntheticFuels!$B$4:$B$1000)*1,[1]OUT_SyntheticFuels!J$4:J$1000)</f>
        <v>0.14415800677224599</v>
      </c>
      <c r="L2329" s="7" cm="1">
        <f t="array" ref="L2329">SUMPRODUCT(("SUP_MNRBIO"=[1]OUT_SyntheticFuels!$C$4:$C$1000)*1,("var_ncap"=[1]OUT_SyntheticFuels!$B$4:$B$1000)*1,[1]OUT_SyntheticFuels!K$4:K$1000)</f>
        <v>0.14307167104982901</v>
      </c>
      <c r="N2329" s="1"/>
    </row>
    <row r="2330" spans="2:14" x14ac:dyDescent="0.35">
      <c r="B2330" s="5" t="str">
        <f t="shared" si="2179"/>
        <v>SPS1</v>
      </c>
      <c r="C2330" s="5" t="str">
        <f t="shared" si="218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SUMPRODUCT(("SUP_WSTBIO"=[1]OUT_SyntheticFuels!$C$4:$C$1000)*1,("var_ncap"=[1]OUT_SyntheticFuels!$B$4:$B$1000)*1,[1]OUT_SyntheticFuels!I$4:I$1000)</f>
        <v>0.14763385049462599</v>
      </c>
      <c r="K2330" s="7" cm="1">
        <f t="array" ref="K2330">SUMPRODUCT(("SUP_WSTBIO"=[1]OUT_SyntheticFuels!$C$4:$C$1000)*1,("var_ncap"=[1]OUT_SyntheticFuels!$B$4:$B$1000)*1,[1]OUT_SyntheticFuels!J$4:J$1000)</f>
        <v>6.3855871431119302E-2</v>
      </c>
      <c r="L2330" s="7" cm="1">
        <f t="array" ref="L2330">SUMPRODUCT(("SUP_WSTBIO"=[1]OUT_SyntheticFuels!$C$4:$C$1000)*1,("var_ncap"=[1]OUT_SyntheticFuels!$B$4:$B$1000)*1,[1]OUT_SyntheticFuels!K$4:K$1000)</f>
        <v>0.166280900869757</v>
      </c>
      <c r="N2330" s="1"/>
    </row>
    <row r="2331" spans="2:14" x14ac:dyDescent="0.35">
      <c r="B2331" s="5" t="str">
        <f t="shared" si="2179"/>
        <v>SPS1</v>
      </c>
      <c r="C2331" s="5" t="str">
        <f t="shared" si="218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N2331" s="1"/>
    </row>
    <row r="2332" spans="2:14" x14ac:dyDescent="0.35">
      <c r="B2332" s="5" t="str">
        <f t="shared" si="2179"/>
        <v>SPS1</v>
      </c>
      <c r="C2332" s="5" t="str">
        <f t="shared" si="218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3.6919124361774499E-3</v>
      </c>
      <c r="L2332" s="7" cm="1">
        <f t="array" ref="L2332">SUMPRODUCT(("SUP_WSTHTGBIO"=[1]OUT_SyntheticFuels!$C$4:$C$1000)*1,("var_ncap"=[1]OUT_SyntheticFuels!$B$4:$B$1000)*1,[1]OUT_SyntheticFuels!K$4:K$1000)</f>
        <v>6.8413631126417796E-4</v>
      </c>
      <c r="N2332" s="1"/>
    </row>
    <row r="2333" spans="2:14" x14ac:dyDescent="0.35">
      <c r="B2333" s="5" t="str">
        <f t="shared" si="2179"/>
        <v>SPS1</v>
      </c>
      <c r="C2333" s="5" t="str">
        <f t="shared" si="218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N2333" s="1"/>
    </row>
    <row r="2334" spans="2:14" x14ac:dyDescent="0.35">
      <c r="B2334" s="5" t="str">
        <f t="shared" si="2179"/>
        <v>SPS1</v>
      </c>
      <c r="C2334" s="5" t="str">
        <f t="shared" si="218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SUMPRODUCT(("SUP_WODBIO"=[1]OUT_SyntheticFuels!$C$4:$C$1000)*1,("var_ncap"=[1]OUT_SyntheticFuels!$B$4:$B$1000)*1,[1]OUT_SyntheticFuels!I$4:I$1000)</f>
        <v>0</v>
      </c>
      <c r="K2334" s="7" cm="1">
        <f t="array" ref="K2334">SUMPRODUCT(("SUP_WODBIO"=[1]OUT_SyntheticFuels!$C$4:$C$1000)*1,("var_ncap"=[1]OUT_SyntheticFuels!$B$4:$B$1000)*1,[1]OUT_SyntheticFuels!J$4:J$1000)</f>
        <v>0</v>
      </c>
      <c r="L2334" s="7" cm="1">
        <f t="array" ref="L2334">SUMPRODUCT(("SUP_WODBIO"=[1]OUT_SyntheticFuels!$C$4:$C$1000)*1,("var_ncap"=[1]OUT_SyntheticFuels!$B$4:$B$1000)*1,[1]OUT_SyntheticFuels!K$4:K$1000)</f>
        <v>0</v>
      </c>
      <c r="N2334" s="1"/>
    </row>
    <row r="2335" spans="2:14" x14ac:dyDescent="0.35">
      <c r="B2335" s="5" t="str">
        <f t="shared" si="2179"/>
        <v>SPS1</v>
      </c>
      <c r="C2335" s="5" t="str">
        <f t="shared" si="218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N2335" s="1"/>
    </row>
    <row r="2336" spans="2:14" x14ac:dyDescent="0.35">
      <c r="B2336" s="5" t="str">
        <f t="shared" si="2179"/>
        <v>SPS1</v>
      </c>
      <c r="C2336" s="5" t="str">
        <f t="shared" si="218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SUMPRODUCT(("SUP_BIONGA"=[1]OUT_SyntheticFuels!$C$4:$C$1000)*1,("var_ncap"=[1]OUT_SyntheticFuels!$B$4:$B$1000)*1,[1]OUT_SyntheticFuels!I$4:I$1000)</f>
        <v>1.8680019854246201E-2</v>
      </c>
      <c r="K2336" s="7" cm="1">
        <f t="array" ref="K2336">SUMPRODUCT(("SUP_BIONGA"=[1]OUT_SyntheticFuels!$C$4:$C$1000)*1,("var_ncap"=[1]OUT_SyntheticFuels!$B$4:$B$1000)*1,[1]OUT_SyntheticFuels!J$4:J$1000)</f>
        <v>1.99366576250464E-2</v>
      </c>
      <c r="L2336" s="7" cm="1">
        <f t="array" ref="L2336">SUMPRODUCT(("SUP_BIONGA"=[1]OUT_SyntheticFuels!$C$4:$C$1000)*1,("var_ncap"=[1]OUT_SyntheticFuels!$B$4:$B$1000)*1,[1]OUT_SyntheticFuels!K$4:K$1000)</f>
        <v>0.16512924349410199</v>
      </c>
      <c r="N2336" s="1"/>
    </row>
    <row r="2337" spans="2:14" x14ac:dyDescent="0.35">
      <c r="B2337" s="5" t="str">
        <f t="shared" si="2179"/>
        <v>SPS1</v>
      </c>
      <c r="C2337" s="5" t="str">
        <f t="shared" si="218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SUMPRODUCT(("CT_CWODPLT"=[1]OUT_SyntheticFuels!$C$4:$C$1000)*1,("var_ncap"=[1]OUT_SyntheticFuels!$B$4:$B$1000)*1,[1]OUT_SyntheticFuels!I$4:I$1000)</f>
        <v>8.7624883530996093E-6</v>
      </c>
      <c r="K2337" s="7" cm="1">
        <f t="array" ref="K2337">SUMPRODUCT(("CT_CWODPLT"=[1]OUT_SyntheticFuels!$C$4:$C$1000)*1,("var_ncap"=[1]OUT_SyntheticFuels!$B$4:$B$1000)*1,[1]OUT_SyntheticFuels!J$4:J$1000)</f>
        <v>1.54620125591421E-2</v>
      </c>
      <c r="L2337" s="7" cm="1">
        <f t="array" ref="L2337">SUMPRODUCT(("CT_CWODPLT"=[1]OUT_SyntheticFuels!$C$4:$C$1000)*1,("var_ncap"=[1]OUT_SyntheticFuels!$B$4:$B$1000)*1,[1]OUT_SyntheticFuels!K$4:K$1000)</f>
        <v>1.8307728216592899E-2</v>
      </c>
      <c r="N2337" s="1"/>
    </row>
    <row r="2338" spans="2:14" x14ac:dyDescent="0.35">
      <c r="B2338" s="5" t="str">
        <f t="shared" si="2179"/>
        <v>SPS1</v>
      </c>
      <c r="C2338" s="5" t="str">
        <f t="shared" si="218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SUMPRODUCT(("SUP_H2NGA"=[1]OUT_SyntheticFuels!$C$4:$C$1000)*1,("var_ncap"=[1]OUT_SyntheticFuels!$B$4:$B$1000)*1,[1]OUT_SyntheticFuels!I$4:I$1000)</f>
        <v>1.7808143491310199E-6</v>
      </c>
      <c r="K2338" s="7" cm="1">
        <f t="array" ref="K2338">SUMPRODUCT(("SUP_H2NGA"=[1]OUT_SyntheticFuels!$C$4:$C$1000)*1,("var_ncap"=[1]OUT_SyntheticFuels!$B$4:$B$1000)*1,[1]OUT_SyntheticFuels!J$4:J$1000)</f>
        <v>1.1681452657139599E-6</v>
      </c>
      <c r="L2338" s="7" cm="1">
        <f t="array" ref="L2338">SUMPRODUCT(("SUP_H2NGA"=[1]OUT_SyntheticFuels!$C$4:$C$1000)*1,("var_ncap"=[1]OUT_SyntheticFuels!$B$4:$B$1000)*1,[1]OUT_SyntheticFuels!K$4:K$1000)</f>
        <v>8.4352192380942496E-7</v>
      </c>
      <c r="N2338" s="1"/>
    </row>
    <row r="2339" spans="2:14" x14ac:dyDescent="0.35">
      <c r="B2339" s="5" t="str">
        <f t="shared" si="2179"/>
        <v>SPS1</v>
      </c>
      <c r="C2339" s="5" t="str">
        <f t="shared" si="218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SUMPRODUCT(("SUP_H2DSL"=[1]OUT_SyntheticFuels!$C$4:$C$1000)*1,("var_ncap"=[1]OUT_SyntheticFuels!$B$4:$B$1000)*1,[1]OUT_SyntheticFuels!I$4:I$1000)</f>
        <v>2.6915125477360101E-6</v>
      </c>
      <c r="K2339" s="7" cm="1">
        <f t="array" ref="K2339">SUMPRODUCT(("SUP_H2DSL"=[1]OUT_SyntheticFuels!$C$4:$C$1000)*1,("var_ncap"=[1]OUT_SyntheticFuels!$B$4:$B$1000)*1,[1]OUT_SyntheticFuels!J$4:J$1000)</f>
        <v>1.51805176328733E-6</v>
      </c>
      <c r="L2339" s="7" cm="1">
        <f t="array" ref="L2339">SUMPRODUCT(("SUP_H2DSL"=[1]OUT_SyntheticFuels!$C$4:$C$1000)*1,("var_ncap"=[1]OUT_SyntheticFuels!$B$4:$B$1000)*1,[1]OUT_SyntheticFuels!K$4:K$1000)</f>
        <v>1.20475008573761E-6</v>
      </c>
      <c r="N2339" s="1"/>
    </row>
    <row r="2340" spans="2:14" x14ac:dyDescent="0.35">
      <c r="B2340" s="5" t="str">
        <f t="shared" si="2179"/>
        <v>SPS1</v>
      </c>
      <c r="C2340" s="5" t="str">
        <f t="shared" si="218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SUMPRODUCT(("SUP_H2GSL"=[1]OUT_SyntheticFuels!$C$4:$C$1000)*1,("var_ncap"=[1]OUT_SyntheticFuels!$B$4:$B$1000)*1,[1]OUT_SyntheticFuels!I$4:I$1000)</f>
        <v>2.4984784815175198E-6</v>
      </c>
      <c r="K2340" s="7" cm="1">
        <f t="array" ref="K2340">SUMPRODUCT(("SUP_H2GSL"=[1]OUT_SyntheticFuels!$C$4:$C$1000)*1,("var_ncap"=[1]OUT_SyntheticFuels!$B$4:$B$1000)*1,[1]OUT_SyntheticFuels!J$4:J$1000)</f>
        <v>1.4606888665081801E-6</v>
      </c>
      <c r="L2340" s="7" cm="1">
        <f t="array" ref="L2340">SUMPRODUCT(("SUP_H2GSL"=[1]OUT_SyntheticFuels!$C$4:$C$1000)*1,("var_ncap"=[1]OUT_SyntheticFuels!$B$4:$B$1000)*1,[1]OUT_SyntheticFuels!K$4:K$1000)</f>
        <v>1.14411109813539E-6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538.70018440702552</v>
      </c>
      <c r="H3" s="3">
        <f t="shared" si="0"/>
        <v>496.64245999207577</v>
      </c>
    </row>
    <row r="4" spans="2:8" x14ac:dyDescent="0.35">
      <c r="B4" s="25" t="s">
        <v>1727</v>
      </c>
      <c r="C4" s="1">
        <f>'SPS3'!F763</f>
        <v>142.21760158700843</v>
      </c>
      <c r="D4" s="1">
        <f>'SPS3'!G763</f>
        <v>139.06071934956051</v>
      </c>
      <c r="E4" s="1">
        <f>'SPS3'!H763</f>
        <v>144.60837035759988</v>
      </c>
      <c r="F4" s="1">
        <f>'SPS3'!I763</f>
        <v>134.30391156555439</v>
      </c>
      <c r="G4" s="1">
        <f>'SPS3'!J763</f>
        <v>130.41454385786119</v>
      </c>
      <c r="H4" s="1">
        <f>'SPS3'!K763</f>
        <v>120.68177424360753</v>
      </c>
    </row>
    <row r="5" spans="2:8" x14ac:dyDescent="0.35">
      <c r="B5" s="25" t="s">
        <v>1728</v>
      </c>
      <c r="C5" s="1">
        <f>'SPS3'!F882</f>
        <v>140.10115563936907</v>
      </c>
      <c r="D5" s="1">
        <f>'SPS3'!G882</f>
        <v>137.10230581612601</v>
      </c>
      <c r="E5" s="1">
        <f>'SPS3'!H882</f>
        <v>132.14774722520764</v>
      </c>
      <c r="F5" s="1">
        <f>'SPS3'!I882</f>
        <v>118.3132511459926</v>
      </c>
      <c r="G5" s="1">
        <f>'SPS3'!J882</f>
        <v>108.72921561627624</v>
      </c>
      <c r="H5" s="1">
        <f>'SPS3'!K882</f>
        <v>98.969872960455021</v>
      </c>
    </row>
    <row r="6" spans="2:8" x14ac:dyDescent="0.35">
      <c r="B6" s="25" t="s">
        <v>1729</v>
      </c>
      <c r="C6" s="1">
        <f>'SPS3'!F972</f>
        <v>219.87423080493457</v>
      </c>
      <c r="D6" s="1">
        <f>'SPS3'!G972</f>
        <v>216.46301812830364</v>
      </c>
      <c r="E6" s="1">
        <f>'SPS3'!H972</f>
        <v>219.07144003015637</v>
      </c>
      <c r="F6" s="1">
        <f>'SPS3'!I972</f>
        <v>196.14900403904147</v>
      </c>
      <c r="G6" s="1">
        <f>'SPS3'!J972</f>
        <v>181.80753889644717</v>
      </c>
      <c r="H6" s="1">
        <f>'SPS3'!K972</f>
        <v>168.67462893189168</v>
      </c>
    </row>
    <row r="7" spans="2:8" x14ac:dyDescent="0.35">
      <c r="B7" s="25" t="s">
        <v>1730</v>
      </c>
      <c r="C7" s="1">
        <f>'SPS3'!F1136+'SPS3'!F1315+'SPS3'!F1399+'SPS3'!F1483+'SPS3'!F1490+'SPS3'!F1497+'SPS3'!F1546+'SPS3'!F1593+'SPS3'!F1640</f>
        <v>215.32125029837306</v>
      </c>
      <c r="D7" s="1">
        <f>'SPS3'!G1136+'SPS3'!G1315+'SPS3'!G1399+'SPS3'!G1483+'SPS3'!G1490+'SPS3'!G1497+'SPS3'!G1546+'SPS3'!G1593+'SPS3'!G1640</f>
        <v>206.92511278252408</v>
      </c>
      <c r="E7" s="1">
        <f>'SPS3'!H1136+'SPS3'!H1315+'SPS3'!H1399+'SPS3'!H1483+'SPS3'!H1490+'SPS3'!H1497+'SPS3'!H1546+'SPS3'!H1593+'SPS3'!H1640</f>
        <v>189.04288620712029</v>
      </c>
      <c r="F7" s="1">
        <f>'SPS3'!I1136+'SPS3'!I1315+'SPS3'!I1399+'SPS3'!I1483+'SPS3'!I1490+'SPS3'!I1497+'SPS3'!I1546+'SPS3'!I1593+'SPS3'!I1640</f>
        <v>159.03166590110453</v>
      </c>
      <c r="G7" s="1">
        <f>'SPS3'!J1136+'SPS3'!J1315+'SPS3'!J1399+'SPS3'!J1483+'SPS3'!J1490+'SPS3'!J1497+'SPS3'!J1546+'SPS3'!J1593+'SPS3'!J1640</f>
        <v>117.74888603644088</v>
      </c>
      <c r="H7" s="1">
        <f>'SPS3'!K1136+'SPS3'!K1315+'SPS3'!K1399+'SPS3'!K1483+'SPS3'!K1490+'SPS3'!K1497+'SPS3'!K1546+'SPS3'!K1593+'SPS3'!K1640</f>
        <v>108.31618385612153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525.24985781379428</v>
      </c>
      <c r="H8" s="3">
        <f t="shared" si="1"/>
        <v>490.02159341599292</v>
      </c>
    </row>
    <row r="9" spans="2:8" x14ac:dyDescent="0.35">
      <c r="B9" s="25" t="s">
        <v>1732</v>
      </c>
      <c r="C9" s="1">
        <f>'SPS3'!F291+'SPS3'!F409</f>
        <v>493.35034555354048</v>
      </c>
      <c r="D9" s="1">
        <f>'SPS3'!G291+'SPS3'!G409</f>
        <v>479.71939018565234</v>
      </c>
      <c r="E9" s="1">
        <f>'SPS3'!H291+'SPS3'!H409</f>
        <v>484.03300339055238</v>
      </c>
      <c r="F9" s="1">
        <f>'SPS3'!I291+'SPS3'!I409</f>
        <v>504.95288850558825</v>
      </c>
      <c r="G9" s="1">
        <f>'SPS3'!J291+'SPS3'!J409</f>
        <v>489.88456732405427</v>
      </c>
      <c r="H9" s="1">
        <f>'SPS3'!K291+'SPS3'!K409</f>
        <v>446.08412191129543</v>
      </c>
    </row>
    <row r="10" spans="2:8" x14ac:dyDescent="0.35">
      <c r="B10" s="25" t="s">
        <v>1733</v>
      </c>
      <c r="C10" s="1">
        <f>'SPS3'!F590+'SPS3'!F604+'SPS3'!F644</f>
        <v>16.194736936115465</v>
      </c>
      <c r="D10" s="1">
        <f>'SPS3'!G590+'SPS3'!G604+'SPS3'!G644</f>
        <v>25.311941448724667</v>
      </c>
      <c r="E10" s="1">
        <f>'SPS3'!H590+'SPS3'!H604+'SPS3'!H644</f>
        <v>26.544943759351252</v>
      </c>
      <c r="F10" s="1">
        <f>'SPS3'!I590+'SPS3'!I604+'SPS3'!I644</f>
        <v>24.231868340281498</v>
      </c>
      <c r="G10" s="1">
        <f>'SPS3'!J590+'SPS3'!J604+'SPS3'!J644</f>
        <v>25.520325428127038</v>
      </c>
      <c r="H10" s="1">
        <f>'SPS3'!K590+'SPS3'!K604+'SPS3'!K644</f>
        <v>31.562447051127037</v>
      </c>
    </row>
    <row r="11" spans="2:8" x14ac:dyDescent="0.35">
      <c r="B11" s="25" t="s">
        <v>1731</v>
      </c>
      <c r="C11" s="1">
        <f>'SPS3'!F679</f>
        <v>6.5201059750009645E-3</v>
      </c>
      <c r="D11" s="1">
        <f>'SPS3'!G679</f>
        <v>9.3546252815172488E-3</v>
      </c>
      <c r="E11" s="1">
        <f>'SPS3'!H679</f>
        <v>9.3914283377240088E-3</v>
      </c>
      <c r="F11" s="1">
        <f>'SPS3'!I679</f>
        <v>1.3224233673157285E-2</v>
      </c>
      <c r="G11" s="1">
        <f>'SPS3'!J679</f>
        <v>9.8449650616128892</v>
      </c>
      <c r="H11" s="1">
        <f>'SPS3'!K679</f>
        <v>12.375024453570473</v>
      </c>
    </row>
    <row r="12" spans="2:8" x14ac:dyDescent="0.35">
      <c r="B12" s="25" t="s">
        <v>1734</v>
      </c>
      <c r="C12" s="1">
        <f>'SPS3'!F1707</f>
        <v>0</v>
      </c>
      <c r="D12" s="1">
        <f>'SPS3'!G1707</f>
        <v>0</v>
      </c>
      <c r="E12" s="1">
        <f>'SPS3'!H1707</f>
        <v>0</v>
      </c>
      <c r="F12" s="1">
        <f>'SPS3'!I1707</f>
        <v>0</v>
      </c>
      <c r="G12" s="1">
        <f>'SPS3'!J1707</f>
        <v>0</v>
      </c>
      <c r="H12" s="1">
        <f>'SPS3'!K1707</f>
        <v>0</v>
      </c>
    </row>
    <row r="13" spans="2:8" x14ac:dyDescent="0.35">
      <c r="B13" s="2" t="s">
        <v>1736</v>
      </c>
      <c r="C13" s="3">
        <f>'SPS3'!F2+'SPS3'!F20-'SPS3'!F57</f>
        <v>963.90607471923227</v>
      </c>
      <c r="D13" s="3">
        <f>'SPS3'!G2+'SPS3'!G20-'SPS3'!G57</f>
        <v>961.7925757747754</v>
      </c>
      <c r="E13" s="3">
        <f>'SPS3'!H2+'SPS3'!H20-'SPS3'!H57</f>
        <v>908.27532365117929</v>
      </c>
      <c r="F13" s="3">
        <f>'SPS3'!I2+'SPS3'!I20-'SPS3'!I57</f>
        <v>858.90533272457424</v>
      </c>
      <c r="G13" s="3">
        <f>'SPS3'!J2+'SPS3'!J20-'SPS3'!J57</f>
        <v>756.83993240406312</v>
      </c>
      <c r="H13" s="3">
        <f>'SPS3'!K2+'SPS3'!K20-'SPS3'!K57</f>
        <v>685.01288885186477</v>
      </c>
    </row>
    <row r="14" spans="2:8" x14ac:dyDescent="0.35">
      <c r="B14" s="25" t="s">
        <v>1737</v>
      </c>
      <c r="C14" s="1">
        <f>'SPS3'!F2</f>
        <v>300.18621340525118</v>
      </c>
      <c r="D14" s="1">
        <f>'SPS3'!G2</f>
        <v>295.40136239813279</v>
      </c>
      <c r="E14" s="1">
        <f>'SPS3'!H2</f>
        <v>332.78994579956441</v>
      </c>
      <c r="F14" s="1">
        <f>'SPS3'!I2</f>
        <v>403.54133984502317</v>
      </c>
      <c r="G14" s="1">
        <f>'SPS3'!J2</f>
        <v>411.98846644876869</v>
      </c>
      <c r="H14" s="1">
        <f>'SPS3'!K2</f>
        <v>449.72730092863293</v>
      </c>
    </row>
    <row r="15" spans="2:8" x14ac:dyDescent="0.35">
      <c r="B15" s="25" t="s">
        <v>19</v>
      </c>
      <c r="C15" s="1">
        <f>'SPS3'!F20</f>
        <v>780.8898825531777</v>
      </c>
      <c r="D15" s="1">
        <f>'SPS3'!G20</f>
        <v>703.03717422868715</v>
      </c>
      <c r="E15" s="1">
        <f>'SPS3'!H20</f>
        <v>651.20694316298079</v>
      </c>
      <c r="F15" s="1">
        <f>'SPS3'!I20</f>
        <v>506.11044461011778</v>
      </c>
      <c r="G15" s="1">
        <f>'SPS3'!J20</f>
        <v>388.73834183219566</v>
      </c>
      <c r="H15" s="1">
        <f>'SPS3'!K20</f>
        <v>258.12286932996915</v>
      </c>
    </row>
    <row r="16" spans="2:8" x14ac:dyDescent="0.35">
      <c r="B16" s="25" t="s">
        <v>24</v>
      </c>
      <c r="C16" s="1">
        <f>'SPS3'!F57</f>
        <v>117.17002123919661</v>
      </c>
      <c r="D16" s="1">
        <f>'SPS3'!G57</f>
        <v>36.645960852044595</v>
      </c>
      <c r="E16" s="1">
        <f>'SPS3'!H57</f>
        <v>75.721565311365879</v>
      </c>
      <c r="F16" s="1">
        <f>'SPS3'!I57</f>
        <v>50.746451730566761</v>
      </c>
      <c r="G16" s="1">
        <f>'SPS3'!J57</f>
        <v>43.88687587690125</v>
      </c>
      <c r="H16" s="1">
        <f>'SPS3'!K57</f>
        <v>22.837281406737265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D8824A82-0CA1-4D00-9491-ABBC90F5134E}"/>
</file>

<file path=customXml/itemProps2.xml><?xml version="1.0" encoding="utf-8"?>
<ds:datastoreItem xmlns:ds="http://schemas.openxmlformats.org/officeDocument/2006/customXml" ds:itemID="{4F29E29A-8A55-4CBC-B3E0-0CD53C76F330}"/>
</file>

<file path=customXml/itemProps3.xml><?xml version="1.0" encoding="utf-8"?>
<ds:datastoreItem xmlns:ds="http://schemas.openxmlformats.org/officeDocument/2006/customXml" ds:itemID="{F13EF7AE-2B48-480A-8192-05BB272DB76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