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D5DED4E6-19D9-4A77-AA88-FE624C71F94E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3_NUC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SPS3_NUC_Low!$A$1:$K$2232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/>
  <c r="G1671" i="1" a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/>
  <c r="G1628" i="1" a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I925" i="1" s="1"/>
  <c r="I924" i="1" s="1"/>
  <c r="H896" i="1" a="1"/>
  <c r="H896" i="1" s="1"/>
  <c r="H925" i="1" s="1"/>
  <c r="H924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H856" i="1"/>
  <c r="H855" i="1" s="1"/>
  <c r="G856" i="1"/>
  <c r="G855" i="1" s="1"/>
  <c r="F856" i="1"/>
  <c r="F855" i="1" s="1"/>
  <c r="I855" i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H284" i="1" a="1"/>
  <c r="H284" i="1" s="1"/>
  <c r="G284" i="1" a="1"/>
  <c r="G284" i="1" s="1"/>
  <c r="G283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F199" i="1" a="1"/>
  <c r="F199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G170" i="1"/>
  <c r="G398" i="1" s="1"/>
  <c r="G439" i="1" s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H384" i="1" s="1"/>
  <c r="H515" i="1" s="1"/>
  <c r="G156" i="1"/>
  <c r="G384" i="1" s="1"/>
  <c r="G515" i="1" s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H134" i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G97" i="1"/>
  <c r="G129" i="1" s="1"/>
  <c r="F97" i="1"/>
  <c r="I96" i="1"/>
  <c r="I128" i="1" s="1"/>
  <c r="H96" i="1"/>
  <c r="H128" i="1" s="1"/>
  <c r="G96" i="1"/>
  <c r="G128" i="1" s="1"/>
  <c r="F96" i="1"/>
  <c r="F128" i="1" s="1"/>
  <c r="I95" i="1"/>
  <c r="H95" i="1"/>
  <c r="G95" i="1"/>
  <c r="F95" i="1"/>
  <c r="I94" i="1"/>
  <c r="I126" i="1" s="1"/>
  <c r="H94" i="1"/>
  <c r="H126" i="1" s="1"/>
  <c r="G94" i="1"/>
  <c r="G126" i="1" s="1"/>
  <c r="F94" i="1"/>
  <c r="F126" i="1" s="1"/>
  <c r="I93" i="1"/>
  <c r="I125" i="1" s="1"/>
  <c r="H93" i="1"/>
  <c r="H125" i="1" s="1"/>
  <c r="G93" i="1"/>
  <c r="G125" i="1" s="1"/>
  <c r="F93" i="1"/>
  <c r="I92" i="1"/>
  <c r="H92" i="1"/>
  <c r="H124" i="1" s="1"/>
  <c r="G92" i="1"/>
  <c r="G124" i="1" s="1"/>
  <c r="F92" i="1"/>
  <c r="I91" i="1"/>
  <c r="I123" i="1" s="1"/>
  <c r="H91" i="1"/>
  <c r="H123" i="1" s="1"/>
  <c r="G91" i="1"/>
  <c r="G123" i="1" s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H121" i="1" s="1"/>
  <c r="G89" i="1"/>
  <c r="G121" i="1" s="1"/>
  <c r="F89" i="1"/>
  <c r="F121" i="1" s="1"/>
  <c r="I88" i="1"/>
  <c r="H88" i="1"/>
  <c r="H120" i="1" s="1"/>
  <c r="G88" i="1"/>
  <c r="G120" i="1" s="1"/>
  <c r="F88" i="1"/>
  <c r="I87" i="1"/>
  <c r="H87" i="1"/>
  <c r="H119" i="1" s="1"/>
  <c r="G87" i="1"/>
  <c r="G119" i="1" s="1"/>
  <c r="F87" i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F323" i="1" l="1"/>
  <c r="F478" i="1" s="1"/>
  <c r="G323" i="1"/>
  <c r="G478" i="1" s="1"/>
  <c r="H300" i="1"/>
  <c r="H413" i="1" s="1"/>
  <c r="H380" i="1"/>
  <c r="H437" i="1" s="1"/>
  <c r="F318" i="1"/>
  <c r="F473" i="1" s="1"/>
  <c r="G318" i="1"/>
  <c r="G473" i="1" s="1"/>
  <c r="I380" i="1"/>
  <c r="I437" i="1" s="1"/>
  <c r="I361" i="1"/>
  <c r="I428" i="1" s="1"/>
  <c r="I315" i="1"/>
  <c r="I420" i="1" s="1"/>
  <c r="I362" i="1"/>
  <c r="I429" i="1" s="1"/>
  <c r="I386" i="1"/>
  <c r="I517" i="1" s="1"/>
  <c r="I384" i="1"/>
  <c r="I515" i="1" s="1"/>
  <c r="G726" i="1" a="1"/>
  <c r="G726" i="1" s="1"/>
  <c r="G728" i="1" s="1" a="1"/>
  <c r="G728" i="1" s="1"/>
  <c r="F380" i="1"/>
  <c r="F437" i="1" s="1"/>
  <c r="F385" i="1"/>
  <c r="F516" i="1" s="1"/>
  <c r="G385" i="1"/>
  <c r="G516" i="1" s="1"/>
  <c r="G317" i="1"/>
  <c r="G472" i="1" s="1"/>
  <c r="H317" i="1"/>
  <c r="H472" i="1" s="1"/>
  <c r="I317" i="1"/>
  <c r="I472" i="1" s="1"/>
  <c r="F317" i="1"/>
  <c r="F472" i="1" s="1"/>
  <c r="G380" i="1"/>
  <c r="G437" i="1" s="1"/>
  <c r="G399" i="1"/>
  <c r="G519" i="1" s="1"/>
  <c r="F399" i="1"/>
  <c r="F519" i="1" s="1"/>
  <c r="H324" i="1"/>
  <c r="H479" i="1" s="1"/>
  <c r="H385" i="1"/>
  <c r="H516" i="1" s="1"/>
  <c r="H399" i="1"/>
  <c r="H519" i="1" s="1"/>
  <c r="I324" i="1"/>
  <c r="I479" i="1" s="1"/>
  <c r="I399" i="1"/>
  <c r="I519" i="1" s="1"/>
  <c r="F386" i="1"/>
  <c r="F517" i="1" s="1"/>
  <c r="F400" i="1"/>
  <c r="F520" i="1" s="1"/>
  <c r="G386" i="1"/>
  <c r="G517" i="1" s="1"/>
  <c r="H320" i="1"/>
  <c r="H475" i="1" s="1"/>
  <c r="I320" i="1"/>
  <c r="I475" i="1" s="1"/>
  <c r="F321" i="1"/>
  <c r="F476" i="1" s="1"/>
  <c r="F301" i="1"/>
  <c r="F465" i="1" s="1"/>
  <c r="I363" i="1"/>
  <c r="I504" i="1" s="1"/>
  <c r="I786" i="1"/>
  <c r="I787" i="1" s="1"/>
  <c r="I783" i="1"/>
  <c r="I119" i="1"/>
  <c r="F398" i="1"/>
  <c r="F439" i="1" s="1"/>
  <c r="H241" i="1"/>
  <c r="H316" i="1" s="1"/>
  <c r="H471" i="1" s="1"/>
  <c r="H899" i="1"/>
  <c r="H902" i="1"/>
  <c r="G300" i="1"/>
  <c r="G413" i="1" s="1"/>
  <c r="H322" i="1"/>
  <c r="H477" i="1" s="1"/>
  <c r="G301" i="1"/>
  <c r="G465" i="1" s="1"/>
  <c r="H386" i="1"/>
  <c r="H517" i="1" s="1"/>
  <c r="F322" i="1"/>
  <c r="F477" i="1" s="1"/>
  <c r="F300" i="1"/>
  <c r="F413" i="1" s="1"/>
  <c r="H301" i="1"/>
  <c r="H465" i="1" s="1"/>
  <c r="H323" i="1"/>
  <c r="H478" i="1" s="1"/>
  <c r="I301" i="1"/>
  <c r="I465" i="1" s="1"/>
  <c r="I323" i="1"/>
  <c r="I478" i="1" s="1"/>
  <c r="H364" i="1"/>
  <c r="I300" i="1"/>
  <c r="I413" i="1" s="1"/>
  <c r="I322" i="1"/>
  <c r="I477" i="1" s="1"/>
  <c r="I364" i="1"/>
  <c r="F362" i="1"/>
  <c r="F429" i="1" s="1"/>
  <c r="G362" i="1"/>
  <c r="G429" i="1" s="1"/>
  <c r="G322" i="1"/>
  <c r="G477" i="1" s="1"/>
  <c r="H361" i="1"/>
  <c r="H428" i="1" s="1"/>
  <c r="F315" i="1"/>
  <c r="F420" i="1" s="1"/>
  <c r="F320" i="1"/>
  <c r="F475" i="1" s="1"/>
  <c r="I385" i="1"/>
  <c r="I516" i="1" s="1"/>
  <c r="F925" i="1"/>
  <c r="F924" i="1" s="1"/>
  <c r="F895" i="1"/>
  <c r="F903" i="1" s="1"/>
  <c r="G783" i="1"/>
  <c r="G786" i="1"/>
  <c r="G787" i="1" s="1"/>
  <c r="I283" i="1"/>
  <c r="I383" i="1"/>
  <c r="I514" i="1" s="1"/>
  <c r="F124" i="1"/>
  <c r="G742" i="1" a="1"/>
  <c r="G742" i="1" s="1"/>
  <c r="G744" i="1" s="1" a="1"/>
  <c r="G744" i="1" s="1"/>
  <c r="F129" i="1"/>
  <c r="F325" i="1"/>
  <c r="F480" i="1" s="1"/>
  <c r="I382" i="1"/>
  <c r="I513" i="1" s="1"/>
  <c r="I124" i="1"/>
  <c r="F383" i="1"/>
  <c r="F514" i="1" s="1"/>
  <c r="I742" i="1" a="1"/>
  <c r="I742" i="1" s="1"/>
  <c r="I744" i="1" s="1" a="1"/>
  <c r="I744" i="1" s="1"/>
  <c r="H786" i="1"/>
  <c r="H787" i="1" s="1"/>
  <c r="H783" i="1"/>
  <c r="H315" i="1"/>
  <c r="H420" i="1" s="1"/>
  <c r="H129" i="1"/>
  <c r="H325" i="1"/>
  <c r="H480" i="1" s="1"/>
  <c r="F125" i="1"/>
  <c r="H141" i="1" a="1"/>
  <c r="H141" i="1" s="1"/>
  <c r="H362" i="1"/>
  <c r="H429" i="1" s="1"/>
  <c r="G383" i="1"/>
  <c r="G514" i="1" s="1"/>
  <c r="G241" i="1"/>
  <c r="G316" i="1" s="1"/>
  <c r="G471" i="1" s="1"/>
  <c r="G321" i="1"/>
  <c r="G476" i="1" s="1"/>
  <c r="G363" i="1"/>
  <c r="G504" i="1" s="1"/>
  <c r="I318" i="1"/>
  <c r="I473" i="1" s="1"/>
  <c r="I726" i="1" a="1"/>
  <c r="I726" i="1" s="1"/>
  <c r="I728" i="1" s="1" a="1"/>
  <c r="I728" i="1" s="1"/>
  <c r="H318" i="1"/>
  <c r="H473" i="1" s="1"/>
  <c r="H321" i="1"/>
  <c r="H476" i="1" s="1"/>
  <c r="H363" i="1"/>
  <c r="H504" i="1" s="1"/>
  <c r="H283" i="1"/>
  <c r="H382" i="1" s="1"/>
  <c r="H513" i="1" s="1"/>
  <c r="H383" i="1"/>
  <c r="H514" i="1" s="1"/>
  <c r="I321" i="1"/>
  <c r="I476" i="1" s="1"/>
  <c r="I141" i="1" a="1"/>
  <c r="I141" i="1" s="1"/>
  <c r="H398" i="1"/>
  <c r="H439" i="1" s="1"/>
  <c r="F241" i="1"/>
  <c r="F316" i="1" s="1"/>
  <c r="F471" i="1" s="1"/>
  <c r="F363" i="1"/>
  <c r="F504" i="1" s="1"/>
  <c r="F364" i="1"/>
  <c r="G364" i="1"/>
  <c r="F119" i="1"/>
  <c r="I241" i="1"/>
  <c r="I316" i="1" s="1"/>
  <c r="I471" i="1" s="1"/>
  <c r="F120" i="1"/>
  <c r="H400" i="1"/>
  <c r="H520" i="1" s="1"/>
  <c r="I325" i="1"/>
  <c r="I480" i="1" s="1"/>
  <c r="I120" i="1"/>
  <c r="I400" i="1"/>
  <c r="I520" i="1" s="1"/>
  <c r="G400" i="1"/>
  <c r="G520" i="1" s="1"/>
  <c r="F382" i="1"/>
  <c r="F513" i="1" s="1"/>
  <c r="F198" i="1"/>
  <c r="F361" i="1" s="1"/>
  <c r="F428" i="1" s="1"/>
  <c r="F726" i="1" a="1"/>
  <c r="F726" i="1" s="1"/>
  <c r="F728" i="1" s="1" a="1"/>
  <c r="F728" i="1" s="1"/>
  <c r="F742" i="1" a="1"/>
  <c r="F742" i="1" s="1"/>
  <c r="F744" i="1" s="1" a="1"/>
  <c r="F744" i="1" s="1"/>
  <c r="G382" i="1"/>
  <c r="G513" i="1" s="1"/>
  <c r="G198" i="1"/>
  <c r="G361" i="1" s="1"/>
  <c r="G428" i="1" s="1"/>
  <c r="F786" i="1"/>
  <c r="F787" i="1" s="1"/>
  <c r="F783" i="1"/>
  <c r="I902" i="1"/>
  <c r="I899" i="1"/>
  <c r="I903" i="1"/>
  <c r="G925" i="1"/>
  <c r="G924" i="1" s="1"/>
  <c r="G903" i="1"/>
  <c r="G902" i="1"/>
  <c r="F314" i="1"/>
  <c r="F419" i="1" s="1"/>
  <c r="F319" i="1"/>
  <c r="F474" i="1" s="1"/>
  <c r="F324" i="1"/>
  <c r="F479" i="1" s="1"/>
  <c r="H903" i="1"/>
  <c r="G314" i="1"/>
  <c r="G419" i="1" s="1"/>
  <c r="G319" i="1"/>
  <c r="G474" i="1" s="1"/>
  <c r="G324" i="1"/>
  <c r="G479" i="1" s="1"/>
  <c r="H314" i="1"/>
  <c r="H419" i="1" s="1"/>
  <c r="H319" i="1"/>
  <c r="H474" i="1" s="1"/>
  <c r="I314" i="1"/>
  <c r="I419" i="1" s="1"/>
  <c r="I319" i="1"/>
  <c r="I474" i="1" s="1"/>
  <c r="F384" i="1"/>
  <c r="F515" i="1" s="1"/>
  <c r="G315" i="1"/>
  <c r="G420" i="1" s="1"/>
  <c r="G320" i="1"/>
  <c r="G475" i="1" s="1"/>
  <c r="G325" i="1"/>
  <c r="G480" i="1" s="1"/>
  <c r="H742" i="1" a="1"/>
  <c r="H742" i="1" s="1"/>
  <c r="H744" i="1" s="1" a="1"/>
  <c r="H744" i="1" s="1"/>
  <c r="H726" i="1" a="1"/>
  <c r="H726" i="1" s="1"/>
  <c r="H728" i="1" s="1" a="1"/>
  <c r="H728" i="1" s="1"/>
  <c r="G899" i="1"/>
  <c r="F899" i="1" l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L1693" i="1" a="1"/>
  <c r="L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595" i="1" a="1"/>
  <c r="L1595" i="1" s="1"/>
  <c r="L1596" i="1" a="1"/>
  <c r="L1596" i="1" s="1"/>
  <c r="J1596" i="1" a="1"/>
  <c r="J1596" i="1" s="1"/>
  <c r="K1595" i="1" a="1"/>
  <c r="K1595" i="1" s="1"/>
  <c r="K1598" i="1" a="1"/>
  <c r="K1598" i="1" s="1"/>
  <c r="J1598" i="1" a="1"/>
  <c r="J1598" i="1" s="1"/>
  <c r="K1596" i="1" a="1"/>
  <c r="K1596" i="1" s="1"/>
  <c r="J1595" i="1" a="1"/>
  <c r="J1595" i="1" s="1"/>
  <c r="L1576" i="1" a="1"/>
  <c r="L1576" i="1" s="1"/>
  <c r="J1578" i="1" a="1"/>
  <c r="J1578" i="1" s="1"/>
  <c r="K1578" i="1" a="1"/>
  <c r="K1578" i="1" s="1"/>
  <c r="J1577" i="1" a="1"/>
  <c r="J1577" i="1" s="1"/>
  <c r="L1581" i="1" a="1"/>
  <c r="L1581" i="1" s="1"/>
  <c r="K1579" i="1" a="1"/>
  <c r="K1579" i="1" s="1"/>
  <c r="L1582" i="1" a="1"/>
  <c r="L1582" i="1" s="1"/>
  <c r="K1582" i="1" a="1"/>
  <c r="K1582" i="1" s="1"/>
  <c r="J1580" i="1" a="1"/>
  <c r="J1580" i="1" s="1"/>
  <c r="L1577" i="1" a="1"/>
  <c r="L1577" i="1" s="1"/>
  <c r="K1574" i="1" a="1"/>
  <c r="K1574" i="1" s="1"/>
  <c r="J1582" i="1" a="1"/>
  <c r="J1582" i="1" s="1"/>
  <c r="K1575" i="1" a="1"/>
  <c r="K1575" i="1" s="1"/>
  <c r="J1579" i="1" a="1"/>
  <c r="J1579" i="1" s="1"/>
  <c r="K1581" i="1" a="1"/>
  <c r="K1581" i="1" s="1"/>
  <c r="J1581" i="1" a="1"/>
  <c r="J1581" i="1" s="1"/>
  <c r="L1580" i="1" a="1"/>
  <c r="L1580" i="1" s="1"/>
  <c r="L1574" i="1" a="1"/>
  <c r="L1574" i="1" s="1"/>
  <c r="K1580" i="1" a="1"/>
  <c r="K1580" i="1" s="1"/>
  <c r="K1577" i="1" a="1"/>
  <c r="K1577" i="1" s="1"/>
  <c r="L1579" i="1" a="1"/>
  <c r="L1579" i="1" s="1"/>
  <c r="L1578" i="1" a="1"/>
  <c r="L1578" i="1" s="1"/>
  <c r="J1574" i="1" a="1"/>
  <c r="J1574" i="1" s="1"/>
  <c r="K1576" i="1" a="1"/>
  <c r="K1576" i="1" s="1"/>
  <c r="L1575" i="1" a="1"/>
  <c r="L1575" i="1" s="1"/>
  <c r="J1576" i="1" a="1"/>
  <c r="J1576" i="1" s="1"/>
  <c r="J1575" i="1" a="1"/>
  <c r="J1575" i="1" s="1"/>
  <c r="K1566" i="1" a="1"/>
  <c r="K1566" i="1" s="1"/>
  <c r="K1572" i="1" a="1"/>
  <c r="K1572" i="1" s="1"/>
  <c r="L1566" i="1" a="1"/>
  <c r="L1566" i="1" s="1"/>
  <c r="L1565" i="1" a="1"/>
  <c r="L1565" i="1" s="1"/>
  <c r="J1564" i="1" a="1"/>
  <c r="J1564" i="1" s="1"/>
  <c r="J1572" i="1" a="1"/>
  <c r="J1572" i="1" s="1"/>
  <c r="J1565" i="1" a="1"/>
  <c r="J1565" i="1" s="1"/>
  <c r="L1572" i="1" a="1"/>
  <c r="L1572" i="1" s="1"/>
  <c r="L1558" i="1" a="1"/>
  <c r="L1558" i="1" s="1"/>
  <c r="L1564" i="1" a="1"/>
  <c r="L1564" i="1" s="1"/>
  <c r="K1565" i="1" a="1"/>
  <c r="K1565" i="1" s="1"/>
  <c r="J1566" i="1" a="1"/>
  <c r="J1566" i="1" s="1"/>
  <c r="K1564" i="1" a="1"/>
  <c r="K1564" i="1" s="1"/>
  <c r="K1558" i="1" a="1"/>
  <c r="K1558" i="1" s="1"/>
  <c r="K1549" i="1" a="1"/>
  <c r="K1549" i="1" s="1"/>
  <c r="K1557" i="1" a="1"/>
  <c r="K1557" i="1" s="1"/>
  <c r="K1548" i="1" a="1"/>
  <c r="K1548" i="1" s="1"/>
  <c r="L1548" i="1" a="1"/>
  <c r="L1548" i="1" s="1"/>
  <c r="K1551" i="1" a="1"/>
  <c r="K1551" i="1" s="1"/>
  <c r="J1548" i="1" a="1"/>
  <c r="J1548" i="1" s="1"/>
  <c r="J1558" i="1" a="1"/>
  <c r="J1558" i="1" s="1"/>
  <c r="L1557" i="1" a="1"/>
  <c r="L1557" i="1" s="1"/>
  <c r="J1557" i="1" a="1"/>
  <c r="J1557" i="1" s="1"/>
  <c r="L1549" i="1" a="1"/>
  <c r="L1549" i="1" s="1"/>
  <c r="L1551" i="1" a="1"/>
  <c r="L1551" i="1" s="1"/>
  <c r="J1549" i="1" a="1"/>
  <c r="J1549" i="1" s="1"/>
  <c r="J1551" i="1" a="1"/>
  <c r="J1551" i="1" s="1"/>
  <c r="J1528" i="1" a="1"/>
  <c r="J1528" i="1" s="1"/>
  <c r="L1530" i="1" a="1"/>
  <c r="L1530" i="1" s="1"/>
  <c r="J1529" i="1" a="1"/>
  <c r="J1529" i="1" s="1"/>
  <c r="K1531" i="1" a="1"/>
  <c r="K1531" i="1" s="1"/>
  <c r="K1528" i="1" a="1"/>
  <c r="K1528" i="1" s="1"/>
  <c r="J1530" i="1" a="1"/>
  <c r="J1530" i="1" s="1"/>
  <c r="L1531" i="1" a="1"/>
  <c r="L1531" i="1" s="1"/>
  <c r="K1529" i="1" a="1"/>
  <c r="K1529" i="1" s="1"/>
  <c r="J1531" i="1" a="1"/>
  <c r="J1531" i="1" s="1"/>
  <c r="L1529" i="1" a="1"/>
  <c r="L1529" i="1" s="1"/>
  <c r="L1528" i="1" a="1"/>
  <c r="L1528" i="1" s="1"/>
  <c r="K1530" i="1" a="1"/>
  <c r="K1530" i="1" s="1"/>
  <c r="L1523" i="1" a="1"/>
  <c r="L1523" i="1" s="1"/>
  <c r="L1526" i="1" a="1"/>
  <c r="L1526" i="1" s="1"/>
  <c r="K1522" i="1" a="1"/>
  <c r="K1522" i="1" s="1"/>
  <c r="K1526" i="1" a="1"/>
  <c r="K1526" i="1" s="1"/>
  <c r="L1522" i="1" a="1"/>
  <c r="L1522" i="1" s="1"/>
  <c r="J1522" i="1" a="1"/>
  <c r="J1522" i="1" s="1"/>
  <c r="J1526" i="1" a="1"/>
  <c r="J1526" i="1" s="1"/>
  <c r="J1523" i="1" a="1"/>
  <c r="J1523" i="1" s="1"/>
  <c r="L1521" i="1" a="1"/>
  <c r="L1521" i="1" s="1"/>
  <c r="K1521" i="1" a="1"/>
  <c r="K1521" i="1" s="1"/>
  <c r="K1523" i="1" a="1"/>
  <c r="K1523" i="1" s="1"/>
  <c r="L1525" i="1" a="1"/>
  <c r="L1525" i="1" s="1"/>
  <c r="K1525" i="1" a="1"/>
  <c r="K1525" i="1" s="1"/>
  <c r="K1527" i="1" a="1"/>
  <c r="K1527" i="1" s="1"/>
  <c r="J1521" i="1" a="1"/>
  <c r="J1521" i="1" s="1"/>
  <c r="L1527" i="1" a="1"/>
  <c r="L1527" i="1" s="1"/>
  <c r="J1525" i="1" a="1"/>
  <c r="J1525" i="1" s="1"/>
  <c r="L1524" i="1" a="1"/>
  <c r="L1524" i="1" s="1"/>
  <c r="J1527" i="1" a="1"/>
  <c r="J1527" i="1" s="1"/>
  <c r="K1524" i="1" a="1"/>
  <c r="K1524" i="1" s="1"/>
  <c r="J1524" i="1" a="1"/>
  <c r="J1524" i="1" s="1"/>
  <c r="J1514" i="1" a="1"/>
  <c r="J1514" i="1" s="1"/>
  <c r="K1517" i="1" a="1"/>
  <c r="K1517" i="1" s="1"/>
  <c r="K1519" i="1" a="1"/>
  <c r="K1519" i="1" s="1"/>
  <c r="J1516" i="1" a="1"/>
  <c r="J1516" i="1" s="1"/>
  <c r="J1519" i="1" a="1"/>
  <c r="J1519" i="1" s="1"/>
  <c r="K1515" i="1" a="1"/>
  <c r="K1515" i="1" s="1"/>
  <c r="J1513" i="1" a="1"/>
  <c r="J1513" i="1" s="1"/>
  <c r="J1515" i="1" a="1"/>
  <c r="J1515" i="1" s="1"/>
  <c r="L1513" i="1" a="1"/>
  <c r="L1513" i="1" s="1"/>
  <c r="L1514" i="1" a="1"/>
  <c r="L1514" i="1" s="1"/>
  <c r="L1520" i="1" a="1"/>
  <c r="L1520" i="1" s="1"/>
  <c r="K1520" i="1" a="1"/>
  <c r="K1520" i="1" s="1"/>
  <c r="K1516" i="1" a="1"/>
  <c r="K1516" i="1" s="1"/>
  <c r="L1517" i="1" a="1"/>
  <c r="L1517" i="1" s="1"/>
  <c r="J1520" i="1" a="1"/>
  <c r="J1520" i="1" s="1"/>
  <c r="L1515" i="1" a="1"/>
  <c r="L1515" i="1" s="1"/>
  <c r="L1519" i="1" a="1"/>
  <c r="L1519" i="1" s="1"/>
  <c r="L1516" i="1" a="1"/>
  <c r="L1516" i="1" s="1"/>
  <c r="K1514" i="1" a="1"/>
  <c r="K1514" i="1" s="1"/>
  <c r="J1517" i="1" a="1"/>
  <c r="J1517" i="1" s="1"/>
  <c r="K1513" i="1" a="1"/>
  <c r="K1513" i="1" s="1"/>
  <c r="L1505" i="1" a="1"/>
  <c r="L1505" i="1" s="1"/>
  <c r="L1504" i="1" a="1"/>
  <c r="L1504" i="1" s="1"/>
  <c r="K1504" i="1" a="1"/>
  <c r="K1504" i="1" s="1"/>
  <c r="J1505" i="1" a="1"/>
  <c r="J1505" i="1" s="1"/>
  <c r="K1507" i="1" a="1"/>
  <c r="K1507" i="1" s="1"/>
  <c r="J1504" i="1" a="1"/>
  <c r="J1504" i="1" s="1"/>
  <c r="K1502" i="1" a="1"/>
  <c r="K1502" i="1" s="1"/>
  <c r="L1502" i="1" a="1"/>
  <c r="L1502" i="1" s="1"/>
  <c r="J1502" i="1" a="1"/>
  <c r="J1502" i="1" s="1"/>
  <c r="J1507" i="1" a="1"/>
  <c r="J1507" i="1" s="1"/>
  <c r="L1507" i="1" a="1"/>
  <c r="L1507" i="1" s="1"/>
  <c r="K1506" i="1" a="1"/>
  <c r="K1506" i="1" s="1"/>
  <c r="L1506" i="1" a="1"/>
  <c r="L1506" i="1" s="1"/>
  <c r="K1505" i="1" a="1"/>
  <c r="K1505" i="1" s="1"/>
  <c r="J1506" i="1" a="1"/>
  <c r="J1506" i="1" s="1"/>
  <c r="K1501" i="1" a="1"/>
  <c r="K1501" i="1" s="1"/>
  <c r="L1500" i="1" a="1"/>
  <c r="L1500" i="1" s="1"/>
  <c r="K1494" i="1" a="1"/>
  <c r="K1494" i="1" s="1"/>
  <c r="J1500" i="1" a="1"/>
  <c r="J1500" i="1" s="1"/>
  <c r="J1494" i="1" a="1"/>
  <c r="J1494" i="1" s="1"/>
  <c r="L1494" i="1" a="1"/>
  <c r="L1494" i="1" s="1"/>
  <c r="K1499" i="1" a="1"/>
  <c r="K1499" i="1" s="1"/>
  <c r="L1501" i="1" a="1"/>
  <c r="L1501" i="1" s="1"/>
  <c r="J1501" i="1" a="1"/>
  <c r="J1501" i="1" s="1"/>
  <c r="L1499" i="1" a="1"/>
  <c r="L1499" i="1" s="1"/>
  <c r="J1499" i="1" a="1"/>
  <c r="J1499" i="1" s="1"/>
  <c r="K1500" i="1" a="1"/>
  <c r="K1500" i="1" s="1"/>
  <c r="L1492" i="1" a="1"/>
  <c r="L1492" i="1" s="1"/>
  <c r="K1492" i="1" a="1"/>
  <c r="K1492" i="1" s="1"/>
  <c r="J1492" i="1" a="1"/>
  <c r="J1492" i="1" s="1"/>
  <c r="K1487" i="1" a="1"/>
  <c r="K1487" i="1" s="1"/>
  <c r="L1487" i="1" a="1"/>
  <c r="L1487" i="1" s="1"/>
  <c r="J1485" i="1" a="1"/>
  <c r="J1485" i="1" s="1"/>
  <c r="J1487" i="1" a="1"/>
  <c r="J1487" i="1" s="1"/>
  <c r="L1485" i="1" a="1"/>
  <c r="L1485" i="1" s="1"/>
  <c r="K1485" i="1" a="1"/>
  <c r="K1485" i="1" s="1"/>
  <c r="J1956" i="1" a="1"/>
  <c r="J1956" i="1" s="1"/>
  <c r="L1950" i="1" a="1"/>
  <c r="L1950" i="1" s="1"/>
  <c r="J1955" i="1" a="1"/>
  <c r="J1955" i="1" s="1"/>
  <c r="L1952" i="1" a="1"/>
  <c r="L1952" i="1" s="1"/>
  <c r="K1955" i="1" a="1"/>
  <c r="K1955" i="1" s="1"/>
  <c r="K1953" i="1" a="1"/>
  <c r="K1953" i="1" s="1"/>
  <c r="J1950" i="1" a="1"/>
  <c r="J1950" i="1" s="1"/>
  <c r="K1951" i="1" a="1"/>
  <c r="K1951" i="1" s="1"/>
  <c r="L1956" i="1" a="1"/>
  <c r="L1956" i="1" s="1"/>
  <c r="J1951" i="1" a="1"/>
  <c r="J1951" i="1" s="1"/>
  <c r="J1953" i="1" a="1"/>
  <c r="J1953" i="1" s="1"/>
  <c r="L1953" i="1" a="1"/>
  <c r="L1953" i="1" s="1"/>
  <c r="J1957" i="1" a="1"/>
  <c r="J1957" i="1" s="1"/>
  <c r="K1950" i="1" a="1"/>
  <c r="K1950" i="1" s="1"/>
  <c r="L1958" i="1" a="1"/>
  <c r="L1958" i="1" s="1"/>
  <c r="L1955" i="1" a="1"/>
  <c r="L1955" i="1" s="1"/>
  <c r="J1952" i="1" a="1"/>
  <c r="J1952" i="1" s="1"/>
  <c r="K1958" i="1" a="1"/>
  <c r="K1958" i="1" s="1"/>
  <c r="J1958" i="1" a="1"/>
  <c r="J1958" i="1" s="1"/>
  <c r="L1951" i="1" a="1"/>
  <c r="L1951" i="1" s="1"/>
  <c r="L1957" i="1" a="1"/>
  <c r="L1957" i="1" s="1"/>
  <c r="K1952" i="1" a="1"/>
  <c r="K1952" i="1" s="1"/>
  <c r="K1957" i="1" a="1"/>
  <c r="K1957" i="1" s="1"/>
  <c r="K1956" i="1" a="1"/>
  <c r="K1956" i="1" s="1"/>
  <c r="L1947" i="1" a="1"/>
  <c r="L1947" i="1" s="1"/>
  <c r="K1947" i="1" a="1"/>
  <c r="K1947" i="1" s="1"/>
  <c r="L1943" i="1" a="1"/>
  <c r="L1943" i="1" s="1"/>
  <c r="K1943" i="1" a="1"/>
  <c r="K1943" i="1" s="1"/>
  <c r="K1945" i="1" a="1"/>
  <c r="K1945" i="1" s="1"/>
  <c r="L1945" i="1" a="1"/>
  <c r="L1945" i="1" s="1"/>
  <c r="J1945" i="1" a="1"/>
  <c r="J1945" i="1" s="1"/>
  <c r="L1944" i="1" a="1"/>
  <c r="L1944" i="1" s="1"/>
  <c r="J1944" i="1" a="1"/>
  <c r="J1944" i="1" s="1"/>
  <c r="K1941" i="1" a="1"/>
  <c r="K1941" i="1" s="1"/>
  <c r="K1944" i="1" a="1"/>
  <c r="K1944" i="1" s="1"/>
  <c r="L1942" i="1" a="1"/>
  <c r="L1942" i="1" s="1"/>
  <c r="L1946" i="1" a="1"/>
  <c r="L1946" i="1" s="1"/>
  <c r="K1942" i="1" a="1"/>
  <c r="K1942" i="1" s="1"/>
  <c r="K1946" i="1" a="1"/>
  <c r="K1946" i="1" s="1"/>
  <c r="L1948" i="1" a="1"/>
  <c r="L1948" i="1" s="1"/>
  <c r="K1948" i="1" a="1"/>
  <c r="K1948" i="1" s="1"/>
  <c r="J1943" i="1" a="1"/>
  <c r="J1943" i="1" s="1"/>
  <c r="J1946" i="1" a="1"/>
  <c r="J1946" i="1" s="1"/>
  <c r="L1940" i="1" a="1"/>
  <c r="L1940" i="1" s="1"/>
  <c r="J1947" i="1" a="1"/>
  <c r="J1947" i="1" s="1"/>
  <c r="L1949" i="1" a="1"/>
  <c r="L1949" i="1" s="1"/>
  <c r="J1941" i="1" a="1"/>
  <c r="J1941" i="1" s="1"/>
  <c r="K1949" i="1" a="1"/>
  <c r="K1949" i="1" s="1"/>
  <c r="L1941" i="1" a="1"/>
  <c r="L1941" i="1" s="1"/>
  <c r="J1949" i="1" a="1"/>
  <c r="J1949" i="1" s="1"/>
  <c r="J1942" i="1" a="1"/>
  <c r="J1942" i="1" s="1"/>
  <c r="J1948" i="1" a="1"/>
  <c r="J1948" i="1" s="1"/>
  <c r="J1935" i="1" a="1"/>
  <c r="J1935" i="1" s="1"/>
  <c r="L1938" i="1" a="1"/>
  <c r="L1938" i="1" s="1"/>
  <c r="J1937" i="1" a="1"/>
  <c r="J1937" i="1" s="1"/>
  <c r="L1933" i="1" a="1"/>
  <c r="L1933" i="1" s="1"/>
  <c r="L1931" i="1" a="1"/>
  <c r="L1931" i="1" s="1"/>
  <c r="J1933" i="1" a="1"/>
  <c r="J1933" i="1" s="1"/>
  <c r="K1938" i="1" a="1"/>
  <c r="K1938" i="1" s="1"/>
  <c r="L1937" i="1" a="1"/>
  <c r="L1937" i="1" s="1"/>
  <c r="J1934" i="1" a="1"/>
  <c r="J1934" i="1" s="1"/>
  <c r="J1932" i="1" a="1"/>
  <c r="J1932" i="1" s="1"/>
  <c r="K1931" i="1" a="1"/>
  <c r="K1931" i="1" s="1"/>
  <c r="K1933" i="1" a="1"/>
  <c r="K1933" i="1" s="1"/>
  <c r="K1932" i="1" a="1"/>
  <c r="K1932" i="1" s="1"/>
  <c r="K1940" i="1" a="1"/>
  <c r="K1940" i="1" s="1"/>
  <c r="J1938" i="1" a="1"/>
  <c r="J1938" i="1" s="1"/>
  <c r="L1939" i="1" a="1"/>
  <c r="L1939" i="1" s="1"/>
  <c r="L1932" i="1" a="1"/>
  <c r="L1932" i="1" s="1"/>
  <c r="L1934" i="1" a="1"/>
  <c r="L1934" i="1" s="1"/>
  <c r="J1939" i="1" a="1"/>
  <c r="J1939" i="1" s="1"/>
  <c r="J1940" i="1" a="1"/>
  <c r="J1940" i="1" s="1"/>
  <c r="K1937" i="1" a="1"/>
  <c r="K1937" i="1" s="1"/>
  <c r="L1935" i="1" a="1"/>
  <c r="L1935" i="1" s="1"/>
  <c r="K1936" i="1" a="1"/>
  <c r="K1936" i="1" s="1"/>
  <c r="K1935" i="1" a="1"/>
  <c r="K1935" i="1" s="1"/>
  <c r="K1939" i="1" a="1"/>
  <c r="K1939" i="1" s="1"/>
  <c r="J1936" i="1" a="1"/>
  <c r="J1936" i="1" s="1"/>
  <c r="K1934" i="1" a="1"/>
  <c r="K1934" i="1" s="1"/>
  <c r="L1936" i="1" a="1"/>
  <c r="L1936" i="1" s="1"/>
  <c r="K1924" i="1" a="1"/>
  <c r="K1924" i="1" s="1"/>
  <c r="K1926" i="1" a="1"/>
  <c r="K1926" i="1" s="1"/>
  <c r="J1926" i="1" a="1"/>
  <c r="J1926" i="1" s="1"/>
  <c r="L1925" i="1" a="1"/>
  <c r="L1925" i="1" s="1"/>
  <c r="J1931" i="1" a="1"/>
  <c r="J1931" i="1" s="1"/>
  <c r="L1930" i="1" a="1"/>
  <c r="L1930" i="1" s="1"/>
  <c r="K1922" i="1" a="1"/>
  <c r="K1922" i="1" s="1"/>
  <c r="L1922" i="1" a="1"/>
  <c r="L1922" i="1" s="1"/>
  <c r="K1930" i="1" a="1"/>
  <c r="K1930" i="1" s="1"/>
  <c r="L1926" i="1" a="1"/>
  <c r="L1926" i="1" s="1"/>
  <c r="L1929" i="1" a="1"/>
  <c r="L1929" i="1" s="1"/>
  <c r="L1928" i="1" a="1"/>
  <c r="L1928" i="1" s="1"/>
  <c r="K1925" i="1" a="1"/>
  <c r="K1925" i="1" s="1"/>
  <c r="K1929" i="1" a="1"/>
  <c r="K1929" i="1" s="1"/>
  <c r="J1925" i="1" a="1"/>
  <c r="J1925" i="1" s="1"/>
  <c r="K1927" i="1" a="1"/>
  <c r="K1927" i="1" s="1"/>
  <c r="J1930" i="1" a="1"/>
  <c r="J1930" i="1" s="1"/>
  <c r="J1927" i="1" a="1"/>
  <c r="J1927" i="1" s="1"/>
  <c r="J1929" i="1" a="1"/>
  <c r="J1929" i="1" s="1"/>
  <c r="J1928" i="1" a="1"/>
  <c r="J1928" i="1" s="1"/>
  <c r="L1927" i="1" a="1"/>
  <c r="L1927" i="1" s="1"/>
  <c r="J1922" i="1" a="1"/>
  <c r="J1922" i="1" s="1"/>
  <c r="L1924" i="1" a="1"/>
  <c r="L1924" i="1" s="1"/>
  <c r="J1924" i="1" a="1"/>
  <c r="J1924" i="1" s="1"/>
  <c r="J1923" i="1" a="1"/>
  <c r="J1923" i="1" s="1"/>
  <c r="L1923" i="1" a="1"/>
  <c r="L1923" i="1" s="1"/>
  <c r="K1923" i="1" a="1"/>
  <c r="K1923" i="1" s="1"/>
  <c r="K1928" i="1" a="1"/>
  <c r="K1928" i="1" s="1"/>
  <c r="K1918" i="1" a="1"/>
  <c r="K1918" i="1" s="1"/>
  <c r="J1915" i="1" a="1"/>
  <c r="J1915" i="1" s="1"/>
  <c r="K1914" i="1" a="1"/>
  <c r="K1914" i="1" s="1"/>
  <c r="J1914" i="1" a="1"/>
  <c r="J1914" i="1" s="1"/>
  <c r="L1921" i="1" a="1"/>
  <c r="L1921" i="1" s="1"/>
  <c r="K1917" i="1" a="1"/>
  <c r="K1917" i="1" s="1"/>
  <c r="K1921" i="1" a="1"/>
  <c r="K1921" i="1" s="1"/>
  <c r="J1921" i="1" a="1"/>
  <c r="J1921" i="1" s="1"/>
  <c r="L1920" i="1" a="1"/>
  <c r="L1920" i="1" s="1"/>
  <c r="K1920" i="1" a="1"/>
  <c r="K1920" i="1" s="1"/>
  <c r="L1917" i="1" a="1"/>
  <c r="L1917" i="1" s="1"/>
  <c r="J1920" i="1" a="1"/>
  <c r="J1920" i="1" s="1"/>
  <c r="L1913" i="1" a="1"/>
  <c r="L1913" i="1" s="1"/>
  <c r="J1919" i="1" a="1"/>
  <c r="J1919" i="1" s="1"/>
  <c r="L1918" i="1" a="1"/>
  <c r="L1918" i="1" s="1"/>
  <c r="K1916" i="1" a="1"/>
  <c r="K1916" i="1" s="1"/>
  <c r="J1918" i="1" a="1"/>
  <c r="J1918" i="1" s="1"/>
  <c r="J1916" i="1" a="1"/>
  <c r="J1916" i="1" s="1"/>
  <c r="K1913" i="1" a="1"/>
  <c r="K1913" i="1" s="1"/>
  <c r="K1919" i="1" a="1"/>
  <c r="K1919" i="1" s="1"/>
  <c r="L1915" i="1" a="1"/>
  <c r="L1915" i="1" s="1"/>
  <c r="L1916" i="1" a="1"/>
  <c r="L1916" i="1" s="1"/>
  <c r="L1914" i="1" a="1"/>
  <c r="L1914" i="1" s="1"/>
  <c r="K1915" i="1" a="1"/>
  <c r="K1915" i="1" s="1"/>
  <c r="L1919" i="1" a="1"/>
  <c r="L1919" i="1" s="1"/>
  <c r="J1917" i="1" a="1"/>
  <c r="J1917" i="1" s="1"/>
  <c r="L1912" i="1" a="1"/>
  <c r="L1912" i="1" s="1"/>
  <c r="K1912" i="1" a="1"/>
  <c r="K1912" i="1" s="1"/>
  <c r="L1905" i="1" a="1"/>
  <c r="L1905" i="1" s="1"/>
  <c r="K1909" i="1" a="1"/>
  <c r="K1909" i="1" s="1"/>
  <c r="K1906" i="1" a="1"/>
  <c r="K1906" i="1" s="1"/>
  <c r="J1906" i="1" a="1"/>
  <c r="J1906" i="1" s="1"/>
  <c r="L1904" i="1" a="1"/>
  <c r="L1904" i="1" s="1"/>
  <c r="J1911" i="1" a="1"/>
  <c r="J1911" i="1" s="1"/>
  <c r="K1905" i="1" a="1"/>
  <c r="K1905" i="1" s="1"/>
  <c r="K1910" i="1" a="1"/>
  <c r="K1910" i="1" s="1"/>
  <c r="J1905" i="1" a="1"/>
  <c r="J1905" i="1" s="1"/>
  <c r="K1908" i="1" a="1"/>
  <c r="K1908" i="1" s="1"/>
  <c r="L1908" i="1" a="1"/>
  <c r="L1908" i="1" s="1"/>
  <c r="J1908" i="1" a="1"/>
  <c r="J1908" i="1" s="1"/>
  <c r="K1904" i="1" a="1"/>
  <c r="K1904" i="1" s="1"/>
  <c r="J1909" i="1" a="1"/>
  <c r="J1909" i="1" s="1"/>
  <c r="K1907" i="1" a="1"/>
  <c r="K1907" i="1" s="1"/>
  <c r="J1912" i="1" a="1"/>
  <c r="J1912" i="1" s="1"/>
  <c r="K1911" i="1" a="1"/>
  <c r="K1911" i="1" s="1"/>
  <c r="L1907" i="1" a="1"/>
  <c r="L1907" i="1" s="1"/>
  <c r="L1910" i="1" a="1"/>
  <c r="L1910" i="1" s="1"/>
  <c r="J1910" i="1" a="1"/>
  <c r="J1910" i="1" s="1"/>
  <c r="L1906" i="1" a="1"/>
  <c r="L1906" i="1" s="1"/>
  <c r="J1913" i="1" a="1"/>
  <c r="J1913" i="1" s="1"/>
  <c r="L1909" i="1" a="1"/>
  <c r="L1909" i="1" s="1"/>
  <c r="J1907" i="1" a="1"/>
  <c r="J1907" i="1" s="1"/>
  <c r="L1911" i="1" a="1"/>
  <c r="L1911" i="1" s="1"/>
  <c r="J1904" i="1" a="1"/>
  <c r="J1904" i="1" s="1"/>
  <c r="L1676" i="1" a="1"/>
  <c r="L1676" i="1" s="1"/>
  <c r="K1674" i="1" a="1"/>
  <c r="K1674" i="1" s="1"/>
  <c r="L1673" i="1" a="1"/>
  <c r="L1673" i="1" s="1"/>
  <c r="L1675" i="1" a="1"/>
  <c r="L1675" i="1" s="1"/>
  <c r="K1675" i="1" a="1"/>
  <c r="K1675" i="1" s="1"/>
  <c r="J1675" i="1" a="1"/>
  <c r="J1675" i="1" s="1"/>
  <c r="J1673" i="1" a="1"/>
  <c r="J1673" i="1" s="1"/>
  <c r="J1676" i="1" a="1"/>
  <c r="J1676" i="1" s="1"/>
  <c r="K1673" i="1" a="1"/>
  <c r="K1673" i="1" s="1"/>
  <c r="K1676" i="1" a="1"/>
  <c r="K1676" i="1" s="1"/>
  <c r="L1674" i="1" a="1"/>
  <c r="L1674" i="1" s="1"/>
  <c r="J1674" i="1" a="1"/>
  <c r="J1674" i="1" s="1"/>
  <c r="K1671" i="1" a="1"/>
  <c r="K1671" i="1" s="1"/>
  <c r="J1671" i="1" a="1"/>
  <c r="J1671" i="1" s="1"/>
  <c r="J1669" i="1" a="1"/>
  <c r="J1669" i="1" s="1"/>
  <c r="J1672" i="1" a="1"/>
  <c r="J1672" i="1" s="1"/>
  <c r="K1661" i="1" a="1"/>
  <c r="K1661" i="1" s="1"/>
  <c r="K1662" i="1" a="1"/>
  <c r="K1662" i="1" s="1"/>
  <c r="L1669" i="1" a="1"/>
  <c r="L1669" i="1" s="1"/>
  <c r="L1672" i="1" a="1"/>
  <c r="L1672" i="1" s="1"/>
  <c r="K1672" i="1" a="1"/>
  <c r="K1672" i="1" s="1"/>
  <c r="L1671" i="1" a="1"/>
  <c r="L1671" i="1" s="1"/>
  <c r="K1670" i="1" a="1"/>
  <c r="K1670" i="1" s="1"/>
  <c r="L1662" i="1" a="1"/>
  <c r="L1662" i="1" s="1"/>
  <c r="J1668" i="1" a="1"/>
  <c r="J1668" i="1" s="1"/>
  <c r="K1669" i="1" a="1"/>
  <c r="K1669" i="1" s="1"/>
  <c r="L1670" i="1" a="1"/>
  <c r="L1670" i="1" s="1"/>
  <c r="J1670" i="1" a="1"/>
  <c r="J1670" i="1" s="1"/>
  <c r="L1668" i="1" a="1"/>
  <c r="L1668" i="1" s="1"/>
  <c r="J1662" i="1" a="1"/>
  <c r="J1662" i="1" s="1"/>
  <c r="K1668" i="1" a="1"/>
  <c r="K1668" i="1" s="1"/>
  <c r="L1667" i="1" a="1"/>
  <c r="L1667" i="1" s="1"/>
  <c r="K1667" i="1" a="1"/>
  <c r="K1667" i="1" s="1"/>
  <c r="J1667" i="1" a="1"/>
  <c r="J1667" i="1" s="1"/>
  <c r="J1661" i="1" a="1"/>
  <c r="J1661" i="1" s="1"/>
  <c r="L1661" i="1" a="1"/>
  <c r="L1661" i="1" s="1"/>
  <c r="J1654" i="1" a="1"/>
  <c r="J1654" i="1" s="1"/>
  <c r="J1647" i="1" a="1"/>
  <c r="J1647" i="1" s="1"/>
  <c r="L1646" i="1" a="1"/>
  <c r="L1646" i="1" s="1"/>
  <c r="L1647" i="1" a="1"/>
  <c r="L1647" i="1" s="1"/>
  <c r="K1646" i="1" a="1"/>
  <c r="K1646" i="1" s="1"/>
  <c r="K1660" i="1" a="1"/>
  <c r="K1660" i="1" s="1"/>
  <c r="J1660" i="1" a="1"/>
  <c r="J1660" i="1" s="1"/>
  <c r="K1654" i="1" a="1"/>
  <c r="K1654" i="1" s="1"/>
  <c r="L1660" i="1" a="1"/>
  <c r="L1660" i="1" s="1"/>
  <c r="J1646" i="1" a="1"/>
  <c r="J1646" i="1" s="1"/>
  <c r="L1654" i="1" a="1"/>
  <c r="L1654" i="1" s="1"/>
  <c r="K1647" i="1" a="1"/>
  <c r="K1647" i="1" s="1"/>
  <c r="L1642" i="1" a="1"/>
  <c r="L1642" i="1" s="1"/>
  <c r="K1642" i="1" a="1"/>
  <c r="K1642" i="1" s="1"/>
  <c r="K1629" i="1" a="1"/>
  <c r="K1629" i="1" s="1"/>
  <c r="J1642" i="1" a="1"/>
  <c r="J1642" i="1" s="1"/>
  <c r="J1628" i="1" a="1"/>
  <c r="J1628" i="1" s="1"/>
  <c r="K1627" i="1" a="1"/>
  <c r="K1627" i="1" s="1"/>
  <c r="K1628" i="1" a="1"/>
  <c r="K1628" i="1" s="1"/>
  <c r="K1643" i="1" a="1"/>
  <c r="K1643" i="1" s="1"/>
  <c r="L1628" i="1" a="1"/>
  <c r="L1628" i="1" s="1"/>
  <c r="J1629" i="1" a="1"/>
  <c r="J1629" i="1" s="1"/>
  <c r="L1643" i="1" a="1"/>
  <c r="L1643" i="1" s="1"/>
  <c r="J1643" i="1" a="1"/>
  <c r="J1643" i="1" s="1"/>
  <c r="L1627" i="1" a="1"/>
  <c r="L1627" i="1" s="1"/>
  <c r="L1629" i="1" a="1"/>
  <c r="L1629" i="1" s="1"/>
  <c r="J1627" i="1" a="1"/>
  <c r="J1627" i="1" s="1"/>
  <c r="K1626" i="1" a="1"/>
  <c r="K1626" i="1" s="1"/>
  <c r="K1623" i="1" a="1"/>
  <c r="K1623" i="1" s="1"/>
  <c r="J1622" i="1" a="1"/>
  <c r="J1622" i="1" s="1"/>
  <c r="J1626" i="1" a="1"/>
  <c r="J1626" i="1" s="1"/>
  <c r="L1624" i="1" a="1"/>
  <c r="L1624" i="1" s="1"/>
  <c r="L1625" i="1" a="1"/>
  <c r="L1625" i="1" s="1"/>
  <c r="J1621" i="1" a="1"/>
  <c r="J1621" i="1" s="1"/>
  <c r="J1624" i="1" a="1"/>
  <c r="J1624" i="1" s="1"/>
  <c r="L1621" i="1" a="1"/>
  <c r="L1621" i="1" s="1"/>
  <c r="L1619" i="1" a="1"/>
  <c r="L1619" i="1" s="1"/>
  <c r="J1625" i="1" a="1"/>
  <c r="J1625" i="1" s="1"/>
  <c r="K1621" i="1" a="1"/>
  <c r="K1621" i="1" s="1"/>
  <c r="K1622" i="1" a="1"/>
  <c r="K1622" i="1" s="1"/>
  <c r="J1619" i="1" a="1"/>
  <c r="J1619" i="1" s="1"/>
  <c r="K1624" i="1" a="1"/>
  <c r="K1624" i="1" s="1"/>
  <c r="J1623" i="1" a="1"/>
  <c r="J1623" i="1" s="1"/>
  <c r="L1623" i="1" a="1"/>
  <c r="L1623" i="1" s="1"/>
  <c r="L1622" i="1" a="1"/>
  <c r="L1622" i="1" s="1"/>
  <c r="L1626" i="1" a="1"/>
  <c r="L1626" i="1" s="1"/>
  <c r="K1625" i="1" a="1"/>
  <c r="K1625" i="1" s="1"/>
  <c r="K1619" i="1" a="1"/>
  <c r="K1619" i="1" s="1"/>
  <c r="L1611" i="1" a="1"/>
  <c r="L1611" i="1" s="1"/>
  <c r="L1605" i="1" a="1"/>
  <c r="L1605" i="1" s="1"/>
  <c r="L1613" i="1" a="1"/>
  <c r="L1613" i="1" s="1"/>
  <c r="K1613" i="1" a="1"/>
  <c r="K1613" i="1" s="1"/>
  <c r="J1613" i="1" a="1"/>
  <c r="J1613" i="1" s="1"/>
  <c r="K1605" i="1" a="1"/>
  <c r="K1605" i="1" s="1"/>
  <c r="L1612" i="1" a="1"/>
  <c r="L1612" i="1" s="1"/>
  <c r="K1604" i="1" a="1"/>
  <c r="K1604" i="1" s="1"/>
  <c r="J1605" i="1" a="1"/>
  <c r="J1605" i="1" s="1"/>
  <c r="L1604" i="1" a="1"/>
  <c r="L1604" i="1" s="1"/>
  <c r="K1612" i="1" a="1"/>
  <c r="K1612" i="1" s="1"/>
  <c r="J1612" i="1" a="1"/>
  <c r="J1612" i="1" s="1"/>
  <c r="J1611" i="1" a="1"/>
  <c r="J1611" i="1" s="1"/>
  <c r="J1604" i="1" a="1"/>
  <c r="J1604" i="1" s="1"/>
  <c r="L1598" i="1" a="1"/>
  <c r="L1598" i="1" s="1"/>
  <c r="K1611" i="1" a="1"/>
  <c r="K1611" i="1" s="1"/>
  <c r="K1141" i="1" a="1"/>
  <c r="K1141" i="1" s="1"/>
  <c r="K1140" i="1" a="1"/>
  <c r="K1140" i="1" s="1"/>
  <c r="J1139" i="1" a="1"/>
  <c r="J1139" i="1" s="1"/>
  <c r="L1142" i="1" a="1"/>
  <c r="L1142" i="1" s="1"/>
  <c r="K1139" i="1" a="1"/>
  <c r="K1139" i="1" s="1"/>
  <c r="L1144" i="1" a="1"/>
  <c r="L1144" i="1" s="1"/>
  <c r="K1143" i="1" a="1"/>
  <c r="K1143" i="1" s="1"/>
  <c r="K1144" i="1" a="1"/>
  <c r="K1144" i="1" s="1"/>
  <c r="L1141" i="1" a="1"/>
  <c r="L1141" i="1" s="1"/>
  <c r="L1143" i="1" a="1"/>
  <c r="L1143" i="1" s="1"/>
  <c r="K1142" i="1" a="1"/>
  <c r="K1142" i="1" s="1"/>
  <c r="J1140" i="1" a="1"/>
  <c r="J1140" i="1" s="1"/>
  <c r="J1141" i="1" a="1"/>
  <c r="J1141" i="1" s="1"/>
  <c r="K1138" i="1" a="1"/>
  <c r="K1138" i="1" s="1"/>
  <c r="L1138" i="1" a="1"/>
  <c r="L1138" i="1" s="1"/>
  <c r="J1138" i="1" a="1"/>
  <c r="J1138" i="1" s="1"/>
  <c r="J1142" i="1" a="1"/>
  <c r="J1142" i="1" s="1"/>
  <c r="L1145" i="1" a="1"/>
  <c r="L1145" i="1" s="1"/>
  <c r="L1139" i="1" a="1"/>
  <c r="L1139" i="1" s="1"/>
  <c r="K1145" i="1" a="1"/>
  <c r="K1145" i="1" s="1"/>
  <c r="J1145" i="1" a="1"/>
  <c r="J1145" i="1" s="1"/>
  <c r="J1144" i="1" a="1"/>
  <c r="J1144" i="1" s="1"/>
  <c r="J1143" i="1" a="1"/>
  <c r="J1143" i="1" s="1"/>
  <c r="L1140" i="1" a="1"/>
  <c r="L1140" i="1" s="1"/>
  <c r="L1456" i="1" a="1"/>
  <c r="L1456" i="1" s="1"/>
  <c r="J1453" i="1" a="1"/>
  <c r="J1453" i="1" s="1"/>
  <c r="K1453" i="1" a="1"/>
  <c r="K1453" i="1" s="1"/>
  <c r="K1458" i="1" a="1"/>
  <c r="K1458" i="1" s="1"/>
  <c r="L1453" i="1" a="1"/>
  <c r="L1453" i="1" s="1"/>
  <c r="L1454" i="1" a="1"/>
  <c r="L1454" i="1" s="1"/>
  <c r="L1458" i="1" a="1"/>
  <c r="L1458" i="1" s="1"/>
  <c r="J1458" i="1" a="1"/>
  <c r="J1458" i="1" s="1"/>
  <c r="J1455" i="1" a="1"/>
  <c r="J1455" i="1" s="1"/>
  <c r="L1455" i="1" a="1"/>
  <c r="L1455" i="1" s="1"/>
  <c r="K1455" i="1" a="1"/>
  <c r="K1455" i="1" s="1"/>
  <c r="J1457" i="1" a="1"/>
  <c r="J1457" i="1" s="1"/>
  <c r="J1456" i="1" a="1"/>
  <c r="J1456" i="1" s="1"/>
  <c r="K1454" i="1" a="1"/>
  <c r="K1454" i="1" s="1"/>
  <c r="L1457" i="1" a="1"/>
  <c r="L1457" i="1" s="1"/>
  <c r="K1457" i="1" a="1"/>
  <c r="K1457" i="1" s="1"/>
  <c r="J1454" i="1" a="1"/>
  <c r="J1454" i="1" s="1"/>
  <c r="K1456" i="1" a="1"/>
  <c r="K1456" i="1" s="1"/>
  <c r="K1448" i="1" a="1"/>
  <c r="K1448" i="1" s="1"/>
  <c r="L1449" i="1" a="1"/>
  <c r="L1449" i="1" s="1"/>
  <c r="K1451" i="1" a="1"/>
  <c r="K1451" i="1" s="1"/>
  <c r="L1446" i="1" a="1"/>
  <c r="L1446" i="1" s="1"/>
  <c r="J1448" i="1" a="1"/>
  <c r="J1448" i="1" s="1"/>
  <c r="J1446" i="1" a="1"/>
  <c r="J1446" i="1" s="1"/>
  <c r="L1450" i="1" a="1"/>
  <c r="L1450" i="1" s="1"/>
  <c r="L1444" i="1" a="1"/>
  <c r="L1444" i="1" s="1"/>
  <c r="K1450" i="1" a="1"/>
  <c r="K1450" i="1" s="1"/>
  <c r="J1449" i="1" a="1"/>
  <c r="J1449" i="1" s="1"/>
  <c r="K1445" i="1" a="1"/>
  <c r="K1445" i="1" s="1"/>
  <c r="K1452" i="1" a="1"/>
  <c r="K1452" i="1" s="1"/>
  <c r="J1450" i="1" a="1"/>
  <c r="J1450" i="1" s="1"/>
  <c r="K1449" i="1" a="1"/>
  <c r="K1449" i="1" s="1"/>
  <c r="L1447" i="1" a="1"/>
  <c r="L1447" i="1" s="1"/>
  <c r="K1446" i="1" a="1"/>
  <c r="K1446" i="1" s="1"/>
  <c r="L1445" i="1" a="1"/>
  <c r="L1445" i="1" s="1"/>
  <c r="K1444" i="1" a="1"/>
  <c r="K1444" i="1" s="1"/>
  <c r="J1444" i="1" a="1"/>
  <c r="J1444" i="1" s="1"/>
  <c r="L1452" i="1" a="1"/>
  <c r="L1452" i="1" s="1"/>
  <c r="J1445" i="1" a="1"/>
  <c r="J1445" i="1" s="1"/>
  <c r="K1447" i="1" a="1"/>
  <c r="K1447" i="1" s="1"/>
  <c r="J1452" i="1" a="1"/>
  <c r="J1452" i="1" s="1"/>
  <c r="L1451" i="1" a="1"/>
  <c r="L1451" i="1" s="1"/>
  <c r="J1447" i="1" a="1"/>
  <c r="J1447" i="1" s="1"/>
  <c r="L1448" i="1" a="1"/>
  <c r="L1448" i="1" s="1"/>
  <c r="J1451" i="1" a="1"/>
  <c r="J1451" i="1" s="1"/>
  <c r="J1440" i="1" a="1"/>
  <c r="J1440" i="1" s="1"/>
  <c r="L1438" i="1" a="1"/>
  <c r="L1438" i="1" s="1"/>
  <c r="K1436" i="1" a="1"/>
  <c r="K1436" i="1" s="1"/>
  <c r="L1440" i="1" a="1"/>
  <c r="L1440" i="1" s="1"/>
  <c r="L1441" i="1" a="1"/>
  <c r="L1441" i="1" s="1"/>
  <c r="K1441" i="1" a="1"/>
  <c r="K1441" i="1" s="1"/>
  <c r="K1437" i="1" a="1"/>
  <c r="K1437" i="1" s="1"/>
  <c r="J1439" i="1" a="1"/>
  <c r="J1439" i="1" s="1"/>
  <c r="K1440" i="1" a="1"/>
  <c r="K1440" i="1" s="1"/>
  <c r="K1438" i="1" a="1"/>
  <c r="K1438" i="1" s="1"/>
  <c r="L1443" i="1" a="1"/>
  <c r="L1443" i="1" s="1"/>
  <c r="K1443" i="1" a="1"/>
  <c r="K1443" i="1" s="1"/>
  <c r="J1443" i="1" a="1"/>
  <c r="J1443" i="1" s="1"/>
  <c r="J1441" i="1" a="1"/>
  <c r="J1441" i="1" s="1"/>
  <c r="K1439" i="1" a="1"/>
  <c r="K1439" i="1" s="1"/>
  <c r="K1442" i="1" a="1"/>
  <c r="K1442" i="1" s="1"/>
  <c r="J1438" i="1" a="1"/>
  <c r="J1438" i="1" s="1"/>
  <c r="L1436" i="1" a="1"/>
  <c r="L1436" i="1" s="1"/>
  <c r="L1437" i="1" a="1"/>
  <c r="L1437" i="1" s="1"/>
  <c r="L1442" i="1" a="1"/>
  <c r="L1442" i="1" s="1"/>
  <c r="L1439" i="1" a="1"/>
  <c r="L1439" i="1" s="1"/>
  <c r="J1437" i="1" a="1"/>
  <c r="J1437" i="1" s="1"/>
  <c r="J1436" i="1" a="1"/>
  <c r="J1436" i="1" s="1"/>
  <c r="J1442" i="1" a="1"/>
  <c r="J1442" i="1" s="1"/>
  <c r="L1423" i="1" a="1"/>
  <c r="L1423" i="1" s="1"/>
  <c r="J1432" i="1" a="1"/>
  <c r="J1432" i="1" s="1"/>
  <c r="K1432" i="1" a="1"/>
  <c r="K1432" i="1" s="1"/>
  <c r="L1432" i="1" a="1"/>
  <c r="L1432" i="1" s="1"/>
  <c r="L1430" i="1" a="1"/>
  <c r="L1430" i="1" s="1"/>
  <c r="K1430" i="1" a="1"/>
  <c r="K1430" i="1" s="1"/>
  <c r="L1424" i="1" a="1"/>
  <c r="L1424" i="1" s="1"/>
  <c r="K1424" i="1" a="1"/>
  <c r="K1424" i="1" s="1"/>
  <c r="J1424" i="1" a="1"/>
  <c r="J1424" i="1" s="1"/>
  <c r="J1431" i="1" a="1"/>
  <c r="J1431" i="1" s="1"/>
  <c r="J1430" i="1" a="1"/>
  <c r="J1430" i="1" s="1"/>
  <c r="K1431" i="1" a="1"/>
  <c r="K1431" i="1" s="1"/>
  <c r="K1423" i="1" a="1"/>
  <c r="K1423" i="1" s="1"/>
  <c r="L1434" i="1" a="1"/>
  <c r="L1434" i="1" s="1"/>
  <c r="K1434" i="1" a="1"/>
  <c r="K1434" i="1" s="1"/>
  <c r="J1434" i="1" a="1"/>
  <c r="J1434" i="1" s="1"/>
  <c r="L1431" i="1" a="1"/>
  <c r="L1431" i="1" s="1"/>
  <c r="J1433" i="1" a="1"/>
  <c r="J1433" i="1" s="1"/>
  <c r="L1433" i="1" a="1"/>
  <c r="L1433" i="1" s="1"/>
  <c r="K1433" i="1" a="1"/>
  <c r="K1433" i="1" s="1"/>
  <c r="L1416" i="1" a="1"/>
  <c r="L1416" i="1" s="1"/>
  <c r="J1422" i="1" a="1"/>
  <c r="J1422" i="1" s="1"/>
  <c r="L1421" i="1" a="1"/>
  <c r="L1421" i="1" s="1"/>
  <c r="K1420" i="1" a="1"/>
  <c r="K1420" i="1" s="1"/>
  <c r="L1419" i="1" a="1"/>
  <c r="L1419" i="1" s="1"/>
  <c r="K1416" i="1" a="1"/>
  <c r="K1416" i="1" s="1"/>
  <c r="K1417" i="1" a="1"/>
  <c r="K1417" i="1" s="1"/>
  <c r="K1422" i="1" a="1"/>
  <c r="K1422" i="1" s="1"/>
  <c r="J1423" i="1" a="1"/>
  <c r="J1423" i="1" s="1"/>
  <c r="L1422" i="1" a="1"/>
  <c r="L1422" i="1" s="1"/>
  <c r="J1416" i="1" a="1"/>
  <c r="J1416" i="1" s="1"/>
  <c r="J1418" i="1" a="1"/>
  <c r="J1418" i="1" s="1"/>
  <c r="J1419" i="1" a="1"/>
  <c r="J1419" i="1" s="1"/>
  <c r="L1417" i="1" a="1"/>
  <c r="L1417" i="1" s="1"/>
  <c r="K1418" i="1" a="1"/>
  <c r="K1418" i="1" s="1"/>
  <c r="L1420" i="1" a="1"/>
  <c r="L1420" i="1" s="1"/>
  <c r="K1419" i="1" a="1"/>
  <c r="K1419" i="1" s="1"/>
  <c r="J1421" i="1" a="1"/>
  <c r="J1421" i="1" s="1"/>
  <c r="L1418" i="1" a="1"/>
  <c r="L1418" i="1" s="1"/>
  <c r="J1420" i="1" a="1"/>
  <c r="J1420" i="1" s="1"/>
  <c r="K1421" i="1" a="1"/>
  <c r="K1421" i="1" s="1"/>
  <c r="J1417" i="1" a="1"/>
  <c r="J1417" i="1" s="1"/>
  <c r="J1402" i="1" a="1"/>
  <c r="J1402" i="1" s="1"/>
  <c r="L1409" i="1" a="1"/>
  <c r="L1409" i="1" s="1"/>
  <c r="K1409" i="1" a="1"/>
  <c r="K1409" i="1" s="1"/>
  <c r="K1405" i="1" a="1"/>
  <c r="K1405" i="1" s="1"/>
  <c r="L1407" i="1" a="1"/>
  <c r="L1407" i="1" s="1"/>
  <c r="K1408" i="1" a="1"/>
  <c r="K1408" i="1" s="1"/>
  <c r="L1405" i="1" a="1"/>
  <c r="L1405" i="1" s="1"/>
  <c r="J1403" i="1" a="1"/>
  <c r="J1403" i="1" s="1"/>
  <c r="K1403" i="1" a="1"/>
  <c r="K1403" i="1" s="1"/>
  <c r="K1402" i="1" a="1"/>
  <c r="K1402" i="1" s="1"/>
  <c r="J1407" i="1" a="1"/>
  <c r="J1407" i="1" s="1"/>
  <c r="J1408" i="1" a="1"/>
  <c r="J1408" i="1" s="1"/>
  <c r="L1402" i="1" a="1"/>
  <c r="L1402" i="1" s="1"/>
  <c r="J1405" i="1" a="1"/>
  <c r="J1405" i="1" s="1"/>
  <c r="L1408" i="1" a="1"/>
  <c r="L1408" i="1" s="1"/>
  <c r="J1410" i="1" a="1"/>
  <c r="J1410" i="1" s="1"/>
  <c r="L1410" i="1" a="1"/>
  <c r="L1410" i="1" s="1"/>
  <c r="K1410" i="1" a="1"/>
  <c r="K1410" i="1" s="1"/>
  <c r="K1407" i="1" a="1"/>
  <c r="K1407" i="1" s="1"/>
  <c r="J1404" i="1" a="1"/>
  <c r="J1404" i="1" s="1"/>
  <c r="J1409" i="1" a="1"/>
  <c r="J1409" i="1" s="1"/>
  <c r="L1404" i="1" a="1"/>
  <c r="L1404" i="1" s="1"/>
  <c r="K1404" i="1" a="1"/>
  <c r="K1404" i="1" s="1"/>
  <c r="L1403" i="1" a="1"/>
  <c r="L1403" i="1" s="1"/>
  <c r="L1401" i="1" a="1"/>
  <c r="L1401" i="1" s="1"/>
  <c r="K1401" i="1" a="1"/>
  <c r="K1401" i="1" s="1"/>
  <c r="J1401" i="1" a="1"/>
  <c r="J1401" i="1" s="1"/>
  <c r="L1368" i="1" a="1"/>
  <c r="L1368" i="1" s="1"/>
  <c r="L1367" i="1" a="1"/>
  <c r="L1367" i="1" s="1"/>
  <c r="K1367" i="1" a="1"/>
  <c r="K1367" i="1" s="1"/>
  <c r="J1370" i="1" a="1"/>
  <c r="J1370" i="1" s="1"/>
  <c r="L1369" i="1" a="1"/>
  <c r="L1369" i="1" s="1"/>
  <c r="L1374" i="1" a="1"/>
  <c r="L1374" i="1" s="1"/>
  <c r="L1372" i="1" a="1"/>
  <c r="L1372" i="1" s="1"/>
  <c r="K1374" i="1" a="1"/>
  <c r="K1374" i="1" s="1"/>
  <c r="L1371" i="1" a="1"/>
  <c r="L1371" i="1" s="1"/>
  <c r="L1370" i="1" a="1"/>
  <c r="L1370" i="1" s="1"/>
  <c r="J1371" i="1" a="1"/>
  <c r="J1371" i="1" s="1"/>
  <c r="J1373" i="1" a="1"/>
  <c r="J1373" i="1" s="1"/>
  <c r="K1371" i="1" a="1"/>
  <c r="K1371" i="1" s="1"/>
  <c r="L1373" i="1" a="1"/>
  <c r="L1373" i="1" s="1"/>
  <c r="J1374" i="1" a="1"/>
  <c r="J1374" i="1" s="1"/>
  <c r="J1368" i="1" a="1"/>
  <c r="J1368" i="1" s="1"/>
  <c r="K1369" i="1" a="1"/>
  <c r="K1369" i="1" s="1"/>
  <c r="L1366" i="1" a="1"/>
  <c r="L1366" i="1" s="1"/>
  <c r="J1372" i="1" a="1"/>
  <c r="J1372" i="1" s="1"/>
  <c r="K1370" i="1" a="1"/>
  <c r="K1370" i="1" s="1"/>
  <c r="J1367" i="1" a="1"/>
  <c r="J1367" i="1" s="1"/>
  <c r="K1372" i="1" a="1"/>
  <c r="K1372" i="1" s="1"/>
  <c r="K1373" i="1" a="1"/>
  <c r="K1373" i="1" s="1"/>
  <c r="K1368" i="1" a="1"/>
  <c r="K1368" i="1" s="1"/>
  <c r="J1369" i="1" a="1"/>
  <c r="J1369" i="1" s="1"/>
  <c r="J1363" i="1" a="1"/>
  <c r="J1363" i="1" s="1"/>
  <c r="K1361" i="1" a="1"/>
  <c r="K1361" i="1" s="1"/>
  <c r="J1360" i="1" a="1"/>
  <c r="J1360" i="1" s="1"/>
  <c r="L1360" i="1" a="1"/>
  <c r="L1360" i="1" s="1"/>
  <c r="K1365" i="1" a="1"/>
  <c r="K1365" i="1" s="1"/>
  <c r="L1358" i="1" a="1"/>
  <c r="L1358" i="1" s="1"/>
  <c r="J1366" i="1" a="1"/>
  <c r="J1366" i="1" s="1"/>
  <c r="J1358" i="1" a="1"/>
  <c r="J1358" i="1" s="1"/>
  <c r="J1362" i="1" a="1"/>
  <c r="J1362" i="1" s="1"/>
  <c r="K1364" i="1" a="1"/>
  <c r="K1364" i="1" s="1"/>
  <c r="J1364" i="1" a="1"/>
  <c r="J1364" i="1" s="1"/>
  <c r="K1358" i="1" a="1"/>
  <c r="K1358" i="1" s="1"/>
  <c r="K1362" i="1" a="1"/>
  <c r="K1362" i="1" s="1"/>
  <c r="K1360" i="1" a="1"/>
  <c r="K1360" i="1" s="1"/>
  <c r="J1359" i="1" a="1"/>
  <c r="J1359" i="1" s="1"/>
  <c r="J1361" i="1" a="1"/>
  <c r="J1361" i="1" s="1"/>
  <c r="L1357" i="1" a="1"/>
  <c r="L1357" i="1" s="1"/>
  <c r="K1366" i="1" a="1"/>
  <c r="K1366" i="1" s="1"/>
  <c r="L1365" i="1" a="1"/>
  <c r="L1365" i="1" s="1"/>
  <c r="L1361" i="1" a="1"/>
  <c r="L1361" i="1" s="1"/>
  <c r="J1365" i="1" a="1"/>
  <c r="J1365" i="1" s="1"/>
  <c r="L1364" i="1" a="1"/>
  <c r="L1364" i="1" s="1"/>
  <c r="L1359" i="1" a="1"/>
  <c r="L1359" i="1" s="1"/>
  <c r="L1362" i="1" a="1"/>
  <c r="L1362" i="1" s="1"/>
  <c r="K1359" i="1" a="1"/>
  <c r="K1359" i="1" s="1"/>
  <c r="K1363" i="1" a="1"/>
  <c r="K1363" i="1" s="1"/>
  <c r="K1357" i="1" a="1"/>
  <c r="K1357" i="1" s="1"/>
  <c r="L1363" i="1" a="1"/>
  <c r="L1363" i="1" s="1"/>
  <c r="K1350" i="1" a="1"/>
  <c r="K1350" i="1" s="1"/>
  <c r="K1354" i="1" a="1"/>
  <c r="K1354" i="1" s="1"/>
  <c r="L1349" i="1" a="1"/>
  <c r="L1349" i="1" s="1"/>
  <c r="J1349" i="1" a="1"/>
  <c r="J1349" i="1" s="1"/>
  <c r="J1353" i="1" a="1"/>
  <c r="J1353" i="1" s="1"/>
  <c r="J1352" i="1" a="1"/>
  <c r="J1352" i="1" s="1"/>
  <c r="J1356" i="1" a="1"/>
  <c r="J1356" i="1" s="1"/>
  <c r="K1355" i="1" a="1"/>
  <c r="K1355" i="1" s="1"/>
  <c r="J1350" i="1" a="1"/>
  <c r="J1350" i="1" s="1"/>
  <c r="J1354" i="1" a="1"/>
  <c r="J1354" i="1" s="1"/>
  <c r="L1354" i="1" a="1"/>
  <c r="L1354" i="1" s="1"/>
  <c r="K1348" i="1" a="1"/>
  <c r="K1348" i="1" s="1"/>
  <c r="L1353" i="1" a="1"/>
  <c r="L1353" i="1" s="1"/>
  <c r="J1348" i="1" a="1"/>
  <c r="J1348" i="1" s="1"/>
  <c r="L1350" i="1" a="1"/>
  <c r="L1350" i="1" s="1"/>
  <c r="K1352" i="1" a="1"/>
  <c r="K1352" i="1" s="1"/>
  <c r="J1355" i="1" a="1"/>
  <c r="J1355" i="1" s="1"/>
  <c r="J1357" i="1" a="1"/>
  <c r="J1357" i="1" s="1"/>
  <c r="L1355" i="1" a="1"/>
  <c r="L1355" i="1" s="1"/>
  <c r="L1356" i="1" a="1"/>
  <c r="L1356" i="1" s="1"/>
  <c r="K1356" i="1" a="1"/>
  <c r="K1356" i="1" s="1"/>
  <c r="L1348" i="1" a="1"/>
  <c r="L1348" i="1" s="1"/>
  <c r="L1352" i="1" a="1"/>
  <c r="L1352" i="1" s="1"/>
  <c r="K1353" i="1" a="1"/>
  <c r="K1353" i="1" s="1"/>
  <c r="K1349" i="1" a="1"/>
  <c r="K1349" i="1" s="1"/>
  <c r="K1338" i="1" a="1"/>
  <c r="K1338" i="1" s="1"/>
  <c r="K1336" i="1" a="1"/>
  <c r="K1336" i="1" s="1"/>
  <c r="K1339" i="1" a="1"/>
  <c r="K1339" i="1" s="1"/>
  <c r="J1337" i="1" a="1"/>
  <c r="J1337" i="1" s="1"/>
  <c r="J1340" i="1" a="1"/>
  <c r="J1340" i="1" s="1"/>
  <c r="L1347" i="1" a="1"/>
  <c r="L1347" i="1" s="1"/>
  <c r="K1347" i="1" a="1"/>
  <c r="K1347" i="1" s="1"/>
  <c r="L1346" i="1" a="1"/>
  <c r="L1346" i="1" s="1"/>
  <c r="J1339" i="1" a="1"/>
  <c r="J1339" i="1" s="1"/>
  <c r="L1337" i="1" a="1"/>
  <c r="L1337" i="1" s="1"/>
  <c r="L1340" i="1" a="1"/>
  <c r="L1340" i="1" s="1"/>
  <c r="L1336" i="1" a="1"/>
  <c r="L1336" i="1" s="1"/>
  <c r="L1339" i="1" a="1"/>
  <c r="L1339" i="1" s="1"/>
  <c r="K1346" i="1" a="1"/>
  <c r="K1346" i="1" s="1"/>
  <c r="K1337" i="1" a="1"/>
  <c r="K1337" i="1" s="1"/>
  <c r="J1346" i="1" a="1"/>
  <c r="J1346" i="1" s="1"/>
  <c r="K1340" i="1" a="1"/>
  <c r="K1340" i="1" s="1"/>
  <c r="J1347" i="1" a="1"/>
  <c r="J1347" i="1" s="1"/>
  <c r="L1338" i="1" a="1"/>
  <c r="L1338" i="1" s="1"/>
  <c r="J1336" i="1" a="1"/>
  <c r="J1336" i="1" s="1"/>
  <c r="J1338" i="1" a="1"/>
  <c r="J1338" i="1" s="1"/>
  <c r="L1325" i="1" a="1"/>
  <c r="L1325" i="1" s="1"/>
  <c r="J1332" i="1" a="1"/>
  <c r="J1332" i="1" s="1"/>
  <c r="L1334" i="1" a="1"/>
  <c r="L1334" i="1" s="1"/>
  <c r="J1326" i="1" a="1"/>
  <c r="J1326" i="1" s="1"/>
  <c r="L1326" i="1" a="1"/>
  <c r="L1326" i="1" s="1"/>
  <c r="L1335" i="1" a="1"/>
  <c r="L1335" i="1" s="1"/>
  <c r="K1335" i="1" a="1"/>
  <c r="K1335" i="1" s="1"/>
  <c r="J1335" i="1" a="1"/>
  <c r="J1335" i="1" s="1"/>
  <c r="J1334" i="1" a="1"/>
  <c r="J1334" i="1" s="1"/>
  <c r="J1333" i="1" a="1"/>
  <c r="J1333" i="1" s="1"/>
  <c r="J1325" i="1" a="1"/>
  <c r="J1325" i="1" s="1"/>
  <c r="K1325" i="1" a="1"/>
  <c r="K1325" i="1" s="1"/>
  <c r="K1326" i="1" a="1"/>
  <c r="K1326" i="1" s="1"/>
  <c r="L1324" i="1" a="1"/>
  <c r="L1324" i="1" s="1"/>
  <c r="L1333" i="1" a="1"/>
  <c r="L1333" i="1" s="1"/>
  <c r="K1334" i="1" a="1"/>
  <c r="K1334" i="1" s="1"/>
  <c r="K1333" i="1" a="1"/>
  <c r="K1333" i="1" s="1"/>
  <c r="L1332" i="1" a="1"/>
  <c r="L1332" i="1" s="1"/>
  <c r="K1332" i="1" a="1"/>
  <c r="K1332" i="1" s="1"/>
  <c r="J1319" i="1" a="1"/>
  <c r="J1319" i="1" s="1"/>
  <c r="K1321" i="1" a="1"/>
  <c r="K1321" i="1" s="1"/>
  <c r="L1320" i="1" a="1"/>
  <c r="L1320" i="1" s="1"/>
  <c r="K1323" i="1" a="1"/>
  <c r="K1323" i="1" s="1"/>
  <c r="K1324" i="1" a="1"/>
  <c r="K1324" i="1" s="1"/>
  <c r="J1324" i="1" a="1"/>
  <c r="J1324" i="1" s="1"/>
  <c r="L1323" i="1" a="1"/>
  <c r="L1323" i="1" s="1"/>
  <c r="J1323" i="1" a="1"/>
  <c r="J1323" i="1" s="1"/>
  <c r="L1317" i="1" a="1"/>
  <c r="L1317" i="1" s="1"/>
  <c r="L1318" i="1" a="1"/>
  <c r="L1318" i="1" s="1"/>
  <c r="J1318" i="1" a="1"/>
  <c r="J1318" i="1" s="1"/>
  <c r="K1319" i="1" a="1"/>
  <c r="K1319" i="1" s="1"/>
  <c r="K1320" i="1" a="1"/>
  <c r="K1320" i="1" s="1"/>
  <c r="J1321" i="1" a="1"/>
  <c r="J1321" i="1" s="1"/>
  <c r="K1318" i="1" a="1"/>
  <c r="K1318" i="1" s="1"/>
  <c r="K1317" i="1" a="1"/>
  <c r="K1317" i="1" s="1"/>
  <c r="J1317" i="1" a="1"/>
  <c r="J1317" i="1" s="1"/>
  <c r="J1320" i="1" a="1"/>
  <c r="J1320" i="1" s="1"/>
  <c r="L1319" i="1" a="1"/>
  <c r="L1319" i="1" s="1"/>
  <c r="L1321" i="1" a="1"/>
  <c r="L1321" i="1" s="1"/>
  <c r="L1259" i="1" a="1"/>
  <c r="L1259" i="1" s="1"/>
  <c r="L1257" i="1" a="1"/>
  <c r="L1257" i="1" s="1"/>
  <c r="J1262" i="1" a="1"/>
  <c r="J1262" i="1" s="1"/>
  <c r="K1256" i="1" a="1"/>
  <c r="K1256" i="1" s="1"/>
  <c r="L1263" i="1" a="1"/>
  <c r="L1263" i="1" s="1"/>
  <c r="J1263" i="1" a="1"/>
  <c r="J1263" i="1" s="1"/>
  <c r="J1258" i="1" a="1"/>
  <c r="J1258" i="1" s="1"/>
  <c r="K1259" i="1" a="1"/>
  <c r="K1259" i="1" s="1"/>
  <c r="L1262" i="1" a="1"/>
  <c r="L1262" i="1" s="1"/>
  <c r="L1261" i="1" a="1"/>
  <c r="L1261" i="1" s="1"/>
  <c r="J1256" i="1" a="1"/>
  <c r="J1256" i="1" s="1"/>
  <c r="K1262" i="1" a="1"/>
  <c r="K1262" i="1" s="1"/>
  <c r="K1261" i="1" a="1"/>
  <c r="K1261" i="1" s="1"/>
  <c r="J1261" i="1" a="1"/>
  <c r="J1261" i="1" s="1"/>
  <c r="K1260" i="1" a="1"/>
  <c r="K1260" i="1" s="1"/>
  <c r="J1259" i="1" a="1"/>
  <c r="J1259" i="1" s="1"/>
  <c r="L1258" i="1" a="1"/>
  <c r="L1258" i="1" s="1"/>
  <c r="K1255" i="1" a="1"/>
  <c r="K1255" i="1" s="1"/>
  <c r="K1258" i="1" a="1"/>
  <c r="K1258" i="1" s="1"/>
  <c r="K1257" i="1" a="1"/>
  <c r="K1257" i="1" s="1"/>
  <c r="J1255" i="1" a="1"/>
  <c r="J1255" i="1" s="1"/>
  <c r="J1257" i="1" a="1"/>
  <c r="J1257" i="1" s="1"/>
  <c r="L1255" i="1" a="1"/>
  <c r="L1255" i="1" s="1"/>
  <c r="L1256" i="1" a="1"/>
  <c r="L1256" i="1" s="1"/>
  <c r="K1263" i="1" a="1"/>
  <c r="K1263" i="1" s="1"/>
  <c r="J1260" i="1" a="1"/>
  <c r="J1260" i="1" s="1"/>
  <c r="L1260" i="1" a="1"/>
  <c r="L1260" i="1" s="1"/>
  <c r="J1253" i="1" a="1"/>
  <c r="J1253" i="1" s="1"/>
  <c r="L1254" i="1" a="1"/>
  <c r="L1254" i="1" s="1"/>
  <c r="K1254" i="1" a="1"/>
  <c r="K1254" i="1" s="1"/>
  <c r="J1254" i="1" a="1"/>
  <c r="J1254" i="1" s="1"/>
  <c r="K1252" i="1" a="1"/>
  <c r="K1252" i="1" s="1"/>
  <c r="L1249" i="1" a="1"/>
  <c r="L1249" i="1" s="1"/>
  <c r="J1249" i="1" a="1"/>
  <c r="J1249" i="1" s="1"/>
  <c r="L1253" i="1" a="1"/>
  <c r="L1253" i="1" s="1"/>
  <c r="K1247" i="1" a="1"/>
  <c r="K1247" i="1" s="1"/>
  <c r="K1248" i="1" a="1"/>
  <c r="K1248" i="1" s="1"/>
  <c r="L1251" i="1" a="1"/>
  <c r="L1251" i="1" s="1"/>
  <c r="L1250" i="1" a="1"/>
  <c r="L1250" i="1" s="1"/>
  <c r="J1250" i="1" a="1"/>
  <c r="J1250" i="1" s="1"/>
  <c r="J1246" i="1" a="1"/>
  <c r="J1246" i="1" s="1"/>
  <c r="K1249" i="1" a="1"/>
  <c r="K1249" i="1" s="1"/>
  <c r="L1248" i="1" a="1"/>
  <c r="L1248" i="1" s="1"/>
  <c r="L1252" i="1" a="1"/>
  <c r="L1252" i="1" s="1"/>
  <c r="L1247" i="1" a="1"/>
  <c r="L1247" i="1" s="1"/>
  <c r="K1250" i="1" a="1"/>
  <c r="K1250" i="1" s="1"/>
  <c r="L1246" i="1" a="1"/>
  <c r="L1246" i="1" s="1"/>
  <c r="J1252" i="1" a="1"/>
  <c r="J1252" i="1" s="1"/>
  <c r="K1251" i="1" a="1"/>
  <c r="K1251" i="1" s="1"/>
  <c r="J1251" i="1" a="1"/>
  <c r="J1251" i="1" s="1"/>
  <c r="K1246" i="1" a="1"/>
  <c r="K1246" i="1" s="1"/>
  <c r="J1248" i="1" a="1"/>
  <c r="J1248" i="1" s="1"/>
  <c r="J1247" i="1" a="1"/>
  <c r="J1247" i="1" s="1"/>
  <c r="K1253" i="1" a="1"/>
  <c r="K1253" i="1" s="1"/>
  <c r="J1242" i="1" a="1"/>
  <c r="J1242" i="1" s="1"/>
  <c r="L1237" i="1" a="1"/>
  <c r="L1237" i="1" s="1"/>
  <c r="L1245" i="1" a="1"/>
  <c r="L1245" i="1" s="1"/>
  <c r="K1245" i="1" a="1"/>
  <c r="K1245" i="1" s="1"/>
  <c r="J1245" i="1" a="1"/>
  <c r="J1245" i="1" s="1"/>
  <c r="J1241" i="1" a="1"/>
  <c r="J1241" i="1" s="1"/>
  <c r="J1244" i="1" a="1"/>
  <c r="J1244" i="1" s="1"/>
  <c r="L1244" i="1" a="1"/>
  <c r="L1244" i="1" s="1"/>
  <c r="L1241" i="1" a="1"/>
  <c r="L1241" i="1" s="1"/>
  <c r="K1243" i="1" a="1"/>
  <c r="K1243" i="1" s="1"/>
  <c r="J1243" i="1" a="1"/>
  <c r="J1243" i="1" s="1"/>
  <c r="L1242" i="1" a="1"/>
  <c r="L1242" i="1" s="1"/>
  <c r="K1242" i="1" a="1"/>
  <c r="K1242" i="1" s="1"/>
  <c r="J1240" i="1" a="1"/>
  <c r="J1240" i="1" s="1"/>
  <c r="K1240" i="1" a="1"/>
  <c r="K1240" i="1" s="1"/>
  <c r="K1241" i="1" a="1"/>
  <c r="K1241" i="1" s="1"/>
  <c r="K1238" i="1" a="1"/>
  <c r="K1238" i="1" s="1"/>
  <c r="K1244" i="1" a="1"/>
  <c r="K1244" i="1" s="1"/>
  <c r="J1238" i="1" a="1"/>
  <c r="J1238" i="1" s="1"/>
  <c r="J1237" i="1" a="1"/>
  <c r="J1237" i="1" s="1"/>
  <c r="L1243" i="1" a="1"/>
  <c r="L1243" i="1" s="1"/>
  <c r="L1238" i="1" a="1"/>
  <c r="L1238" i="1" s="1"/>
  <c r="K1237" i="1" a="1"/>
  <c r="K1237" i="1" s="1"/>
  <c r="K1239" i="1" a="1"/>
  <c r="K1239" i="1" s="1"/>
  <c r="J1239" i="1" a="1"/>
  <c r="J1239" i="1" s="1"/>
  <c r="L1239" i="1" a="1"/>
  <c r="L1239" i="1" s="1"/>
  <c r="L1240" i="1" a="1"/>
  <c r="L1240" i="1" s="1"/>
  <c r="J1232" i="1" a="1"/>
  <c r="J1232" i="1" s="1"/>
  <c r="K1231" i="1" a="1"/>
  <c r="K1231" i="1" s="1"/>
  <c r="K1228" i="1" a="1"/>
  <c r="K1228" i="1" s="1"/>
  <c r="J1229" i="1" a="1"/>
  <c r="J1229" i="1" s="1"/>
  <c r="K1232" i="1" a="1"/>
  <c r="K1232" i="1" s="1"/>
  <c r="K1229" i="1" a="1"/>
  <c r="K1229" i="1" s="1"/>
  <c r="L1228" i="1" a="1"/>
  <c r="L1228" i="1" s="1"/>
  <c r="L1236" i="1" a="1"/>
  <c r="L1236" i="1" s="1"/>
  <c r="K1236" i="1" a="1"/>
  <c r="K1236" i="1" s="1"/>
  <c r="J1236" i="1" a="1"/>
  <c r="J1236" i="1" s="1"/>
  <c r="L1235" i="1" a="1"/>
  <c r="L1235" i="1" s="1"/>
  <c r="K1235" i="1" a="1"/>
  <c r="K1235" i="1" s="1"/>
  <c r="L1227" i="1" a="1"/>
  <c r="L1227" i="1" s="1"/>
  <c r="J1234" i="1" a="1"/>
  <c r="J1234" i="1" s="1"/>
  <c r="K1233" i="1" a="1"/>
  <c r="K1233" i="1" s="1"/>
  <c r="J1233" i="1" a="1"/>
  <c r="J1233" i="1" s="1"/>
  <c r="L1232" i="1" a="1"/>
  <c r="L1232" i="1" s="1"/>
  <c r="J1230" i="1" a="1"/>
  <c r="J1230" i="1" s="1"/>
  <c r="L1230" i="1" a="1"/>
  <c r="L1230" i="1" s="1"/>
  <c r="J1235" i="1" a="1"/>
  <c r="J1235" i="1" s="1"/>
  <c r="L1233" i="1" a="1"/>
  <c r="L1233" i="1" s="1"/>
  <c r="L1234" i="1" a="1"/>
  <c r="L1234" i="1" s="1"/>
  <c r="L1229" i="1" a="1"/>
  <c r="L1229" i="1" s="1"/>
  <c r="J1228" i="1" a="1"/>
  <c r="J1228" i="1" s="1"/>
  <c r="J1231" i="1" a="1"/>
  <c r="J1231" i="1" s="1"/>
  <c r="L1231" i="1" a="1"/>
  <c r="L1231" i="1" s="1"/>
  <c r="K1230" i="1" a="1"/>
  <c r="K1230" i="1" s="1"/>
  <c r="K1234" i="1" a="1"/>
  <c r="K1234" i="1" s="1"/>
  <c r="J1222" i="1" a="1"/>
  <c r="J1222" i="1" s="1"/>
  <c r="K1226" i="1" a="1"/>
  <c r="K1226" i="1" s="1"/>
  <c r="K1221" i="1" a="1"/>
  <c r="K1221" i="1" s="1"/>
  <c r="J1226" i="1" a="1"/>
  <c r="J1226" i="1" s="1"/>
  <c r="L1220" i="1" a="1"/>
  <c r="L1220" i="1" s="1"/>
  <c r="L1225" i="1" a="1"/>
  <c r="L1225" i="1" s="1"/>
  <c r="J1225" i="1" a="1"/>
  <c r="J1225" i="1" s="1"/>
  <c r="K1222" i="1" a="1"/>
  <c r="K1222" i="1" s="1"/>
  <c r="L1218" i="1" a="1"/>
  <c r="L1218" i="1" s="1"/>
  <c r="J1220" i="1" a="1"/>
  <c r="J1220" i="1" s="1"/>
  <c r="L1224" i="1" a="1"/>
  <c r="L1224" i="1" s="1"/>
  <c r="L1222" i="1" a="1"/>
  <c r="L1222" i="1" s="1"/>
  <c r="K1220" i="1" a="1"/>
  <c r="K1220" i="1" s="1"/>
  <c r="J1219" i="1" a="1"/>
  <c r="J1219" i="1" s="1"/>
  <c r="L1219" i="1" a="1"/>
  <c r="L1219" i="1" s="1"/>
  <c r="K1223" i="1" a="1"/>
  <c r="K1223" i="1" s="1"/>
  <c r="J1221" i="1" a="1"/>
  <c r="J1221" i="1" s="1"/>
  <c r="L1223" i="1" a="1"/>
  <c r="L1223" i="1" s="1"/>
  <c r="K1227" i="1" a="1"/>
  <c r="K1227" i="1" s="1"/>
  <c r="J1227" i="1" a="1"/>
  <c r="J1227" i="1" s="1"/>
  <c r="L1221" i="1" a="1"/>
  <c r="L1221" i="1" s="1"/>
  <c r="K1219" i="1" a="1"/>
  <c r="K1219" i="1" s="1"/>
  <c r="J1224" i="1" a="1"/>
  <c r="J1224" i="1" s="1"/>
  <c r="K1224" i="1" a="1"/>
  <c r="K1224" i="1" s="1"/>
  <c r="J1223" i="1" a="1"/>
  <c r="J1223" i="1" s="1"/>
  <c r="L1226" i="1" a="1"/>
  <c r="L1226" i="1" s="1"/>
  <c r="K1218" i="1" a="1"/>
  <c r="K1218" i="1" s="1"/>
  <c r="K1225" i="1" a="1"/>
  <c r="K1225" i="1" s="1"/>
  <c r="K1217" i="1" a="1"/>
  <c r="K1217" i="1" s="1"/>
  <c r="J1217" i="1" a="1"/>
  <c r="J1217" i="1" s="1"/>
  <c r="K1215" i="1" a="1"/>
  <c r="K1215" i="1" s="1"/>
  <c r="K1211" i="1" a="1"/>
  <c r="K1211" i="1" s="1"/>
  <c r="J1215" i="1" a="1"/>
  <c r="J1215" i="1" s="1"/>
  <c r="K1216" i="1" a="1"/>
  <c r="K1216" i="1" s="1"/>
  <c r="J1216" i="1" a="1"/>
  <c r="J1216" i="1" s="1"/>
  <c r="J1212" i="1" a="1"/>
  <c r="J1212" i="1" s="1"/>
  <c r="J1210" i="1" a="1"/>
  <c r="J1210" i="1" s="1"/>
  <c r="L1211" i="1" a="1"/>
  <c r="L1211" i="1" s="1"/>
  <c r="K1209" i="1" a="1"/>
  <c r="K1209" i="1" s="1"/>
  <c r="L1212" i="1" a="1"/>
  <c r="L1212" i="1" s="1"/>
  <c r="J1209" i="1" a="1"/>
  <c r="J1209" i="1" s="1"/>
  <c r="K1214" i="1" a="1"/>
  <c r="K1214" i="1" s="1"/>
  <c r="L1214" i="1" a="1"/>
  <c r="L1214" i="1" s="1"/>
  <c r="J1214" i="1" a="1"/>
  <c r="J1214" i="1" s="1"/>
  <c r="L1215" i="1" a="1"/>
  <c r="L1215" i="1" s="1"/>
  <c r="K1212" i="1" a="1"/>
  <c r="K1212" i="1" s="1"/>
  <c r="J1211" i="1" a="1"/>
  <c r="J1211" i="1" s="1"/>
  <c r="L1210" i="1" a="1"/>
  <c r="L1210" i="1" s="1"/>
  <c r="J1218" i="1" a="1"/>
  <c r="J1218" i="1" s="1"/>
  <c r="L1216" i="1" a="1"/>
  <c r="L1216" i="1" s="1"/>
  <c r="K1210" i="1" a="1"/>
  <c r="K1210" i="1" s="1"/>
  <c r="L1209" i="1" a="1"/>
  <c r="L1209" i="1" s="1"/>
  <c r="L1217" i="1" a="1"/>
  <c r="L1217" i="1" s="1"/>
  <c r="J1208" i="1" a="1"/>
  <c r="J1208" i="1" s="1"/>
  <c r="K1199" i="1" a="1"/>
  <c r="K1199" i="1" s="1"/>
  <c r="K1208" i="1" a="1"/>
  <c r="K1208" i="1" s="1"/>
  <c r="L1208" i="1" a="1"/>
  <c r="L1208" i="1" s="1"/>
  <c r="J1200" i="1" a="1"/>
  <c r="J1200" i="1" s="1"/>
  <c r="J1197" i="1" a="1"/>
  <c r="J1197" i="1" s="1"/>
  <c r="K1198" i="1" a="1"/>
  <c r="K1198" i="1" s="1"/>
  <c r="L1202" i="1" a="1"/>
  <c r="L1202" i="1" s="1"/>
  <c r="J1202" i="1" a="1"/>
  <c r="J1202" i="1" s="1"/>
  <c r="L1197" i="1" a="1"/>
  <c r="L1197" i="1" s="1"/>
  <c r="J1201" i="1" a="1"/>
  <c r="J1201" i="1" s="1"/>
  <c r="L1201" i="1" a="1"/>
  <c r="L1201" i="1" s="1"/>
  <c r="J1198" i="1" a="1"/>
  <c r="J1198" i="1" s="1"/>
  <c r="L1200" i="1" a="1"/>
  <c r="L1200" i="1" s="1"/>
  <c r="K1200" i="1" a="1"/>
  <c r="K1200" i="1" s="1"/>
  <c r="L1198" i="1" a="1"/>
  <c r="L1198" i="1" s="1"/>
  <c r="K1201" i="1" a="1"/>
  <c r="K1201" i="1" s="1"/>
  <c r="K1202" i="1" a="1"/>
  <c r="K1202" i="1" s="1"/>
  <c r="J1199" i="1" a="1"/>
  <c r="J1199" i="1" s="1"/>
  <c r="L1199" i="1" a="1"/>
  <c r="L1199" i="1" s="1"/>
  <c r="K1197" i="1" a="1"/>
  <c r="K1197" i="1" s="1"/>
  <c r="L1195" i="1" a="1"/>
  <c r="L1195" i="1" s="1"/>
  <c r="L1194" i="1" a="1"/>
  <c r="L1194" i="1" s="1"/>
  <c r="J1193" i="1" a="1"/>
  <c r="J1193" i="1" s="1"/>
  <c r="K1194" i="1" a="1"/>
  <c r="K1194" i="1" s="1"/>
  <c r="K1189" i="1" a="1"/>
  <c r="K1189" i="1" s="1"/>
  <c r="K1193" i="1" a="1"/>
  <c r="K1193" i="1" s="1"/>
  <c r="L1190" i="1" a="1"/>
  <c r="L1190" i="1" s="1"/>
  <c r="J1190" i="1" a="1"/>
  <c r="J1190" i="1" s="1"/>
  <c r="L1192" i="1" a="1"/>
  <c r="L1192" i="1" s="1"/>
  <c r="L1188" i="1" a="1"/>
  <c r="L1188" i="1" s="1"/>
  <c r="K1190" i="1" a="1"/>
  <c r="K1190" i="1" s="1"/>
  <c r="K1195" i="1" a="1"/>
  <c r="K1195" i="1" s="1"/>
  <c r="J1188" i="1" a="1"/>
  <c r="J1188" i="1" s="1"/>
  <c r="J1194" i="1" a="1"/>
  <c r="J1194" i="1" s="1"/>
  <c r="K1191" i="1" a="1"/>
  <c r="K1191" i="1" s="1"/>
  <c r="L1193" i="1" a="1"/>
  <c r="L1193" i="1" s="1"/>
  <c r="J1191" i="1" a="1"/>
  <c r="J1191" i="1" s="1"/>
  <c r="K1188" i="1" a="1"/>
  <c r="K1188" i="1" s="1"/>
  <c r="L1189" i="1" a="1"/>
  <c r="L1189" i="1" s="1"/>
  <c r="K1192" i="1" a="1"/>
  <c r="K1192" i="1" s="1"/>
  <c r="L1196" i="1" a="1"/>
  <c r="L1196" i="1" s="1"/>
  <c r="J1195" i="1" a="1"/>
  <c r="J1195" i="1" s="1"/>
  <c r="J1192" i="1" a="1"/>
  <c r="J1192" i="1" s="1"/>
  <c r="J1189" i="1" a="1"/>
  <c r="J1189" i="1" s="1"/>
  <c r="L1191" i="1" a="1"/>
  <c r="L1191" i="1" s="1"/>
  <c r="K1196" i="1" a="1"/>
  <c r="K1196" i="1" s="1"/>
  <c r="J1196" i="1" a="1"/>
  <c r="J1196" i="1" s="1"/>
  <c r="K1177" i="1" a="1"/>
  <c r="K1177" i="1" s="1"/>
  <c r="L1178" i="1" a="1"/>
  <c r="L1178" i="1" s="1"/>
  <c r="L1177" i="1" a="1"/>
  <c r="L1177" i="1" s="1"/>
  <c r="L1187" i="1" a="1"/>
  <c r="L1187" i="1" s="1"/>
  <c r="K1187" i="1" a="1"/>
  <c r="K1187" i="1" s="1"/>
  <c r="K1178" i="1" a="1"/>
  <c r="K1178" i="1" s="1"/>
  <c r="J1187" i="1" a="1"/>
  <c r="J1187" i="1" s="1"/>
  <c r="K1185" i="1" a="1"/>
  <c r="K1185" i="1" s="1"/>
  <c r="K1186" i="1" a="1"/>
  <c r="K1186" i="1" s="1"/>
  <c r="J1185" i="1" a="1"/>
  <c r="J1185" i="1" s="1"/>
  <c r="J1177" i="1" a="1"/>
  <c r="J1177" i="1" s="1"/>
  <c r="L1186" i="1" a="1"/>
  <c r="L1186" i="1" s="1"/>
  <c r="L1185" i="1" a="1"/>
  <c r="L1185" i="1" s="1"/>
  <c r="L1179" i="1" a="1"/>
  <c r="L1179" i="1" s="1"/>
  <c r="J1178" i="1" a="1"/>
  <c r="J1178" i="1" s="1"/>
  <c r="J1179" i="1" a="1"/>
  <c r="J1179" i="1" s="1"/>
  <c r="J1186" i="1" a="1"/>
  <c r="J1186" i="1" s="1"/>
  <c r="K1179" i="1" a="1"/>
  <c r="K1179" i="1" s="1"/>
  <c r="K1172" i="1" a="1"/>
  <c r="K1172" i="1" s="1"/>
  <c r="L1176" i="1" a="1"/>
  <c r="L1176" i="1" s="1"/>
  <c r="K1176" i="1" a="1"/>
  <c r="K1176" i="1" s="1"/>
  <c r="L1175" i="1" a="1"/>
  <c r="L1175" i="1" s="1"/>
  <c r="K1173" i="1" a="1"/>
  <c r="K1173" i="1" s="1"/>
  <c r="J1176" i="1" a="1"/>
  <c r="J1176" i="1" s="1"/>
  <c r="K1175" i="1" a="1"/>
  <c r="K1175" i="1" s="1"/>
  <c r="L1169" i="1" a="1"/>
  <c r="L1169" i="1" s="1"/>
  <c r="K1169" i="1" a="1"/>
  <c r="K1169" i="1" s="1"/>
  <c r="L1173" i="1" a="1"/>
  <c r="L1173" i="1" s="1"/>
  <c r="J1175" i="1" a="1"/>
  <c r="J1175" i="1" s="1"/>
  <c r="K1174" i="1" a="1"/>
  <c r="K1174" i="1" s="1"/>
  <c r="J1174" i="1" a="1"/>
  <c r="J1174" i="1" s="1"/>
  <c r="J1172" i="1" a="1"/>
  <c r="J1172" i="1" s="1"/>
  <c r="L1170" i="1" a="1"/>
  <c r="L1170" i="1" s="1"/>
  <c r="K1168" i="1" a="1"/>
  <c r="K1168" i="1" s="1"/>
  <c r="J1170" i="1" a="1"/>
  <c r="J1170" i="1" s="1"/>
  <c r="J1169" i="1" a="1"/>
  <c r="J1169" i="1" s="1"/>
  <c r="J1168" i="1" a="1"/>
  <c r="J1168" i="1" s="1"/>
  <c r="L1174" i="1" a="1"/>
  <c r="L1174" i="1" s="1"/>
  <c r="L1172" i="1" a="1"/>
  <c r="L1172" i="1" s="1"/>
  <c r="J1171" i="1" a="1"/>
  <c r="J1171" i="1" s="1"/>
  <c r="L1168" i="1" a="1"/>
  <c r="L1168" i="1" s="1"/>
  <c r="K1171" i="1" a="1"/>
  <c r="K1171" i="1" s="1"/>
  <c r="J1173" i="1" a="1"/>
  <c r="J1173" i="1" s="1"/>
  <c r="L1171" i="1" a="1"/>
  <c r="L1171" i="1" s="1"/>
  <c r="K1170" i="1" a="1"/>
  <c r="K1170" i="1" s="1"/>
  <c r="L1167" i="1" a="1"/>
  <c r="L1167" i="1" s="1"/>
  <c r="K1167" i="1" a="1"/>
  <c r="K1167" i="1" s="1"/>
  <c r="L1166" i="1" a="1"/>
  <c r="L1166" i="1" s="1"/>
  <c r="K1166" i="1" a="1"/>
  <c r="K1166" i="1" s="1"/>
  <c r="L1156" i="1" a="1"/>
  <c r="L1156" i="1" s="1"/>
  <c r="L1163" i="1" a="1"/>
  <c r="L1163" i="1" s="1"/>
  <c r="L1164" i="1" a="1"/>
  <c r="L1164" i="1" s="1"/>
  <c r="L1162" i="1" a="1"/>
  <c r="L1162" i="1" s="1"/>
  <c r="J1163" i="1" a="1"/>
  <c r="J1163" i="1" s="1"/>
  <c r="J1165" i="1" a="1"/>
  <c r="J1165" i="1" s="1"/>
  <c r="K1156" i="1" a="1"/>
  <c r="K1156" i="1" s="1"/>
  <c r="J1167" i="1" a="1"/>
  <c r="J1167" i="1" s="1"/>
  <c r="J1166" i="1" a="1"/>
  <c r="J1166" i="1" s="1"/>
  <c r="L1165" i="1" a="1"/>
  <c r="L1165" i="1" s="1"/>
  <c r="J1156" i="1" a="1"/>
  <c r="J1156" i="1" s="1"/>
  <c r="J1162" i="1" a="1"/>
  <c r="J1162" i="1" s="1"/>
  <c r="K1165" i="1" a="1"/>
  <c r="K1165" i="1" s="1"/>
  <c r="K1164" i="1" a="1"/>
  <c r="K1164" i="1" s="1"/>
  <c r="J1164" i="1" a="1"/>
  <c r="J1164" i="1" s="1"/>
  <c r="K1163" i="1" a="1"/>
  <c r="K1163" i="1" s="1"/>
  <c r="K1162" i="1" a="1"/>
  <c r="K1162" i="1" s="1"/>
  <c r="K1146" i="1" a="1"/>
  <c r="K1146" i="1" s="1"/>
  <c r="J1154" i="1" a="1"/>
  <c r="J1154" i="1" s="1"/>
  <c r="K1148" i="1" a="1"/>
  <c r="K1148" i="1" s="1"/>
  <c r="J1147" i="1" a="1"/>
  <c r="J1147" i="1" s="1"/>
  <c r="L1154" i="1" a="1"/>
  <c r="L1154" i="1" s="1"/>
  <c r="K1147" i="1" a="1"/>
  <c r="K1147" i="1" s="1"/>
  <c r="K1154" i="1" a="1"/>
  <c r="K1154" i="1" s="1"/>
  <c r="K1153" i="1" a="1"/>
  <c r="K1153" i="1" s="1"/>
  <c r="K1150" i="1" a="1"/>
  <c r="K1150" i="1" s="1"/>
  <c r="J1150" i="1" a="1"/>
  <c r="J1150" i="1" s="1"/>
  <c r="L1153" i="1" a="1"/>
  <c r="L1153" i="1" s="1"/>
  <c r="L1147" i="1" a="1"/>
  <c r="L1147" i="1" s="1"/>
  <c r="J1148" i="1" a="1"/>
  <c r="J1148" i="1" s="1"/>
  <c r="K1149" i="1" a="1"/>
  <c r="K1149" i="1" s="1"/>
  <c r="L1155" i="1" a="1"/>
  <c r="L1155" i="1" s="1"/>
  <c r="K1155" i="1" a="1"/>
  <c r="K1155" i="1" s="1"/>
  <c r="L1148" i="1" a="1"/>
  <c r="L1148" i="1" s="1"/>
  <c r="J1155" i="1" a="1"/>
  <c r="J1155" i="1" s="1"/>
  <c r="J1153" i="1" a="1"/>
  <c r="J1153" i="1" s="1"/>
  <c r="J1146" i="1" a="1"/>
  <c r="J1146" i="1" s="1"/>
  <c r="L1150" i="1" a="1"/>
  <c r="L1150" i="1" s="1"/>
  <c r="J1149" i="1" a="1"/>
  <c r="J1149" i="1" s="1"/>
  <c r="L1149" i="1" a="1"/>
  <c r="L1149" i="1" s="1"/>
  <c r="L1146" i="1" a="1"/>
  <c r="L1146" i="1" s="1"/>
  <c r="J1999" i="1" a="1"/>
  <c r="J1999" i="1" s="1"/>
  <c r="J2000" i="1" a="1"/>
  <c r="J2000" i="1" s="1"/>
  <c r="L2001" i="1" a="1"/>
  <c r="L2001" i="1" s="1"/>
  <c r="J1997" i="1" a="1"/>
  <c r="J1997" i="1" s="1"/>
  <c r="L1997" i="1" a="1"/>
  <c r="L1997" i="1" s="1"/>
  <c r="K1997" i="1" a="1"/>
  <c r="K1997" i="1" s="1"/>
  <c r="K2001" i="1" a="1"/>
  <c r="K2001" i="1" s="1"/>
  <c r="J2001" i="1" a="1"/>
  <c r="J2001" i="1" s="1"/>
  <c r="L1998" i="1" a="1"/>
  <c r="L1998" i="1" s="1"/>
  <c r="K1999" i="1" a="1"/>
  <c r="K1999" i="1" s="1"/>
  <c r="K1998" i="1" a="1"/>
  <c r="K1998" i="1" s="1"/>
  <c r="J1996" i="1" a="1"/>
  <c r="J1996" i="1" s="1"/>
  <c r="K2000" i="1" a="1"/>
  <c r="K2000" i="1" s="1"/>
  <c r="L2000" i="1" a="1"/>
  <c r="L2000" i="1" s="1"/>
  <c r="J1998" i="1" a="1"/>
  <c r="J1998" i="1" s="1"/>
  <c r="L1996" i="1" a="1"/>
  <c r="L1996" i="1" s="1"/>
  <c r="L2003" i="1" a="1"/>
  <c r="L2003" i="1" s="1"/>
  <c r="L2004" i="1" s="1" a="1"/>
  <c r="L2004" i="1" s="1"/>
  <c r="K2003" i="1" a="1"/>
  <c r="K2003" i="1" s="1"/>
  <c r="K2004" i="1" s="1" a="1"/>
  <c r="K2004" i="1" s="1"/>
  <c r="K1996" i="1" a="1"/>
  <c r="K1996" i="1" s="1"/>
  <c r="L1999" i="1" a="1"/>
  <c r="L1999" i="1" s="1"/>
  <c r="J2003" i="1" a="1"/>
  <c r="J2003" i="1" s="1"/>
  <c r="J2004" i="1" s="1" a="1"/>
  <c r="J2004" i="1" s="1"/>
  <c r="K1993" i="1" a="1"/>
  <c r="K1993" i="1" s="1"/>
  <c r="K1992" i="1" a="1"/>
  <c r="K1992" i="1" s="1"/>
  <c r="J1987" i="1" a="1"/>
  <c r="J1987" i="1" s="1"/>
  <c r="L1995" i="1" a="1"/>
  <c r="L1995" i="1" s="1"/>
  <c r="J1995" i="1" a="1"/>
  <c r="J1995" i="1" s="1"/>
  <c r="J1994" i="1" a="1"/>
  <c r="J1994" i="1" s="1"/>
  <c r="L1993" i="1" a="1"/>
  <c r="L1993" i="1" s="1"/>
  <c r="J1989" i="1" a="1"/>
  <c r="J1989" i="1" s="1"/>
  <c r="K1990" i="1" a="1"/>
  <c r="K1990" i="1" s="1"/>
  <c r="L1988" i="1" a="1"/>
  <c r="L1988" i="1" s="1"/>
  <c r="L1991" i="1" a="1"/>
  <c r="L1991" i="1" s="1"/>
  <c r="K1994" i="1" a="1"/>
  <c r="K1994" i="1" s="1"/>
  <c r="K1989" i="1" a="1"/>
  <c r="K1989" i="1" s="1"/>
  <c r="L1994" i="1" a="1"/>
  <c r="L1994" i="1" s="1"/>
  <c r="K1995" i="1" a="1"/>
  <c r="K1995" i="1" s="1"/>
  <c r="L1992" i="1" a="1"/>
  <c r="L1992" i="1" s="1"/>
  <c r="K1987" i="1" a="1"/>
  <c r="K1987" i="1" s="1"/>
  <c r="L1990" i="1" a="1"/>
  <c r="L1990" i="1" s="1"/>
  <c r="J1993" i="1" a="1"/>
  <c r="J1993" i="1" s="1"/>
  <c r="J1988" i="1" a="1"/>
  <c r="J1988" i="1" s="1"/>
  <c r="L1987" i="1" a="1"/>
  <c r="L1987" i="1" s="1"/>
  <c r="J1990" i="1" a="1"/>
  <c r="J1990" i="1" s="1"/>
  <c r="J1992" i="1" a="1"/>
  <c r="J1992" i="1" s="1"/>
  <c r="J1991" i="1" a="1"/>
  <c r="J1991" i="1" s="1"/>
  <c r="K1991" i="1" a="1"/>
  <c r="K1991" i="1" s="1"/>
  <c r="K1988" i="1" a="1"/>
  <c r="K1988" i="1" s="1"/>
  <c r="L1989" i="1" a="1"/>
  <c r="L1989" i="1" s="1"/>
  <c r="J1982" i="1" a="1"/>
  <c r="J1982" i="1" s="1"/>
  <c r="J1985" i="1" a="1"/>
  <c r="J1985" i="1" s="1"/>
  <c r="L1977" i="1" a="1"/>
  <c r="L1977" i="1" s="1"/>
  <c r="J1981" i="1" a="1"/>
  <c r="J1981" i="1" s="1"/>
  <c r="J1980" i="1" a="1"/>
  <c r="J1980" i="1" s="1"/>
  <c r="L1985" i="1" a="1"/>
  <c r="L1985" i="1" s="1"/>
  <c r="K1985" i="1" a="1"/>
  <c r="K1985" i="1" s="1"/>
  <c r="L1980" i="1" a="1"/>
  <c r="L1980" i="1" s="1"/>
  <c r="K1983" i="1" a="1"/>
  <c r="K1983" i="1" s="1"/>
  <c r="K1980" i="1" a="1"/>
  <c r="K1980" i="1" s="1"/>
  <c r="J1983" i="1" a="1"/>
  <c r="J1983" i="1" s="1"/>
  <c r="K1981" i="1" a="1"/>
  <c r="K1981" i="1" s="1"/>
  <c r="L1984" i="1" a="1"/>
  <c r="L1984" i="1" s="1"/>
  <c r="K1984" i="1" a="1"/>
  <c r="K1984" i="1" s="1"/>
  <c r="L1982" i="1" a="1"/>
  <c r="L1982" i="1" s="1"/>
  <c r="K1982" i="1" a="1"/>
  <c r="K1982" i="1" s="1"/>
  <c r="L1981" i="1" a="1"/>
  <c r="L1981" i="1" s="1"/>
  <c r="L1986" i="1" a="1"/>
  <c r="L1986" i="1" s="1"/>
  <c r="K1986" i="1" a="1"/>
  <c r="K1986" i="1" s="1"/>
  <c r="J1986" i="1" a="1"/>
  <c r="J1986" i="1" s="1"/>
  <c r="L1983" i="1" a="1"/>
  <c r="L1983" i="1" s="1"/>
  <c r="K1979" i="1" a="1"/>
  <c r="K1979" i="1" s="1"/>
  <c r="J1979" i="1" a="1"/>
  <c r="J1979" i="1" s="1"/>
  <c r="J1984" i="1" a="1"/>
  <c r="J1984" i="1" s="1"/>
  <c r="L1979" i="1" a="1"/>
  <c r="L1979" i="1" s="1"/>
  <c r="K1973" i="1" a="1"/>
  <c r="K1973" i="1" s="1"/>
  <c r="L1969" i="1" a="1"/>
  <c r="L1969" i="1" s="1"/>
  <c r="J1976" i="1" a="1"/>
  <c r="J1976" i="1" s="1"/>
  <c r="K1977" i="1" a="1"/>
  <c r="K1977" i="1" s="1"/>
  <c r="J1975" i="1" a="1"/>
  <c r="J1975" i="1" s="1"/>
  <c r="J1973" i="1" a="1"/>
  <c r="J1973" i="1" s="1"/>
  <c r="J1972" i="1" a="1"/>
  <c r="J1972" i="1" s="1"/>
  <c r="K1970" i="1" a="1"/>
  <c r="K1970" i="1" s="1"/>
  <c r="J1977" i="1" a="1"/>
  <c r="J1977" i="1" s="1"/>
  <c r="L1976" i="1" a="1"/>
  <c r="L1976" i="1" s="1"/>
  <c r="J1974" i="1" a="1"/>
  <c r="J1974" i="1" s="1"/>
  <c r="K1976" i="1" a="1"/>
  <c r="K1976" i="1" s="1"/>
  <c r="K1972" i="1" a="1"/>
  <c r="K1972" i="1" s="1"/>
  <c r="L1971" i="1" a="1"/>
  <c r="L1971" i="1" s="1"/>
  <c r="L1975" i="1" a="1"/>
  <c r="L1975" i="1" s="1"/>
  <c r="K1975" i="1" a="1"/>
  <c r="K1975" i="1" s="1"/>
  <c r="L1974" i="1" a="1"/>
  <c r="L1974" i="1" s="1"/>
  <c r="L1973" i="1" a="1"/>
  <c r="L1973" i="1" s="1"/>
  <c r="K1969" i="1" a="1"/>
  <c r="K1969" i="1" s="1"/>
  <c r="J1970" i="1" a="1"/>
  <c r="J1970" i="1" s="1"/>
  <c r="K1974" i="1" a="1"/>
  <c r="K1974" i="1" s="1"/>
  <c r="L1968" i="1" a="1"/>
  <c r="L1968" i="1" s="1"/>
  <c r="K1968" i="1" a="1"/>
  <c r="K1968" i="1" s="1"/>
  <c r="K1971" i="1" a="1"/>
  <c r="K1971" i="1" s="1"/>
  <c r="L1972" i="1" a="1"/>
  <c r="L1972" i="1" s="1"/>
  <c r="J1971" i="1" a="1"/>
  <c r="J1971" i="1" s="1"/>
  <c r="J1969" i="1" a="1"/>
  <c r="J1969" i="1" s="1"/>
  <c r="L1970" i="1" a="1"/>
  <c r="L1970" i="1" s="1"/>
  <c r="L1960" i="1" a="1"/>
  <c r="L1960" i="1" s="1"/>
  <c r="L1959" i="1" a="1"/>
  <c r="L1959" i="1" s="1"/>
  <c r="K1959" i="1" a="1"/>
  <c r="K1959" i="1" s="1"/>
  <c r="L1967" i="1" a="1"/>
  <c r="L1967" i="1" s="1"/>
  <c r="L1962" i="1" a="1"/>
  <c r="L1962" i="1" s="1"/>
  <c r="K1961" i="1" a="1"/>
  <c r="K1961" i="1" s="1"/>
  <c r="K1960" i="1" a="1"/>
  <c r="K1960" i="1" s="1"/>
  <c r="J1964" i="1" a="1"/>
  <c r="J1964" i="1" s="1"/>
  <c r="K1962" i="1" a="1"/>
  <c r="K1962" i="1" s="1"/>
  <c r="L1963" i="1" a="1"/>
  <c r="L1963" i="1" s="1"/>
  <c r="J1962" i="1" a="1"/>
  <c r="J1962" i="1" s="1"/>
  <c r="L1964" i="1" a="1"/>
  <c r="L1964" i="1" s="1"/>
  <c r="J1960" i="1" a="1"/>
  <c r="J1960" i="1" s="1"/>
  <c r="K1964" i="1" a="1"/>
  <c r="K1964" i="1" s="1"/>
  <c r="J1968" i="1" a="1"/>
  <c r="J1968" i="1" s="1"/>
  <c r="K1967" i="1" a="1"/>
  <c r="K1967" i="1" s="1"/>
  <c r="J1963" i="1" a="1"/>
  <c r="J1963" i="1" s="1"/>
  <c r="L1961" i="1" a="1"/>
  <c r="L1961" i="1" s="1"/>
  <c r="J1961" i="1" a="1"/>
  <c r="J1961" i="1" s="1"/>
  <c r="L1966" i="1" a="1"/>
  <c r="L1966" i="1" s="1"/>
  <c r="J1967" i="1" a="1"/>
  <c r="J1967" i="1" s="1"/>
  <c r="J1959" i="1" a="1"/>
  <c r="J1959" i="1" s="1"/>
  <c r="L1965" i="1" a="1"/>
  <c r="L1965" i="1" s="1"/>
  <c r="K1965" i="1" a="1"/>
  <c r="K1965" i="1" s="1"/>
  <c r="J1966" i="1" a="1"/>
  <c r="J1966" i="1" s="1"/>
  <c r="K1966" i="1" a="1"/>
  <c r="K1966" i="1" s="1"/>
  <c r="J1965" i="1" a="1"/>
  <c r="J1965" i="1" s="1"/>
  <c r="K1963" i="1" a="1"/>
  <c r="K1963" i="1" s="1"/>
  <c r="K2232" i="1" a="1"/>
  <c r="K2232" i="1" s="1"/>
  <c r="L2232" i="1" a="1"/>
  <c r="L2232" i="1" s="1"/>
  <c r="J2232" i="1" a="1"/>
  <c r="J2232" i="1" s="1"/>
  <c r="K2229" i="1" a="1"/>
  <c r="K2229" i="1" s="1"/>
  <c r="K2230" i="1" s="1" a="1"/>
  <c r="K2230" i="1" s="1"/>
  <c r="L2224" i="1" a="1"/>
  <c r="L2224" i="1" s="1"/>
  <c r="L2225" i="1" s="1" a="1"/>
  <c r="L2225" i="1" s="1"/>
  <c r="L2227" i="1" a="1"/>
  <c r="L2227" i="1" s="1"/>
  <c r="L2228" i="1" s="1" a="1"/>
  <c r="L2228" i="1" s="1"/>
  <c r="J2222" i="1" a="1"/>
  <c r="J2222" i="1" s="1"/>
  <c r="K2227" i="1" a="1"/>
  <c r="K2227" i="1" s="1"/>
  <c r="K2228" i="1" s="1" a="1"/>
  <c r="K2228" i="1" s="1"/>
  <c r="L2222" i="1" a="1"/>
  <c r="L2222" i="1" s="1"/>
  <c r="J2226" i="1" a="1"/>
  <c r="J2226" i="1" s="1"/>
  <c r="L2226" i="1" a="1"/>
  <c r="L2226" i="1" s="1"/>
  <c r="L2231" i="1" a="1"/>
  <c r="L2231" i="1" s="1"/>
  <c r="K2231" i="1" a="1"/>
  <c r="K2231" i="1" s="1"/>
  <c r="J2231" i="1" a="1"/>
  <c r="J2231" i="1" s="1"/>
  <c r="K2222" i="1" a="1"/>
  <c r="K2222" i="1" s="1"/>
  <c r="K2224" i="1" a="1"/>
  <c r="K2224" i="1" s="1"/>
  <c r="K2225" i="1" s="1" a="1"/>
  <c r="K2225" i="1" s="1"/>
  <c r="J2227" i="1" a="1"/>
  <c r="J2227" i="1" s="1"/>
  <c r="J2228" i="1" s="1" a="1"/>
  <c r="J2228" i="1" s="1"/>
  <c r="J2224" i="1" a="1"/>
  <c r="J2224" i="1" s="1"/>
  <c r="J2225" i="1" s="1" a="1"/>
  <c r="J2225" i="1" s="1"/>
  <c r="J2229" i="1" a="1"/>
  <c r="J2229" i="1" s="1"/>
  <c r="J2230" i="1" s="1" a="1"/>
  <c r="J2230" i="1" s="1"/>
  <c r="K2226" i="1" a="1"/>
  <c r="K2226" i="1" s="1"/>
  <c r="L2229" i="1" a="1"/>
  <c r="L2229" i="1" s="1"/>
  <c r="L2230" i="1" s="1" a="1"/>
  <c r="L2230" i="1" s="1"/>
  <c r="L2214" i="1" a="1"/>
  <c r="L2214" i="1" s="1"/>
  <c r="L2215" i="1" s="1" a="1"/>
  <c r="L2215" i="1" s="1"/>
  <c r="J2216" i="1" a="1"/>
  <c r="J2216" i="1" s="1"/>
  <c r="J2217" i="1" a="1"/>
  <c r="J2217" i="1" s="1"/>
  <c r="J2218" i="1" s="1" a="1"/>
  <c r="J2218" i="1" s="1"/>
  <c r="K2214" i="1" a="1"/>
  <c r="K2214" i="1" s="1"/>
  <c r="L2212" i="1" a="1"/>
  <c r="L2212" i="1" s="1"/>
  <c r="L2216" i="1" a="1"/>
  <c r="L2216" i="1" s="1"/>
  <c r="L2217" i="1" a="1"/>
  <c r="L2217" i="1" s="1"/>
  <c r="L2218" i="1" s="1" a="1"/>
  <c r="L2218" i="1" s="1"/>
  <c r="J2221" i="1" a="1"/>
  <c r="J2221" i="1" s="1"/>
  <c r="K2216" i="1" a="1"/>
  <c r="K2216" i="1" s="1"/>
  <c r="K2219" i="1" a="1"/>
  <c r="K2219" i="1" s="1"/>
  <c r="K2220" i="1" s="1" a="1"/>
  <c r="K2220" i="1" s="1"/>
  <c r="J2214" i="1" a="1"/>
  <c r="J2214" i="1" s="1"/>
  <c r="J2215" i="1" s="1" a="1"/>
  <c r="J2215" i="1" s="1"/>
  <c r="L2219" i="1" a="1"/>
  <c r="L2219" i="1" s="1"/>
  <c r="L2220" i="1" s="1" a="1"/>
  <c r="L2220" i="1" s="1"/>
  <c r="L2221" i="1" a="1"/>
  <c r="L2221" i="1" s="1"/>
  <c r="K2212" i="1" a="1"/>
  <c r="K2212" i="1" s="1"/>
  <c r="K2215" i="1" a="1"/>
  <c r="K2215" i="1" s="1"/>
  <c r="K2217" i="1" a="1"/>
  <c r="K2217" i="1" s="1"/>
  <c r="K2218" i="1" s="1" a="1"/>
  <c r="K2218" i="1" s="1"/>
  <c r="J2219" i="1" a="1"/>
  <c r="J2219" i="1" s="1"/>
  <c r="J2220" i="1" s="1" a="1"/>
  <c r="J2220" i="1" s="1"/>
  <c r="K2221" i="1" a="1"/>
  <c r="K2221" i="1" s="1"/>
  <c r="J2206" i="1" a="1"/>
  <c r="J2206" i="1" s="1"/>
  <c r="L2208" i="1" a="1"/>
  <c r="L2208" i="1" s="1"/>
  <c r="J2211" i="1" a="1"/>
  <c r="J2211" i="1" s="1"/>
  <c r="J2208" i="1" a="1"/>
  <c r="J2208" i="1" s="1"/>
  <c r="L2210" i="1" a="1"/>
  <c r="L2210" i="1" s="1"/>
  <c r="J2209" i="1" a="1"/>
  <c r="J2209" i="1" s="1"/>
  <c r="L2205" i="1" a="1"/>
  <c r="L2205" i="1" s="1"/>
  <c r="K2209" i="1" a="1"/>
  <c r="K2209" i="1" s="1"/>
  <c r="K2206" i="1" a="1"/>
  <c r="K2206" i="1" s="1"/>
  <c r="J2205" i="1" a="1"/>
  <c r="J2205" i="1" s="1"/>
  <c r="J2204" i="1" a="1"/>
  <c r="J2204" i="1" s="1"/>
  <c r="K2210" i="1" a="1"/>
  <c r="K2210" i="1" s="1"/>
  <c r="L2207" i="1" a="1"/>
  <c r="L2207" i="1" s="1"/>
  <c r="L2204" i="1" a="1"/>
  <c r="L2204" i="1" s="1"/>
  <c r="K2205" i="1" a="1"/>
  <c r="K2205" i="1" s="1"/>
  <c r="L2209" i="1" a="1"/>
  <c r="L2209" i="1" s="1"/>
  <c r="K2211" i="1" a="1"/>
  <c r="K2211" i="1" s="1"/>
  <c r="K2208" i="1" a="1"/>
  <c r="K2208" i="1" s="1"/>
  <c r="J2207" i="1" a="1"/>
  <c r="J2207" i="1" s="1"/>
  <c r="J2210" i="1" a="1"/>
  <c r="J2210" i="1" s="1"/>
  <c r="K2207" i="1" a="1"/>
  <c r="K2207" i="1" s="1"/>
  <c r="K2204" i="1" a="1"/>
  <c r="K2204" i="1" s="1"/>
  <c r="J2212" i="1" a="1"/>
  <c r="J2212" i="1" s="1"/>
  <c r="L2211" i="1" a="1"/>
  <c r="L2211" i="1" s="1"/>
  <c r="L2206" i="1" a="1"/>
  <c r="L2206" i="1" s="1"/>
  <c r="K2202" i="1" a="1"/>
  <c r="K2202" i="1" s="1"/>
  <c r="L2200" i="1" a="1"/>
  <c r="L2200" i="1" s="1"/>
  <c r="J2201" i="1" a="1"/>
  <c r="J2201" i="1" s="1"/>
  <c r="J2197" i="1" a="1"/>
  <c r="J2197" i="1" s="1"/>
  <c r="L2197" i="1" a="1"/>
  <c r="L2197" i="1" s="1"/>
  <c r="K2198" i="1" a="1"/>
  <c r="K2198" i="1" s="1"/>
  <c r="J2196" i="1" a="1"/>
  <c r="J2196" i="1" s="1"/>
  <c r="J2202" i="1" a="1"/>
  <c r="J2202" i="1" s="1"/>
  <c r="L2201" i="1" a="1"/>
  <c r="L2201" i="1" s="1"/>
  <c r="L2198" i="1" a="1"/>
  <c r="L2198" i="1" s="1"/>
  <c r="J2198" i="1" a="1"/>
  <c r="J2198" i="1" s="1"/>
  <c r="J2195" i="1" a="1"/>
  <c r="J2195" i="1" s="1"/>
  <c r="L2199" i="1" a="1"/>
  <c r="L2199" i="1" s="1"/>
  <c r="J2200" i="1" a="1"/>
  <c r="J2200" i="1" s="1"/>
  <c r="K2199" i="1" a="1"/>
  <c r="K2199" i="1" s="1"/>
  <c r="K2200" i="1" a="1"/>
  <c r="K2200" i="1" s="1"/>
  <c r="K2197" i="1" a="1"/>
  <c r="K2197" i="1" s="1"/>
  <c r="L2196" i="1" a="1"/>
  <c r="L2196" i="1" s="1"/>
  <c r="K2196" i="1" a="1"/>
  <c r="K2196" i="1" s="1"/>
  <c r="K2201" i="1" a="1"/>
  <c r="K2201" i="1" s="1"/>
  <c r="L2195" i="1" a="1"/>
  <c r="L2195" i="1" s="1"/>
  <c r="J2199" i="1" a="1"/>
  <c r="J2199" i="1" s="1"/>
  <c r="L2202" i="1" a="1"/>
  <c r="L2202" i="1" s="1"/>
  <c r="K2195" i="1" a="1"/>
  <c r="K2195" i="1" s="1"/>
  <c r="L2203" i="1" a="1"/>
  <c r="L2203" i="1" s="1"/>
  <c r="K2203" i="1" a="1"/>
  <c r="K2203" i="1" s="1"/>
  <c r="J2203" i="1" a="1"/>
  <c r="J2203" i="1" s="1"/>
  <c r="L2188" i="1" a="1"/>
  <c r="L2188" i="1" s="1"/>
  <c r="K2186" i="1" a="1"/>
  <c r="K2186" i="1" s="1"/>
  <c r="K2188" i="1" a="1"/>
  <c r="K2188" i="1" s="1"/>
  <c r="J2190" i="1" a="1"/>
  <c r="J2190" i="1" s="1"/>
  <c r="L2194" i="1" a="1"/>
  <c r="L2194" i="1" s="1"/>
  <c r="L2186" i="1" a="1"/>
  <c r="L2186" i="1" s="1"/>
  <c r="J2192" i="1" a="1"/>
  <c r="J2192" i="1" s="1"/>
  <c r="K2191" i="1" a="1"/>
  <c r="K2191" i="1" s="1"/>
  <c r="J2191" i="1" a="1"/>
  <c r="J2191" i="1" s="1"/>
  <c r="K2194" i="1" a="1"/>
  <c r="K2194" i="1" s="1"/>
  <c r="J2194" i="1" a="1"/>
  <c r="J2194" i="1" s="1"/>
  <c r="K2193" i="1" a="1"/>
  <c r="K2193" i="1" s="1"/>
  <c r="J2193" i="1" a="1"/>
  <c r="J2193" i="1" s="1"/>
  <c r="L2190" i="1" a="1"/>
  <c r="L2190" i="1" s="1"/>
  <c r="L2185" i="1" a="1"/>
  <c r="L2185" i="1" s="1"/>
  <c r="J2186" i="1" a="1"/>
  <c r="J2186" i="1" s="1"/>
  <c r="K2192" i="1" a="1"/>
  <c r="K2192" i="1" s="1"/>
  <c r="L2193" i="1" a="1"/>
  <c r="L2193" i="1" s="1"/>
  <c r="J2187" i="1" a="1"/>
  <c r="J2187" i="1" s="1"/>
  <c r="K2185" i="1" a="1"/>
  <c r="K2185" i="1" s="1"/>
  <c r="L2187" i="1" a="1"/>
  <c r="L2187" i="1" s="1"/>
  <c r="K2187" i="1" a="1"/>
  <c r="K2187" i="1" s="1"/>
  <c r="J2188" i="1" a="1"/>
  <c r="J2188" i="1" s="1"/>
  <c r="K2190" i="1" a="1"/>
  <c r="K2190" i="1" s="1"/>
  <c r="L2192" i="1" a="1"/>
  <c r="L2192" i="1" s="1"/>
  <c r="J2185" i="1" a="1"/>
  <c r="J2185" i="1" s="1"/>
  <c r="L2191" i="1" a="1"/>
  <c r="L2191" i="1" s="1"/>
  <c r="J2180" i="1" a="1"/>
  <c r="J2180" i="1" s="1"/>
  <c r="L2181" i="1" a="1"/>
  <c r="L2181" i="1" s="1"/>
  <c r="K2182" i="1" a="1"/>
  <c r="K2182" i="1" s="1"/>
  <c r="J2182" i="1" a="1"/>
  <c r="J2182" i="1" s="1"/>
  <c r="K2179" i="1" a="1"/>
  <c r="K2179" i="1" s="1"/>
  <c r="K2178" i="1" a="1"/>
  <c r="K2178" i="1" s="1"/>
  <c r="J2176" i="1" a="1"/>
  <c r="J2176" i="1" s="1"/>
  <c r="L2184" i="1" a="1"/>
  <c r="L2184" i="1" s="1"/>
  <c r="K2183" i="1" a="1"/>
  <c r="K2183" i="1" s="1"/>
  <c r="J2184" i="1" a="1"/>
  <c r="J2184" i="1" s="1"/>
  <c r="J2183" i="1" a="1"/>
  <c r="J2183" i="1" s="1"/>
  <c r="L2182" i="1" a="1"/>
  <c r="L2182" i="1" s="1"/>
  <c r="J2178" i="1" a="1"/>
  <c r="J2178" i="1" s="1"/>
  <c r="L2178" i="1" a="1"/>
  <c r="L2178" i="1" s="1"/>
  <c r="K2176" i="1" a="1"/>
  <c r="K2176" i="1" s="1"/>
  <c r="J2177" i="1" a="1"/>
  <c r="J2177" i="1" s="1"/>
  <c r="J2179" i="1" a="1"/>
  <c r="J2179" i="1" s="1"/>
  <c r="K2181" i="1" a="1"/>
  <c r="K2181" i="1" s="1"/>
  <c r="K2180" i="1" a="1"/>
  <c r="K2180" i="1" s="1"/>
  <c r="K2177" i="1" a="1"/>
  <c r="K2177" i="1" s="1"/>
  <c r="L2179" i="1" a="1"/>
  <c r="L2179" i="1" s="1"/>
  <c r="J2181" i="1" a="1"/>
  <c r="J2181" i="1" s="1"/>
  <c r="L2177" i="1" a="1"/>
  <c r="L2177" i="1" s="1"/>
  <c r="L2180" i="1" a="1"/>
  <c r="L2180" i="1" s="1"/>
  <c r="L2176" i="1" a="1"/>
  <c r="L2176" i="1" s="1"/>
  <c r="K2184" i="1" a="1"/>
  <c r="K2184" i="1" s="1"/>
  <c r="L2183" i="1" a="1"/>
  <c r="L2183" i="1" s="1"/>
  <c r="L2169" i="1" a="1"/>
  <c r="L2169" i="1" s="1"/>
  <c r="J2168" i="1" a="1"/>
  <c r="J2168" i="1" s="1"/>
  <c r="L2167" i="1" a="1"/>
  <c r="L2167" i="1" s="1"/>
  <c r="J2174" i="1" a="1"/>
  <c r="J2174" i="1" s="1"/>
  <c r="J2172" i="1" a="1"/>
  <c r="J2172" i="1" s="1"/>
  <c r="L2173" i="1" a="1"/>
  <c r="L2173" i="1" s="1"/>
  <c r="L2170" i="1" a="1"/>
  <c r="L2170" i="1" s="1"/>
  <c r="J2171" i="1" a="1"/>
  <c r="J2171" i="1" s="1"/>
  <c r="K2171" i="1" a="1"/>
  <c r="K2171" i="1" s="1"/>
  <c r="L2172" i="1" a="1"/>
  <c r="L2172" i="1" s="1"/>
  <c r="J2175" i="1" a="1"/>
  <c r="J2175" i="1" s="1"/>
  <c r="K2172" i="1" a="1"/>
  <c r="K2172" i="1" s="1"/>
  <c r="L2168" i="1" a="1"/>
  <c r="L2168" i="1" s="1"/>
  <c r="L2175" i="1" a="1"/>
  <c r="L2175" i="1" s="1"/>
  <c r="L2174" i="1" a="1"/>
  <c r="L2174" i="1" s="1"/>
  <c r="K2175" i="1" a="1"/>
  <c r="K2175" i="1" s="1"/>
  <c r="K2174" i="1" a="1"/>
  <c r="K2174" i="1" s="1"/>
  <c r="J2167" i="1" a="1"/>
  <c r="J2167" i="1" s="1"/>
  <c r="K2173" i="1" a="1"/>
  <c r="K2173" i="1" s="1"/>
  <c r="J2173" i="1" a="1"/>
  <c r="J2173" i="1" s="1"/>
  <c r="K2170" i="1" a="1"/>
  <c r="K2170" i="1" s="1"/>
  <c r="K2168" i="1" a="1"/>
  <c r="K2168" i="1" s="1"/>
  <c r="K2167" i="1" a="1"/>
  <c r="K2167" i="1" s="1"/>
  <c r="L2171" i="1" a="1"/>
  <c r="L2171" i="1" s="1"/>
  <c r="J2169" i="1" a="1"/>
  <c r="J2169" i="1" s="1"/>
  <c r="K2169" i="1" a="1"/>
  <c r="K2169" i="1" s="1"/>
  <c r="J2170" i="1" a="1"/>
  <c r="J2170" i="1" s="1"/>
  <c r="J2158" i="1" a="1"/>
  <c r="J2158" i="1" s="1"/>
  <c r="L2159" i="1" a="1"/>
  <c r="L2159" i="1" s="1"/>
  <c r="J2163" i="1" a="1"/>
  <c r="J2163" i="1" s="1"/>
  <c r="K2161" i="1" a="1"/>
  <c r="K2161" i="1" s="1"/>
  <c r="L2166" i="1" a="1"/>
  <c r="L2166" i="1" s="1"/>
  <c r="K2166" i="1" a="1"/>
  <c r="K2166" i="1" s="1"/>
  <c r="J2166" i="1" a="1"/>
  <c r="J2166" i="1" s="1"/>
  <c r="L2161" i="1" a="1"/>
  <c r="L2161" i="1" s="1"/>
  <c r="L2157" i="1" a="1"/>
  <c r="L2157" i="1" s="1"/>
  <c r="J2157" i="1" a="1"/>
  <c r="J2157" i="1" s="1"/>
  <c r="K2162" i="1" a="1"/>
  <c r="K2162" i="1" s="1"/>
  <c r="K2158" i="1" a="1"/>
  <c r="K2158" i="1" s="1"/>
  <c r="J2162" i="1" a="1"/>
  <c r="J2162" i="1" s="1"/>
  <c r="K2164" i="1" a="1"/>
  <c r="K2164" i="1" s="1"/>
  <c r="J2159" i="1" a="1"/>
  <c r="J2159" i="1" s="1"/>
  <c r="K2159" i="1" a="1"/>
  <c r="K2159" i="1" s="1"/>
  <c r="J2161" i="1" a="1"/>
  <c r="J2161" i="1" s="1"/>
  <c r="L2162" i="1" a="1"/>
  <c r="L2162" i="1" s="1"/>
  <c r="L2164" i="1" a="1"/>
  <c r="L2164" i="1" s="1"/>
  <c r="L2158" i="1" a="1"/>
  <c r="L2158" i="1" s="1"/>
  <c r="K2157" i="1" a="1"/>
  <c r="K2157" i="1" s="1"/>
  <c r="L2163" i="1" a="1"/>
  <c r="L2163" i="1" s="1"/>
  <c r="J2164" i="1" a="1"/>
  <c r="J2164" i="1" s="1"/>
  <c r="K2163" i="1" a="1"/>
  <c r="K2163" i="1" s="1"/>
  <c r="L2160" i="1" a="1"/>
  <c r="L2160" i="1" s="1"/>
  <c r="K2160" i="1" a="1"/>
  <c r="K2160" i="1" s="1"/>
  <c r="J2160" i="1" a="1"/>
  <c r="J2160" i="1" s="1"/>
  <c r="K2156" i="1" a="1"/>
  <c r="K2156" i="1" s="1"/>
  <c r="K2155" i="1" a="1"/>
  <c r="K2155" i="1" s="1"/>
  <c r="J2156" i="1" a="1"/>
  <c r="J2156" i="1" s="1"/>
  <c r="K2153" i="1" a="1"/>
  <c r="K2153" i="1" s="1"/>
  <c r="J2155" i="1" a="1"/>
  <c r="J2155" i="1" s="1"/>
  <c r="K2149" i="1" a="1"/>
  <c r="K2149" i="1" s="1"/>
  <c r="K2154" i="1" a="1"/>
  <c r="K2154" i="1" s="1"/>
  <c r="L2155" i="1" a="1"/>
  <c r="L2155" i="1" s="1"/>
  <c r="L2153" i="1" a="1"/>
  <c r="L2153" i="1" s="1"/>
  <c r="L2152" i="1" a="1"/>
  <c r="L2152" i="1" s="1"/>
  <c r="L2154" i="1" a="1"/>
  <c r="L2154" i="1" s="1"/>
  <c r="J2154" i="1" a="1"/>
  <c r="J2154" i="1" s="1"/>
  <c r="L2148" i="1" a="1"/>
  <c r="L2148" i="1" s="1"/>
  <c r="K2150" i="1" a="1"/>
  <c r="K2150" i="1" s="1"/>
  <c r="J2153" i="1" a="1"/>
  <c r="J2153" i="1" s="1"/>
  <c r="K2148" i="1" a="1"/>
  <c r="K2148" i="1" s="1"/>
  <c r="J2148" i="1" a="1"/>
  <c r="J2148" i="1" s="1"/>
  <c r="J2152" i="1" a="1"/>
  <c r="J2152" i="1" s="1"/>
  <c r="K2151" i="1" a="1"/>
  <c r="K2151" i="1" s="1"/>
  <c r="J2151" i="1" a="1"/>
  <c r="J2151" i="1" s="1"/>
  <c r="J2150" i="1" a="1"/>
  <c r="J2150" i="1" s="1"/>
  <c r="L2151" i="1" a="1"/>
  <c r="L2151" i="1" s="1"/>
  <c r="K2152" i="1" a="1"/>
  <c r="K2152" i="1" s="1"/>
  <c r="J2149" i="1" a="1"/>
  <c r="J2149" i="1" s="1"/>
  <c r="L2150" i="1" a="1"/>
  <c r="L2150" i="1" s="1"/>
  <c r="L2149" i="1" a="1"/>
  <c r="L2149" i="1" s="1"/>
  <c r="L2156" i="1" a="1"/>
  <c r="L2156" i="1" s="1"/>
  <c r="J2142" i="1" a="1"/>
  <c r="J2142" i="1" s="1"/>
  <c r="L2144" i="1" a="1"/>
  <c r="L2144" i="1" s="1"/>
  <c r="J2143" i="1" a="1"/>
  <c r="J2143" i="1" s="1"/>
  <c r="K2141" i="1" a="1"/>
  <c r="K2141" i="1" s="1"/>
  <c r="L2146" i="1" a="1"/>
  <c r="L2146" i="1" s="1"/>
  <c r="K2144" i="1" a="1"/>
  <c r="K2144" i="1" s="1"/>
  <c r="J2140" i="1" a="1"/>
  <c r="J2140" i="1" s="1"/>
  <c r="K2139" i="1" a="1"/>
  <c r="K2139" i="1" s="1"/>
  <c r="K2140" i="1" a="1"/>
  <c r="K2140" i="1" s="1"/>
  <c r="K2142" i="1" a="1"/>
  <c r="K2142" i="1" s="1"/>
  <c r="K2146" i="1" a="1"/>
  <c r="K2146" i="1" s="1"/>
  <c r="J2146" i="1" a="1"/>
  <c r="J2146" i="1" s="1"/>
  <c r="J2145" i="1" a="1"/>
  <c r="J2145" i="1" s="1"/>
  <c r="L2139" i="1" a="1"/>
  <c r="L2139" i="1" s="1"/>
  <c r="J2139" i="1" a="1"/>
  <c r="J2139" i="1" s="1"/>
  <c r="K2145" i="1" a="1"/>
  <c r="K2145" i="1" s="1"/>
  <c r="K2143" i="1" a="1"/>
  <c r="K2143" i="1" s="1"/>
  <c r="J2141" i="1" a="1"/>
  <c r="J2141" i="1" s="1"/>
  <c r="L2140" i="1" a="1"/>
  <c r="L2140" i="1" s="1"/>
  <c r="L2145" i="1" a="1"/>
  <c r="L2145" i="1" s="1"/>
  <c r="L2141" i="1" a="1"/>
  <c r="L2141" i="1" s="1"/>
  <c r="L2147" i="1" a="1"/>
  <c r="L2147" i="1" s="1"/>
  <c r="L2142" i="1" a="1"/>
  <c r="L2142" i="1" s="1"/>
  <c r="J2144" i="1" a="1"/>
  <c r="J2144" i="1" s="1"/>
  <c r="L2143" i="1" a="1"/>
  <c r="L2143" i="1" s="1"/>
  <c r="J2147" i="1" a="1"/>
  <c r="J2147" i="1" s="1"/>
  <c r="K2147" i="1" a="1"/>
  <c r="K2147" i="1" s="1"/>
  <c r="L2133" i="1" a="1"/>
  <c r="L2133" i="1" s="1"/>
  <c r="J2138" i="1" a="1"/>
  <c r="J2138" i="1" s="1"/>
  <c r="L2138" i="1" a="1"/>
  <c r="L2138" i="1" s="1"/>
  <c r="L2130" i="1" a="1"/>
  <c r="L2130" i="1" s="1"/>
  <c r="L2132" i="1" a="1"/>
  <c r="L2132" i="1" s="1"/>
  <c r="K2131" i="1" a="1"/>
  <c r="K2131" i="1" s="1"/>
  <c r="L2137" i="1" a="1"/>
  <c r="L2137" i="1" s="1"/>
  <c r="J2133" i="1" a="1"/>
  <c r="J2133" i="1" s="1"/>
  <c r="J2131" i="1" a="1"/>
  <c r="J2131" i="1" s="1"/>
  <c r="L2131" i="1" a="1"/>
  <c r="L2131" i="1" s="1"/>
  <c r="K2138" i="1" a="1"/>
  <c r="K2138" i="1" s="1"/>
  <c r="K2137" i="1" a="1"/>
  <c r="K2137" i="1" s="1"/>
  <c r="J2137" i="1" a="1"/>
  <c r="J2137" i="1" s="1"/>
  <c r="L2134" i="1" a="1"/>
  <c r="L2134" i="1" s="1"/>
  <c r="J2130" i="1" a="1"/>
  <c r="J2130" i="1" s="1"/>
  <c r="J2136" i="1" a="1"/>
  <c r="J2136" i="1" s="1"/>
  <c r="L2135" i="1" a="1"/>
  <c r="L2135" i="1" s="1"/>
  <c r="K2133" i="1" a="1"/>
  <c r="K2133" i="1" s="1"/>
  <c r="L2136" i="1" a="1"/>
  <c r="L2136" i="1" s="1"/>
  <c r="K2134" i="1" a="1"/>
  <c r="K2134" i="1" s="1"/>
  <c r="K2132" i="1" a="1"/>
  <c r="K2132" i="1" s="1"/>
  <c r="K2136" i="1" a="1"/>
  <c r="K2136" i="1" s="1"/>
  <c r="J2134" i="1" a="1"/>
  <c r="J2134" i="1" s="1"/>
  <c r="K2135" i="1" a="1"/>
  <c r="K2135" i="1" s="1"/>
  <c r="K2130" i="1" a="1"/>
  <c r="K2130" i="1" s="1"/>
  <c r="J2135" i="1" a="1"/>
  <c r="J2135" i="1" s="1"/>
  <c r="J2132" i="1" a="1"/>
  <c r="J2132" i="1" s="1"/>
  <c r="K2122" i="1" a="1"/>
  <c r="K2122" i="1" s="1"/>
  <c r="L2129" i="1" a="1"/>
  <c r="L2129" i="1" s="1"/>
  <c r="K2129" i="1" a="1"/>
  <c r="K2129" i="1" s="1"/>
  <c r="L2126" i="1" a="1"/>
  <c r="L2126" i="1" s="1"/>
  <c r="L2124" i="1" a="1"/>
  <c r="L2124" i="1" s="1"/>
  <c r="K2123" i="1" a="1"/>
  <c r="K2123" i="1" s="1"/>
  <c r="J2123" i="1" a="1"/>
  <c r="J2123" i="1" s="1"/>
  <c r="J2121" i="1" a="1"/>
  <c r="J2121" i="1" s="1"/>
  <c r="J2127" i="1" a="1"/>
  <c r="J2127" i="1" s="1"/>
  <c r="K2121" i="1" a="1"/>
  <c r="K2121" i="1" s="1"/>
  <c r="L2122" i="1" a="1"/>
  <c r="L2122" i="1" s="1"/>
  <c r="K2126" i="1" a="1"/>
  <c r="K2126" i="1" s="1"/>
  <c r="J2129" i="1" a="1"/>
  <c r="J2129" i="1" s="1"/>
  <c r="J2128" i="1" a="1"/>
  <c r="J2128" i="1" s="1"/>
  <c r="K2124" i="1" a="1"/>
  <c r="K2124" i="1" s="1"/>
  <c r="J2124" i="1" a="1"/>
  <c r="J2124" i="1" s="1"/>
  <c r="K2127" i="1" a="1"/>
  <c r="K2127" i="1" s="1"/>
  <c r="J2126" i="1" a="1"/>
  <c r="J2126" i="1" s="1"/>
  <c r="K2128" i="1" a="1"/>
  <c r="K2128" i="1" s="1"/>
  <c r="L2125" i="1" a="1"/>
  <c r="L2125" i="1" s="1"/>
  <c r="L2128" i="1" a="1"/>
  <c r="L2128" i="1" s="1"/>
  <c r="L2123" i="1" a="1"/>
  <c r="L2123" i="1" s="1"/>
  <c r="L2127" i="1" a="1"/>
  <c r="L2127" i="1" s="1"/>
  <c r="K2125" i="1" a="1"/>
  <c r="K2125" i="1" s="1"/>
  <c r="J2122" i="1" a="1"/>
  <c r="J2122" i="1" s="1"/>
  <c r="L2121" i="1" a="1"/>
  <c r="L2121" i="1" s="1"/>
  <c r="J2125" i="1" a="1"/>
  <c r="J2125" i="1" s="1"/>
  <c r="L2118" i="1" a="1"/>
  <c r="L2118" i="1" s="1"/>
  <c r="L2117" i="1" a="1"/>
  <c r="L2117" i="1" s="1"/>
  <c r="K2115" i="1" a="1"/>
  <c r="K2115" i="1" s="1"/>
  <c r="K2117" i="1" a="1"/>
  <c r="K2117" i="1" s="1"/>
  <c r="J2117" i="1" a="1"/>
  <c r="J2117" i="1" s="1"/>
  <c r="L2115" i="1" a="1"/>
  <c r="L2115" i="1" s="1"/>
  <c r="L2120" i="1" a="1"/>
  <c r="L2120" i="1" s="1"/>
  <c r="K2120" i="1" a="1"/>
  <c r="K2120" i="1" s="1"/>
  <c r="J2120" i="1" a="1"/>
  <c r="J2120" i="1" s="1"/>
  <c r="K2118" i="1" a="1"/>
  <c r="K2118" i="1" s="1"/>
  <c r="J2115" i="1" a="1"/>
  <c r="J2115" i="1" s="1"/>
  <c r="K2116" i="1" a="1"/>
  <c r="K2116" i="1" s="1"/>
  <c r="J2116" i="1" a="1"/>
  <c r="J2116" i="1" s="1"/>
  <c r="J2119" i="1" a="1"/>
  <c r="J2119" i="1" s="1"/>
  <c r="L2116" i="1" a="1"/>
  <c r="L2116" i="1" s="1"/>
  <c r="L2119" i="1" a="1"/>
  <c r="L2119" i="1" s="1"/>
  <c r="K2119" i="1" a="1"/>
  <c r="K2119" i="1" s="1"/>
  <c r="J2118" i="1" a="1"/>
  <c r="J2118" i="1" s="1"/>
  <c r="J2018" i="1" a="1"/>
  <c r="J2018" i="1" s="1"/>
  <c r="J2019" i="1" s="1" a="1"/>
  <c r="J2019" i="1" s="1"/>
  <c r="L2016" i="1" a="1"/>
  <c r="L2016" i="1" s="1"/>
  <c r="L2017" i="1" s="1" a="1"/>
  <c r="L2017" i="1" s="1"/>
  <c r="K2020" i="1" a="1"/>
  <c r="K2020" i="1" s="1"/>
  <c r="J2020" i="1" a="1"/>
  <c r="J2020" i="1" s="1"/>
  <c r="L2018" i="1" a="1"/>
  <c r="L2018" i="1" s="1"/>
  <c r="L2019" i="1" s="1" a="1"/>
  <c r="L2019" i="1" s="1"/>
  <c r="J2016" i="1" a="1"/>
  <c r="J2016" i="1" s="1"/>
  <c r="J2017" i="1" s="1" a="1"/>
  <c r="J2017" i="1" s="1"/>
  <c r="L2015" i="1" a="1"/>
  <c r="L2015" i="1" s="1"/>
  <c r="K2018" i="1" a="1"/>
  <c r="K2018" i="1" s="1"/>
  <c r="K2019" i="1" s="1" a="1"/>
  <c r="K2019" i="1" s="1"/>
  <c r="J2021" i="1" a="1"/>
  <c r="J2021" i="1" s="1"/>
  <c r="L2020" i="1" a="1"/>
  <c r="L2020" i="1" s="1"/>
  <c r="K2016" i="1" a="1"/>
  <c r="K2016" i="1" s="1"/>
  <c r="K2017" i="1" s="1" a="1"/>
  <c r="K2017" i="1" s="1"/>
  <c r="K2015" i="1" a="1"/>
  <c r="K2015" i="1" s="1"/>
  <c r="J2015" i="1" a="1"/>
  <c r="J2015" i="1" s="1"/>
  <c r="L2021" i="1" a="1"/>
  <c r="L2021" i="1" s="1"/>
  <c r="K2021" i="1" a="1"/>
  <c r="K2021" i="1" s="1"/>
  <c r="K2006" i="1" a="1"/>
  <c r="K2006" i="1" s="1"/>
  <c r="K2007" i="1" s="1" a="1"/>
  <c r="K2007" i="1" s="1"/>
  <c r="L2013" i="1" a="1"/>
  <c r="L2013" i="1" s="1"/>
  <c r="L2014" i="1" s="1" a="1"/>
  <c r="L2014" i="1" s="1"/>
  <c r="L2010" i="1" a="1"/>
  <c r="L2010" i="1" s="1"/>
  <c r="L2005" i="1" a="1"/>
  <c r="L2005" i="1" s="1"/>
  <c r="K2008" i="1" a="1"/>
  <c r="K2008" i="1" s="1"/>
  <c r="K2009" i="1" s="1" a="1"/>
  <c r="K2009" i="1" s="1"/>
  <c r="L2008" i="1" a="1"/>
  <c r="L2008" i="1" s="1"/>
  <c r="L2009" i="1" s="1" a="1"/>
  <c r="L2009" i="1" s="1"/>
  <c r="J2006" i="1" a="1"/>
  <c r="J2006" i="1" s="1"/>
  <c r="J2007" i="1" s="1" a="1"/>
  <c r="J2007" i="1" s="1"/>
  <c r="K2013" i="1" a="1"/>
  <c r="K2013" i="1" s="1"/>
  <c r="K2014" i="1" s="1" a="1"/>
  <c r="K2014" i="1" s="1"/>
  <c r="J2008" i="1" a="1"/>
  <c r="J2008" i="1" s="1"/>
  <c r="J2009" i="1" s="1" a="1"/>
  <c r="J2009" i="1" s="1"/>
  <c r="J2013" i="1" a="1"/>
  <c r="J2013" i="1" s="1"/>
  <c r="J2014" i="1" s="1" a="1"/>
  <c r="J2014" i="1" s="1"/>
  <c r="K2011" i="1" a="1"/>
  <c r="K2011" i="1" s="1"/>
  <c r="K2005" i="1" a="1"/>
  <c r="K2005" i="1" s="1"/>
  <c r="J2010" i="1" a="1"/>
  <c r="J2010" i="1" s="1"/>
  <c r="J2005" i="1" a="1"/>
  <c r="J2005" i="1" s="1"/>
  <c r="L2011" i="1" a="1"/>
  <c r="L2011" i="1" s="1"/>
  <c r="L2006" i="1" a="1"/>
  <c r="L2006" i="1" s="1"/>
  <c r="L2007" i="1" s="1" a="1"/>
  <c r="L2007" i="1" s="1"/>
  <c r="J2011" i="1" a="1"/>
  <c r="J2011" i="1" s="1"/>
  <c r="K2010" i="1" a="1"/>
  <c r="K2010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885" i="1" a="1"/>
  <c r="J885" i="1" s="1"/>
  <c r="K896" i="1" a="1"/>
  <c r="K896" i="1" s="1"/>
  <c r="J914" i="1" a="1"/>
  <c r="J914" i="1" s="1"/>
  <c r="L896" i="1" a="1"/>
  <c r="L896" i="1" s="1"/>
  <c r="K884" i="1" a="1"/>
  <c r="K884" i="1" s="1"/>
  <c r="L885" i="1" a="1"/>
  <c r="L885" i="1" s="1"/>
  <c r="K885" i="1" a="1"/>
  <c r="K885" i="1" s="1"/>
  <c r="J916" i="1" a="1"/>
  <c r="J916" i="1" s="1"/>
  <c r="L914" i="1" a="1"/>
  <c r="L914" i="1" s="1"/>
  <c r="K914" i="1" a="1"/>
  <c r="K914" i="1" s="1"/>
  <c r="J896" i="1" a="1"/>
  <c r="J896" i="1" s="1"/>
  <c r="J925" i="1" s="1"/>
  <c r="J924" i="1" s="1"/>
  <c r="L884" i="1" a="1"/>
  <c r="L884" i="1" s="1"/>
  <c r="J884" i="1" a="1"/>
  <c r="J884" i="1" s="1"/>
  <c r="L806" i="1" a="1"/>
  <c r="L806" i="1" s="1"/>
  <c r="J806" i="1" a="1"/>
  <c r="J806" i="1" s="1"/>
  <c r="K804" i="1" a="1"/>
  <c r="K804" i="1" s="1"/>
  <c r="K806" i="1" a="1"/>
  <c r="K806" i="1" s="1"/>
  <c r="J802" i="1" a="1"/>
  <c r="J802" i="1" s="1"/>
  <c r="J804" i="1" a="1"/>
  <c r="J804" i="1" s="1"/>
  <c r="L802" i="1" a="1"/>
  <c r="L802" i="1" s="1"/>
  <c r="L804" i="1" a="1"/>
  <c r="L804" i="1" s="1"/>
  <c r="K802" i="1" a="1"/>
  <c r="K802" i="1" s="1"/>
  <c r="L766" i="1" a="1"/>
  <c r="L766" i="1" s="1"/>
  <c r="L816" i="1" s="1" a="1"/>
  <c r="L816" i="1" s="1"/>
  <c r="L780" i="1" a="1"/>
  <c r="L780" i="1" s="1"/>
  <c r="K766" i="1" a="1"/>
  <c r="K766" i="1" s="1"/>
  <c r="K816" i="1" s="1" a="1"/>
  <c r="K816" i="1" s="1"/>
  <c r="K780" i="1" a="1"/>
  <c r="K780" i="1" s="1"/>
  <c r="J780" i="1" a="1"/>
  <c r="J780" i="1" s="1"/>
  <c r="J779" i="1" s="1"/>
  <c r="J766" i="1" a="1"/>
  <c r="J766" i="1" s="1"/>
  <c r="J816" i="1" s="1" a="1"/>
  <c r="J816" i="1" s="1"/>
  <c r="K1896" i="1" a="1"/>
  <c r="K1896" i="1" s="1"/>
  <c r="L1896" i="1" a="1"/>
  <c r="L1896" i="1" s="1"/>
  <c r="J1900" i="1" a="1"/>
  <c r="J1900" i="1" s="1"/>
  <c r="J1898" i="1" a="1"/>
  <c r="J1898" i="1" s="1"/>
  <c r="K1893" i="1" a="1"/>
  <c r="K1893" i="1" s="1"/>
  <c r="J1896" i="1" a="1"/>
  <c r="J1896" i="1" s="1"/>
  <c r="L1893" i="1" a="1"/>
  <c r="L1893" i="1" s="1"/>
  <c r="J1893" i="1" a="1"/>
  <c r="J1893" i="1" s="1"/>
  <c r="J1902" i="1" a="1"/>
  <c r="J1902" i="1" s="1"/>
  <c r="J1894" i="1" a="1"/>
  <c r="J1894" i="1" s="1"/>
  <c r="L1900" i="1" a="1"/>
  <c r="L1900" i="1" s="1"/>
  <c r="L1902" i="1" a="1"/>
  <c r="L1902" i="1" s="1"/>
  <c r="K1902" i="1" a="1"/>
  <c r="K1902" i="1" s="1"/>
  <c r="L1894" i="1" a="1"/>
  <c r="L1894" i="1" s="1"/>
  <c r="K1898" i="1" a="1"/>
  <c r="K1898" i="1" s="1"/>
  <c r="K1894" i="1" a="1"/>
  <c r="K1894" i="1" s="1"/>
  <c r="K1900" i="1" a="1"/>
  <c r="K1900" i="1" s="1"/>
  <c r="L1898" i="1" a="1"/>
  <c r="L1898" i="1" s="1"/>
  <c r="K1890" i="1" a="1"/>
  <c r="K1890" i="1" s="1"/>
  <c r="L1882" i="1" a="1"/>
  <c r="L1882" i="1" s="1"/>
  <c r="J1887" i="1" a="1"/>
  <c r="J1887" i="1" s="1"/>
  <c r="K1882" i="1" a="1"/>
  <c r="K1882" i="1" s="1"/>
  <c r="J1884" i="1" a="1"/>
  <c r="J1884" i="1" s="1"/>
  <c r="K1888" i="1" a="1"/>
  <c r="K1888" i="1" s="1"/>
  <c r="J1888" i="1" a="1"/>
  <c r="J1888" i="1" s="1"/>
  <c r="K1884" i="1" a="1"/>
  <c r="K1884" i="1" s="1"/>
  <c r="L1884" i="1" a="1"/>
  <c r="L1884" i="1" s="1"/>
  <c r="L1888" i="1" a="1"/>
  <c r="L1888" i="1" s="1"/>
  <c r="K1880" i="1" a="1"/>
  <c r="K1880" i="1" s="1"/>
  <c r="K1887" i="1" a="1"/>
  <c r="K1887" i="1" s="1"/>
  <c r="L1880" i="1" a="1"/>
  <c r="L1880" i="1" s="1"/>
  <c r="K1892" i="1" a="1"/>
  <c r="K1892" i="1" s="1"/>
  <c r="L1890" i="1" a="1"/>
  <c r="L1890" i="1" s="1"/>
  <c r="L1887" i="1" a="1"/>
  <c r="L1887" i="1" s="1"/>
  <c r="J1882" i="1" a="1"/>
  <c r="J1882" i="1" s="1"/>
  <c r="L1892" i="1" a="1"/>
  <c r="L1892" i="1" s="1"/>
  <c r="J1890" i="1" a="1"/>
  <c r="J1890" i="1" s="1"/>
  <c r="J1892" i="1" a="1"/>
  <c r="J1892" i="1" s="1"/>
  <c r="L1876" i="1" a="1"/>
  <c r="L1876" i="1" s="1"/>
  <c r="K1876" i="1" a="1"/>
  <c r="K1876" i="1" s="1"/>
  <c r="K1874" i="1" a="1"/>
  <c r="K1874" i="1" s="1"/>
  <c r="L1871" i="1" a="1"/>
  <c r="L1871" i="1" s="1"/>
  <c r="K1871" i="1" a="1"/>
  <c r="K1871" i="1" s="1"/>
  <c r="J1878" i="1" a="1"/>
  <c r="J1878" i="1" s="1"/>
  <c r="K1872" i="1" a="1"/>
  <c r="K1872" i="1" s="1"/>
  <c r="J1876" i="1" a="1"/>
  <c r="J1876" i="1" s="1"/>
  <c r="K1867" i="1" a="1"/>
  <c r="K1867" i="1" s="1"/>
  <c r="L1867" i="1" a="1"/>
  <c r="L1867" i="1" s="1"/>
  <c r="L1874" i="1" a="1"/>
  <c r="L1874" i="1" s="1"/>
  <c r="J1871" i="1" a="1"/>
  <c r="J1871" i="1" s="1"/>
  <c r="J1867" i="1" a="1"/>
  <c r="J1867" i="1" s="1"/>
  <c r="J1872" i="1" a="1"/>
  <c r="J1872" i="1" s="1"/>
  <c r="J1870" i="1" a="1"/>
  <c r="J1870" i="1" s="1"/>
  <c r="K1870" i="1" a="1"/>
  <c r="K1870" i="1" s="1"/>
  <c r="K1878" i="1" a="1"/>
  <c r="K1878" i="1" s="1"/>
  <c r="L1868" i="1" a="1"/>
  <c r="L1868" i="1" s="1"/>
  <c r="J1874" i="1" a="1"/>
  <c r="J1874" i="1" s="1"/>
  <c r="L1878" i="1" a="1"/>
  <c r="L1878" i="1" s="1"/>
  <c r="J1868" i="1" a="1"/>
  <c r="J1868" i="1" s="1"/>
  <c r="K1868" i="1" a="1"/>
  <c r="K1868" i="1" s="1"/>
  <c r="L1870" i="1" a="1"/>
  <c r="L1870" i="1" s="1"/>
  <c r="J1880" i="1" a="1"/>
  <c r="J1880" i="1" s="1"/>
  <c r="L1872" i="1" a="1"/>
  <c r="L1872" i="1" s="1"/>
  <c r="J1864" i="1" a="1"/>
  <c r="J1864" i="1" s="1"/>
  <c r="L1859" i="1" a="1"/>
  <c r="L1859" i="1" s="1"/>
  <c r="J1859" i="1" a="1"/>
  <c r="J1859" i="1" s="1"/>
  <c r="L1864" i="1" a="1"/>
  <c r="L1864" i="1" s="1"/>
  <c r="J1861" i="1" a="1"/>
  <c r="J1861" i="1" s="1"/>
  <c r="K1859" i="1" a="1"/>
  <c r="K1859" i="1" s="1"/>
  <c r="J1857" i="1" a="1"/>
  <c r="J1857" i="1" s="1"/>
  <c r="J1865" i="1" a="1"/>
  <c r="J1865" i="1" s="1"/>
  <c r="K1865" i="1" a="1"/>
  <c r="K1865" i="1" s="1"/>
  <c r="L1865" i="1" a="1"/>
  <c r="L1865" i="1" s="1"/>
  <c r="K1861" i="1" a="1"/>
  <c r="K1861" i="1" s="1"/>
  <c r="K1857" i="1" a="1"/>
  <c r="K1857" i="1" s="1"/>
  <c r="L1857" i="1" a="1"/>
  <c r="L1857" i="1" s="1"/>
  <c r="K1864" i="1" a="1"/>
  <c r="K1864" i="1" s="1"/>
  <c r="L1861" i="1" a="1"/>
  <c r="L1861" i="1" s="1"/>
  <c r="K1850" i="1" a="1"/>
  <c r="K1850" i="1" s="1"/>
  <c r="J1851" i="1" a="1"/>
  <c r="J1851" i="1" s="1"/>
  <c r="L1855" i="1" a="1"/>
  <c r="L1855" i="1" s="1"/>
  <c r="K1848" i="1" a="1"/>
  <c r="K1848" i="1" s="1"/>
  <c r="J1848" i="1" a="1"/>
  <c r="J1848" i="1" s="1"/>
  <c r="K1855" i="1" a="1"/>
  <c r="K1855" i="1" s="1"/>
  <c r="K1851" i="1" a="1"/>
  <c r="K1851" i="1" s="1"/>
  <c r="J1855" i="1" a="1"/>
  <c r="J1855" i="1" s="1"/>
  <c r="K1853" i="1" a="1"/>
  <c r="K1853" i="1" s="1"/>
  <c r="L1853" i="1" a="1"/>
  <c r="L1853" i="1" s="1"/>
  <c r="L1848" i="1" a="1"/>
  <c r="L1848" i="1" s="1"/>
  <c r="J1853" i="1" a="1"/>
  <c r="J1853" i="1" s="1"/>
  <c r="J1850" i="1" a="1"/>
  <c r="J1850" i="1" s="1"/>
  <c r="L1850" i="1" a="1"/>
  <c r="L1850" i="1" s="1"/>
  <c r="L1851" i="1" a="1"/>
  <c r="L1851" i="1" s="1"/>
  <c r="J1840" i="1" a="1"/>
  <c r="J1840" i="1" s="1"/>
  <c r="L1845" i="1" a="1"/>
  <c r="L1845" i="1" s="1"/>
  <c r="J1838" i="1" a="1"/>
  <c r="J1838" i="1" s="1"/>
  <c r="K1838" i="1" a="1"/>
  <c r="K1838" i="1" s="1"/>
  <c r="L1840" i="1" a="1"/>
  <c r="L1840" i="1" s="1"/>
  <c r="L1846" i="1" a="1"/>
  <c r="L1846" i="1" s="1"/>
  <c r="J1842" i="1" a="1"/>
  <c r="J1842" i="1" s="1"/>
  <c r="L1842" i="1" a="1"/>
  <c r="L1842" i="1" s="1"/>
  <c r="K1846" i="1" a="1"/>
  <c r="K1846" i="1" s="1"/>
  <c r="J1846" i="1" a="1"/>
  <c r="J1846" i="1" s="1"/>
  <c r="K1842" i="1" a="1"/>
  <c r="K1842" i="1" s="1"/>
  <c r="K1845" i="1" a="1"/>
  <c r="K1845" i="1" s="1"/>
  <c r="L1838" i="1" a="1"/>
  <c r="L1838" i="1" s="1"/>
  <c r="J1845" i="1" a="1"/>
  <c r="J1845" i="1" s="1"/>
  <c r="K1840" i="1" a="1"/>
  <c r="K1840" i="1" s="1"/>
  <c r="L1836" i="1" a="1"/>
  <c r="L1836" i="1" s="1"/>
  <c r="J1836" i="1" a="1"/>
  <c r="J1836" i="1" s="1"/>
  <c r="L1826" i="1" a="1"/>
  <c r="L1826" i="1" s="1"/>
  <c r="K1827" i="1" a="1"/>
  <c r="K1827" i="1" s="1"/>
  <c r="J1832" i="1" a="1"/>
  <c r="J1832" i="1" s="1"/>
  <c r="J1831" i="1" a="1"/>
  <c r="J1831" i="1" s="1"/>
  <c r="L1829" i="1" a="1"/>
  <c r="L1829" i="1" s="1"/>
  <c r="K1834" i="1" a="1"/>
  <c r="K1834" i="1" s="1"/>
  <c r="L1832" i="1" a="1"/>
  <c r="L1832" i="1" s="1"/>
  <c r="J1834" i="1" a="1"/>
  <c r="J1834" i="1" s="1"/>
  <c r="K1836" i="1" a="1"/>
  <c r="K1836" i="1" s="1"/>
  <c r="L1827" i="1" a="1"/>
  <c r="L1827" i="1" s="1"/>
  <c r="J1829" i="1" a="1"/>
  <c r="J1829" i="1" s="1"/>
  <c r="K1831" i="1" a="1"/>
  <c r="K1831" i="1" s="1"/>
  <c r="J1827" i="1" a="1"/>
  <c r="J1827" i="1" s="1"/>
  <c r="K1826" i="1" a="1"/>
  <c r="K1826" i="1" s="1"/>
  <c r="K1829" i="1" a="1"/>
  <c r="K1829" i="1" s="1"/>
  <c r="L1834" i="1" a="1"/>
  <c r="L1834" i="1" s="1"/>
  <c r="K1832" i="1" a="1"/>
  <c r="K1832" i="1" s="1"/>
  <c r="L1831" i="1" a="1"/>
  <c r="L1831" i="1" s="1"/>
  <c r="J1826" i="1" a="1"/>
  <c r="J1826" i="1" s="1"/>
  <c r="L1041" i="1" a="1"/>
  <c r="L1041" i="1" s="1"/>
  <c r="L1032" i="1" a="1"/>
  <c r="L1032" i="1" s="1"/>
  <c r="J1029" i="1" a="1"/>
  <c r="J1029" i="1" s="1"/>
  <c r="L1027" i="1" a="1"/>
  <c r="L1027" i="1" s="1"/>
  <c r="L1024" i="1" a="1"/>
  <c r="L1024" i="1" s="1"/>
  <c r="J1027" i="1" a="1"/>
  <c r="J1027" i="1" s="1"/>
  <c r="K1041" i="1" a="1"/>
  <c r="K1041" i="1" s="1"/>
  <c r="L1029" i="1" a="1"/>
  <c r="L1029" i="1" s="1"/>
  <c r="J1041" i="1" a="1"/>
  <c r="J1041" i="1" s="1"/>
  <c r="K1032" i="1" a="1"/>
  <c r="K1032" i="1" s="1"/>
  <c r="L1039" i="1" a="1"/>
  <c r="L1039" i="1" s="1"/>
  <c r="K1039" i="1" a="1"/>
  <c r="K1039" i="1" s="1"/>
  <c r="J1039" i="1" a="1"/>
  <c r="J1039" i="1" s="1"/>
  <c r="K1027" i="1" a="1"/>
  <c r="K1027" i="1" s="1"/>
  <c r="K1029" i="1" a="1"/>
  <c r="K1029" i="1" s="1"/>
  <c r="J1032" i="1" a="1"/>
  <c r="J1032" i="1" s="1"/>
  <c r="K1024" i="1" a="1"/>
  <c r="K1024" i="1" s="1"/>
  <c r="J1024" i="1" a="1"/>
  <c r="J1024" i="1" s="1"/>
  <c r="L998" i="1" a="1"/>
  <c r="L998" i="1" s="1"/>
  <c r="K998" i="1" a="1"/>
  <c r="K998" i="1" s="1"/>
  <c r="J998" i="1" a="1"/>
  <c r="J998" i="1" s="1"/>
  <c r="L999" i="1" a="1"/>
  <c r="L999" i="1" s="1"/>
  <c r="L1051" i="1" s="1" a="1"/>
  <c r="L1051" i="1" s="1"/>
  <c r="L1008" i="1" a="1"/>
  <c r="L1008" i="1" s="1"/>
  <c r="L1054" i="1" s="1" a="1"/>
  <c r="L1054" i="1" s="1"/>
  <c r="J1008" i="1" a="1"/>
  <c r="J1008" i="1" s="1"/>
  <c r="J1054" i="1" s="1" a="1"/>
  <c r="J1054" i="1" s="1"/>
  <c r="K999" i="1" a="1"/>
  <c r="K999" i="1" s="1"/>
  <c r="K1051" i="1" s="1" a="1"/>
  <c r="K1051" i="1" s="1"/>
  <c r="K1008" i="1" a="1"/>
  <c r="K1008" i="1" s="1"/>
  <c r="K1054" i="1" s="1" a="1"/>
  <c r="K1054" i="1" s="1"/>
  <c r="J999" i="1" a="1"/>
  <c r="J999" i="1" s="1"/>
  <c r="J1051" i="1" s="1" a="1"/>
  <c r="J1051" i="1" s="1"/>
  <c r="K979" i="1" a="1"/>
  <c r="K979" i="1" s="1"/>
  <c r="K1053" i="1" s="1" a="1"/>
  <c r="K1053" i="1" s="1"/>
  <c r="J979" i="1" a="1"/>
  <c r="J979" i="1" s="1"/>
  <c r="J1053" i="1" s="1" a="1"/>
  <c r="J1053" i="1" s="1"/>
  <c r="J978" i="1" a="1"/>
  <c r="J978" i="1" s="1"/>
  <c r="L975" i="1" a="1"/>
  <c r="L975" i="1" s="1"/>
  <c r="K976" i="1" a="1"/>
  <c r="K976" i="1" s="1"/>
  <c r="K991" i="1" a="1"/>
  <c r="K991" i="1" s="1"/>
  <c r="J991" i="1" a="1"/>
  <c r="J991" i="1" s="1"/>
  <c r="L978" i="1" a="1"/>
  <c r="L978" i="1" s="1"/>
  <c r="J985" i="1" a="1"/>
  <c r="J985" i="1" s="1"/>
  <c r="L976" i="1" a="1"/>
  <c r="L976" i="1" s="1"/>
  <c r="J975" i="1" a="1"/>
  <c r="J975" i="1" s="1"/>
  <c r="J976" i="1" a="1"/>
  <c r="J976" i="1" s="1"/>
  <c r="L985" i="1" a="1"/>
  <c r="L985" i="1" s="1"/>
  <c r="K975" i="1" a="1"/>
  <c r="K975" i="1" s="1"/>
  <c r="K978" i="1" a="1"/>
  <c r="K978" i="1" s="1"/>
  <c r="L991" i="1" a="1"/>
  <c r="L991" i="1" s="1"/>
  <c r="K985" i="1" a="1"/>
  <c r="K985" i="1" s="1"/>
  <c r="L979" i="1" a="1"/>
  <c r="L979" i="1" s="1"/>
  <c r="L1053" i="1" s="1" a="1"/>
  <c r="L1053" i="1" s="1"/>
  <c r="K928" i="1" a="1"/>
  <c r="K928" i="1" s="1"/>
  <c r="J928" i="1" a="1"/>
  <c r="J928" i="1" s="1"/>
  <c r="L916" i="1" a="1"/>
  <c r="L916" i="1" s="1"/>
  <c r="L928" i="1" a="1"/>
  <c r="L928" i="1" s="1"/>
  <c r="K916" i="1" a="1"/>
  <c r="K916" i="1" s="1"/>
  <c r="L2312" i="1" a="1"/>
  <c r="L2312" i="1" s="1"/>
  <c r="K2308" i="1" a="1"/>
  <c r="K2308" i="1" s="1"/>
  <c r="L2308" i="1" a="1"/>
  <c r="L2308" i="1" s="1"/>
  <c r="K2312" i="1" a="1"/>
  <c r="K2312" i="1" s="1"/>
  <c r="J2308" i="1" a="1"/>
  <c r="J2308" i="1" s="1"/>
  <c r="J2312" i="1" a="1"/>
  <c r="J2312" i="1" s="1"/>
  <c r="K2310" i="1" a="1"/>
  <c r="K2310" i="1" s="1"/>
  <c r="J2310" i="1" a="1"/>
  <c r="J2310" i="1" s="1"/>
  <c r="L2310" i="1" a="1"/>
  <c r="L2310" i="1" s="1"/>
  <c r="L2297" i="1" a="1"/>
  <c r="L2297" i="1" s="1"/>
  <c r="K2306" i="1" a="1"/>
  <c r="K2306" i="1" s="1"/>
  <c r="J2306" i="1" a="1"/>
  <c r="J2306" i="1" s="1"/>
  <c r="J2297" i="1" a="1"/>
  <c r="J2297" i="1" s="1"/>
  <c r="J2302" i="1" a="1"/>
  <c r="J2302" i="1" s="1"/>
  <c r="L2302" i="1" a="1"/>
  <c r="L2302" i="1" s="1"/>
  <c r="K2304" i="1" a="1"/>
  <c r="K2304" i="1" s="1"/>
  <c r="L2294" i="1" a="1"/>
  <c r="L2294" i="1" s="1"/>
  <c r="K2300" i="1" a="1"/>
  <c r="K2300" i="1" s="1"/>
  <c r="K2303" i="1" a="1"/>
  <c r="K2303" i="1" s="1"/>
  <c r="K2302" i="1" a="1"/>
  <c r="K2302" i="1" s="1"/>
  <c r="K2297" i="1" a="1"/>
  <c r="K2297" i="1" s="1"/>
  <c r="L2300" i="1" a="1"/>
  <c r="L2300" i="1" s="1"/>
  <c r="J2303" i="1" a="1"/>
  <c r="J2303" i="1" s="1"/>
  <c r="J2304" i="1" a="1"/>
  <c r="J2304" i="1" s="1"/>
  <c r="J2298" i="1" a="1"/>
  <c r="J2298" i="1" s="1"/>
  <c r="L2306" i="1" a="1"/>
  <c r="L2306" i="1" s="1"/>
  <c r="J2300" i="1" a="1"/>
  <c r="J2300" i="1" s="1"/>
  <c r="L2304" i="1" a="1"/>
  <c r="L2304" i="1" s="1"/>
  <c r="L2303" i="1" a="1"/>
  <c r="L2303" i="1" s="1"/>
  <c r="L2298" i="1" a="1"/>
  <c r="L2298" i="1" s="1"/>
  <c r="K2298" i="1" a="1"/>
  <c r="K2298" i="1" s="1"/>
  <c r="K2294" i="1" a="1"/>
  <c r="K2294" i="1" s="1"/>
  <c r="J2280" i="1" a="1"/>
  <c r="J2280" i="1" s="1"/>
  <c r="K2290" i="1" a="1"/>
  <c r="K2290" i="1" s="1"/>
  <c r="L2286" i="1" a="1"/>
  <c r="L2286" i="1" s="1"/>
  <c r="J2288" i="1" a="1"/>
  <c r="J2288" i="1" s="1"/>
  <c r="J2281" i="1" a="1"/>
  <c r="J2281" i="1" s="1"/>
  <c r="L2290" i="1" a="1"/>
  <c r="L2290" i="1" s="1"/>
  <c r="J2294" i="1" a="1"/>
  <c r="J2294" i="1" s="1"/>
  <c r="K2288" i="1" a="1"/>
  <c r="K2288" i="1" s="1"/>
  <c r="K2281" i="1" a="1"/>
  <c r="K2281" i="1" s="1"/>
  <c r="K2280" i="1" a="1"/>
  <c r="K2280" i="1" s="1"/>
  <c r="K2286" i="1" a="1"/>
  <c r="K2286" i="1" s="1"/>
  <c r="L2284" i="1" a="1"/>
  <c r="L2284" i="1" s="1"/>
  <c r="L2292" i="1" a="1"/>
  <c r="L2292" i="1" s="1"/>
  <c r="J2292" i="1" a="1"/>
  <c r="J2292" i="1" s="1"/>
  <c r="J2290" i="1" a="1"/>
  <c r="J2290" i="1" s="1"/>
  <c r="L2282" i="1" a="1"/>
  <c r="L2282" i="1" s="1"/>
  <c r="L2280" i="1" a="1"/>
  <c r="L2280" i="1" s="1"/>
  <c r="K2282" i="1" a="1"/>
  <c r="K2282" i="1" s="1"/>
  <c r="L2281" i="1" a="1"/>
  <c r="L2281" i="1" s="1"/>
  <c r="K2292" i="1" a="1"/>
  <c r="K2292" i="1" s="1"/>
  <c r="L2288" i="1" a="1"/>
  <c r="L2288" i="1" s="1"/>
  <c r="J2286" i="1" a="1"/>
  <c r="J2286" i="1" s="1"/>
  <c r="K2284" i="1" a="1"/>
  <c r="K2284" i="1" s="1"/>
  <c r="J2282" i="1" a="1"/>
  <c r="J2282" i="1" s="1"/>
  <c r="J2284" i="1" a="1"/>
  <c r="J2284" i="1" s="1"/>
  <c r="K2274" i="1" a="1"/>
  <c r="K2274" i="1" s="1"/>
  <c r="K2278" i="1" a="1"/>
  <c r="K2278" i="1" s="1"/>
  <c r="K2277" i="1" a="1"/>
  <c r="K2277" i="1" s="1"/>
  <c r="L2277" i="1" a="1"/>
  <c r="L2277" i="1" s="1"/>
  <c r="J2271" i="1" a="1"/>
  <c r="J2271" i="1" s="1"/>
  <c r="J2277" i="1" a="1"/>
  <c r="J2277" i="1" s="1"/>
  <c r="L2271" i="1" a="1"/>
  <c r="L2271" i="1" s="1"/>
  <c r="L2275" i="1" a="1"/>
  <c r="L2275" i="1" s="1"/>
  <c r="K2267" i="1" a="1"/>
  <c r="K2267" i="1" s="1"/>
  <c r="J2275" i="1" a="1"/>
  <c r="J2275" i="1" s="1"/>
  <c r="K2275" i="1" a="1"/>
  <c r="K2275" i="1" s="1"/>
  <c r="K2271" i="1" a="1"/>
  <c r="K2271" i="1" s="1"/>
  <c r="L2267" i="1" a="1"/>
  <c r="L2267" i="1" s="1"/>
  <c r="L2278" i="1" a="1"/>
  <c r="L2278" i="1" s="1"/>
  <c r="J2278" i="1" a="1"/>
  <c r="J2278" i="1" s="1"/>
  <c r="J2274" i="1" a="1"/>
  <c r="J2274" i="1" s="1"/>
  <c r="J2267" i="1" a="1"/>
  <c r="J2267" i="1" s="1"/>
  <c r="L2269" i="1" a="1"/>
  <c r="L2269" i="1" s="1"/>
  <c r="L2274" i="1" a="1"/>
  <c r="L2274" i="1" s="1"/>
  <c r="J2269" i="1" a="1"/>
  <c r="J2269" i="1" s="1"/>
  <c r="K2269" i="1" a="1"/>
  <c r="K2269" i="1" s="1"/>
  <c r="J2261" i="1" a="1"/>
  <c r="J2261" i="1" s="1"/>
  <c r="L2265" i="1" a="1"/>
  <c r="L2265" i="1" s="1"/>
  <c r="K2263" i="1" a="1"/>
  <c r="K2263" i="1" s="1"/>
  <c r="K2265" i="1" a="1"/>
  <c r="K2265" i="1" s="1"/>
  <c r="J2265" i="1" a="1"/>
  <c r="J2265" i="1" s="1"/>
  <c r="J2260" i="1" a="1"/>
  <c r="J2260" i="1" s="1"/>
  <c r="L2260" i="1" a="1"/>
  <c r="L2260" i="1" s="1"/>
  <c r="L2263" i="1" a="1"/>
  <c r="L2263" i="1" s="1"/>
  <c r="L2258" i="1" a="1"/>
  <c r="L2258" i="1" s="1"/>
  <c r="L2261" i="1" a="1"/>
  <c r="L2261" i="1" s="1"/>
  <c r="K2261" i="1" a="1"/>
  <c r="K2261" i="1" s="1"/>
  <c r="K2260" i="1" a="1"/>
  <c r="K2260" i="1" s="1"/>
  <c r="K2258" i="1" a="1"/>
  <c r="K2258" i="1" s="1"/>
  <c r="J2263" i="1" a="1"/>
  <c r="J2263" i="1" s="1"/>
  <c r="J2258" i="1" a="1"/>
  <c r="J2258" i="1" s="1"/>
  <c r="K2255" i="1" a="1"/>
  <c r="K2255" i="1" s="1"/>
  <c r="J2255" i="1" a="1"/>
  <c r="J2255" i="1" s="1"/>
  <c r="K2246" i="1" a="1"/>
  <c r="K2246" i="1" s="1"/>
  <c r="L2252" i="1" a="1"/>
  <c r="L2252" i="1" s="1"/>
  <c r="L2246" i="1" a="1"/>
  <c r="L2246" i="1" s="1"/>
  <c r="L2250" i="1" a="1"/>
  <c r="L2250" i="1" s="1"/>
  <c r="J2248" i="1" a="1"/>
  <c r="J2248" i="1" s="1"/>
  <c r="K2250" i="1" a="1"/>
  <c r="K2250" i="1" s="1"/>
  <c r="L2248" i="1" a="1"/>
  <c r="L2248" i="1" s="1"/>
  <c r="J2256" i="1" a="1"/>
  <c r="J2256" i="1" s="1"/>
  <c r="J2252" i="1" a="1"/>
  <c r="J2252" i="1" s="1"/>
  <c r="L2256" i="1" a="1"/>
  <c r="L2256" i="1" s="1"/>
  <c r="K2252" i="1" a="1"/>
  <c r="K2252" i="1" s="1"/>
  <c r="K2256" i="1" a="1"/>
  <c r="K2256" i="1" s="1"/>
  <c r="K2248" i="1" a="1"/>
  <c r="K2248" i="1" s="1"/>
  <c r="L2255" i="1" a="1"/>
  <c r="L2255" i="1" s="1"/>
  <c r="L2244" i="1" a="1"/>
  <c r="L2244" i="1" s="1"/>
  <c r="J2250" i="1" a="1"/>
  <c r="J2250" i="1" s="1"/>
  <c r="J2246" i="1" a="1"/>
  <c r="J2246" i="1" s="1"/>
  <c r="L2236" i="1" a="1"/>
  <c r="L2236" i="1" s="1"/>
  <c r="L2242" i="1" a="1"/>
  <c r="L2242" i="1" s="1"/>
  <c r="J2237" i="1" a="1"/>
  <c r="J2237" i="1" s="1"/>
  <c r="K2236" i="1" a="1"/>
  <c r="K2236" i="1" s="1"/>
  <c r="L2237" i="1" a="1"/>
  <c r="L2237" i="1" s="1"/>
  <c r="J2242" i="1" a="1"/>
  <c r="J2242" i="1" s="1"/>
  <c r="K2239" i="1" a="1"/>
  <c r="K2239" i="1" s="1"/>
  <c r="J2236" i="1" a="1"/>
  <c r="J2236" i="1" s="1"/>
  <c r="K2244" i="1" a="1"/>
  <c r="K2244" i="1" s="1"/>
  <c r="J2244" i="1" a="1"/>
  <c r="J2244" i="1" s="1"/>
  <c r="J2239" i="1" a="1"/>
  <c r="J2239" i="1" s="1"/>
  <c r="K2242" i="1" a="1"/>
  <c r="K2242" i="1" s="1"/>
  <c r="K2241" i="1" a="1"/>
  <c r="K2241" i="1" s="1"/>
  <c r="L2241" i="1" a="1"/>
  <c r="L2241" i="1" s="1"/>
  <c r="K2237" i="1" a="1"/>
  <c r="K2237" i="1" s="1"/>
  <c r="L2239" i="1" a="1"/>
  <c r="L2239" i="1" s="1"/>
  <c r="J2241" i="1" a="1"/>
  <c r="J2241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6" i="1" s="1"/>
  <c r="L787" i="1" s="1"/>
  <c r="K779" i="1"/>
  <c r="K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K380" i="1" s="1"/>
  <c r="K437" i="1" s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L96" i="1"/>
  <c r="K96" i="1"/>
  <c r="J96" i="1"/>
  <c r="L95" i="1"/>
  <c r="K95" i="1"/>
  <c r="J95" i="1"/>
  <c r="L94" i="1"/>
  <c r="K94" i="1"/>
  <c r="J94" i="1"/>
  <c r="L93" i="1"/>
  <c r="K93" i="1"/>
  <c r="K125" i="1" s="1"/>
  <c r="J93" i="1"/>
  <c r="J125" i="1" s="1"/>
  <c r="L92" i="1"/>
  <c r="K92" i="1"/>
  <c r="J92" i="1"/>
  <c r="L91" i="1"/>
  <c r="L123" i="1" s="1"/>
  <c r="K91" i="1"/>
  <c r="J91" i="1"/>
  <c r="J123" i="1" s="1"/>
  <c r="L90" i="1"/>
  <c r="L122" i="1" s="1"/>
  <c r="K90" i="1"/>
  <c r="K122" i="1" s="1"/>
  <c r="J90" i="1"/>
  <c r="J122" i="1" s="1"/>
  <c r="L89" i="1"/>
  <c r="L121" i="1" s="1"/>
  <c r="K89" i="1"/>
  <c r="K121" i="1" s="1"/>
  <c r="J89" i="1"/>
  <c r="L88" i="1"/>
  <c r="L120" i="1" s="1"/>
  <c r="K88" i="1"/>
  <c r="K120" i="1" s="1"/>
  <c r="J88" i="1"/>
  <c r="J120" i="1" s="1"/>
  <c r="L87" i="1"/>
  <c r="L119" i="1" s="1"/>
  <c r="K87" i="1"/>
  <c r="K119" i="1" s="1"/>
  <c r="J87" i="1"/>
  <c r="J119" i="1" s="1"/>
  <c r="L86" i="1"/>
  <c r="L118" i="1" s="1"/>
  <c r="K86" i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J301" i="1" s="1"/>
  <c r="J465" i="1" s="1"/>
  <c r="L72" i="1"/>
  <c r="L300" i="1" s="1"/>
  <c r="L413" i="1" s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8" i="1" a="1"/>
  <c r="K1648" i="1" s="1"/>
  <c r="L1648" i="1" a="1"/>
  <c r="L1648" i="1" s="1"/>
  <c r="J1648" i="1" a="1"/>
  <c r="J1648" i="1" s="1"/>
  <c r="L1644" i="1" a="1"/>
  <c r="L1644" i="1" s="1"/>
  <c r="K1644" i="1" a="1"/>
  <c r="K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31" i="1" a="1"/>
  <c r="L31" i="1" s="1"/>
  <c r="K31" i="1" a="1"/>
  <c r="K31" i="1" s="1"/>
  <c r="J31" i="1" a="1"/>
  <c r="J31" i="1" s="1"/>
  <c r="J618" i="1" a="1"/>
  <c r="J618" i="1" s="1"/>
  <c r="J622" i="1" a="1"/>
  <c r="J622" i="1" s="1"/>
  <c r="J620" i="1" a="1"/>
  <c r="J620" i="1" s="1"/>
  <c r="L618" i="1" a="1"/>
  <c r="L618" i="1" s="1"/>
  <c r="J619" i="1" a="1"/>
  <c r="J619" i="1" s="1"/>
  <c r="L620" i="1" a="1"/>
  <c r="L620" i="1" s="1"/>
  <c r="K620" i="1" a="1"/>
  <c r="K620" i="1" s="1"/>
  <c r="L619" i="1" a="1"/>
  <c r="L619" i="1" s="1"/>
  <c r="J610" i="1" a="1"/>
  <c r="J610" i="1" s="1"/>
  <c r="K618" i="1" a="1"/>
  <c r="K618" i="1" s="1"/>
  <c r="K617" i="1" a="1"/>
  <c r="K617" i="1" s="1"/>
  <c r="J617" i="1" a="1"/>
  <c r="J617" i="1" s="1"/>
  <c r="K609" i="1" a="1"/>
  <c r="K609" i="1" s="1"/>
  <c r="J609" i="1" a="1"/>
  <c r="J609" i="1" s="1"/>
  <c r="K619" i="1" a="1"/>
  <c r="K619" i="1" s="1"/>
  <c r="L617" i="1" a="1"/>
  <c r="L617" i="1" s="1"/>
  <c r="L609" i="1" a="1"/>
  <c r="L609" i="1" s="1"/>
  <c r="K610" i="1" a="1"/>
  <c r="K610" i="1" s="1"/>
  <c r="L610" i="1" a="1"/>
  <c r="L610" i="1" s="1"/>
  <c r="L622" i="1" a="1"/>
  <c r="L622" i="1" s="1"/>
  <c r="K622" i="1" a="1"/>
  <c r="K622" i="1" s="1"/>
  <c r="L596" i="1" a="1"/>
  <c r="L596" i="1" s="1"/>
  <c r="K603" i="1" a="1"/>
  <c r="K603" i="1" s="1"/>
  <c r="K596" i="1" a="1"/>
  <c r="K596" i="1" s="1"/>
  <c r="J602" i="1" a="1"/>
  <c r="J602" i="1" s="1"/>
  <c r="L607" i="1" a="1"/>
  <c r="L607" i="1" s="1"/>
  <c r="K602" i="1" a="1"/>
  <c r="K602" i="1" s="1"/>
  <c r="K607" i="1" a="1"/>
  <c r="K607" i="1" s="1"/>
  <c r="J606" i="1" a="1"/>
  <c r="J606" i="1" s="1"/>
  <c r="L606" i="1" a="1"/>
  <c r="L606" i="1" s="1"/>
  <c r="L603" i="1" a="1"/>
  <c r="L603" i="1" s="1"/>
  <c r="J603" i="1" a="1"/>
  <c r="J603" i="1" s="1"/>
  <c r="J607" i="1" a="1"/>
  <c r="J607" i="1" s="1"/>
  <c r="K606" i="1" a="1"/>
  <c r="K606" i="1" s="1"/>
  <c r="L595" i="1" a="1"/>
  <c r="L595" i="1" s="1"/>
  <c r="J596" i="1" a="1"/>
  <c r="J596" i="1" s="1"/>
  <c r="J595" i="1" a="1"/>
  <c r="J595" i="1" s="1"/>
  <c r="K595" i="1" a="1"/>
  <c r="K595" i="1" s="1"/>
  <c r="L602" i="1" a="1"/>
  <c r="L602" i="1" s="1"/>
  <c r="J584" i="1" a="1"/>
  <c r="J584" i="1" s="1"/>
  <c r="L593" i="1" a="1"/>
  <c r="L593" i="1" s="1"/>
  <c r="J585" i="1" a="1"/>
  <c r="J585" i="1" s="1"/>
  <c r="J593" i="1" a="1"/>
  <c r="J593" i="1" s="1"/>
  <c r="K589" i="1" a="1"/>
  <c r="K589" i="1" s="1"/>
  <c r="L584" i="1" a="1"/>
  <c r="L584" i="1" s="1"/>
  <c r="J588" i="1" a="1"/>
  <c r="J588" i="1" s="1"/>
  <c r="K593" i="1" a="1"/>
  <c r="K593" i="1" s="1"/>
  <c r="K584" i="1" a="1"/>
  <c r="K584" i="1" s="1"/>
  <c r="L588" i="1" a="1"/>
  <c r="L588" i="1" s="1"/>
  <c r="K592" i="1" a="1"/>
  <c r="K592" i="1" s="1"/>
  <c r="J592" i="1" a="1"/>
  <c r="J592" i="1" s="1"/>
  <c r="K585" i="1" a="1"/>
  <c r="K585" i="1" s="1"/>
  <c r="L592" i="1" a="1"/>
  <c r="L592" i="1" s="1"/>
  <c r="J589" i="1" a="1"/>
  <c r="J589" i="1" s="1"/>
  <c r="K588" i="1" a="1"/>
  <c r="K588" i="1" s="1"/>
  <c r="L585" i="1" a="1"/>
  <c r="L585" i="1" s="1"/>
  <c r="L589" i="1" a="1"/>
  <c r="L589" i="1" s="1"/>
  <c r="K743" i="1" a="1"/>
  <c r="K743" i="1" s="1"/>
  <c r="J743" i="1" a="1"/>
  <c r="J743" i="1" s="1"/>
  <c r="L743" i="1" a="1"/>
  <c r="L743" i="1" s="1"/>
  <c r="L740" i="1" a="1"/>
  <c r="L740" i="1" s="1"/>
  <c r="K727" i="1" a="1"/>
  <c r="K727" i="1" s="1"/>
  <c r="J740" i="1" a="1"/>
  <c r="J740" i="1" s="1"/>
  <c r="J727" i="1" a="1"/>
  <c r="J727" i="1" s="1"/>
  <c r="K740" i="1" a="1"/>
  <c r="K740" i="1" s="1"/>
  <c r="L727" i="1" a="1"/>
  <c r="L727" i="1" s="1"/>
  <c r="K718" i="1" a="1"/>
  <c r="K718" i="1" s="1"/>
  <c r="J719" i="1" a="1"/>
  <c r="J719" i="1" s="1"/>
  <c r="L718" i="1" a="1"/>
  <c r="L718" i="1" s="1"/>
  <c r="J718" i="1" a="1"/>
  <c r="J718" i="1" s="1"/>
  <c r="L724" i="1" a="1"/>
  <c r="L724" i="1" s="1"/>
  <c r="L720" i="1" a="1"/>
  <c r="L720" i="1" s="1"/>
  <c r="K724" i="1" a="1"/>
  <c r="K724" i="1" s="1"/>
  <c r="J716" i="1" a="1"/>
  <c r="J716" i="1" s="1"/>
  <c r="J724" i="1" a="1"/>
  <c r="J724" i="1" s="1"/>
  <c r="J720" i="1" a="1"/>
  <c r="J720" i="1" s="1"/>
  <c r="K720" i="1" a="1"/>
  <c r="K720" i="1" s="1"/>
  <c r="L719" i="1" a="1"/>
  <c r="L719" i="1" s="1"/>
  <c r="L716" i="1" a="1"/>
  <c r="L716" i="1" s="1"/>
  <c r="K716" i="1" a="1"/>
  <c r="K716" i="1" s="1"/>
  <c r="K719" i="1" a="1"/>
  <c r="K719" i="1" s="1"/>
  <c r="K696" i="1" a="1"/>
  <c r="K696" i="1" s="1"/>
  <c r="L711" i="1" a="1"/>
  <c r="L711" i="1" s="1"/>
  <c r="J697" i="1" a="1"/>
  <c r="J697" i="1" s="1"/>
  <c r="J711" i="1" a="1"/>
  <c r="J711" i="1" s="1"/>
  <c r="L709" i="1" a="1"/>
  <c r="L709" i="1" s="1"/>
  <c r="K709" i="1" a="1"/>
  <c r="K709" i="1" s="1"/>
  <c r="J709" i="1" a="1"/>
  <c r="J709" i="1" s="1"/>
  <c r="K697" i="1" a="1"/>
  <c r="K697" i="1" s="1"/>
  <c r="L696" i="1" a="1"/>
  <c r="L696" i="1" s="1"/>
  <c r="L688" i="1" a="1"/>
  <c r="L688" i="1" s="1"/>
  <c r="L697" i="1" a="1"/>
  <c r="L697" i="1" s="1"/>
  <c r="K711" i="1" a="1"/>
  <c r="K711" i="1" s="1"/>
  <c r="J696" i="1" a="1"/>
  <c r="J696" i="1" s="1"/>
  <c r="J687" i="1" a="1"/>
  <c r="J687" i="1" s="1"/>
  <c r="J681" i="1" a="1"/>
  <c r="J681" i="1" s="1"/>
  <c r="K683" i="1" a="1"/>
  <c r="K683" i="1" s="1"/>
  <c r="K681" i="1" a="1"/>
  <c r="K681" i="1" s="1"/>
  <c r="L682" i="1" a="1"/>
  <c r="L682" i="1" s="1"/>
  <c r="J682" i="1" a="1"/>
  <c r="J682" i="1" s="1"/>
  <c r="L685" i="1" a="1"/>
  <c r="L685" i="1" s="1"/>
  <c r="J685" i="1" a="1"/>
  <c r="J685" i="1" s="1"/>
  <c r="K682" i="1" a="1"/>
  <c r="K682" i="1" s="1"/>
  <c r="J683" i="1" a="1"/>
  <c r="J683" i="1" s="1"/>
  <c r="L683" i="1" a="1"/>
  <c r="L683" i="1" s="1"/>
  <c r="K688" i="1" a="1"/>
  <c r="K688" i="1" s="1"/>
  <c r="J688" i="1" a="1"/>
  <c r="J688" i="1" s="1"/>
  <c r="L681" i="1" a="1"/>
  <c r="L681" i="1" s="1"/>
  <c r="L687" i="1" a="1"/>
  <c r="L687" i="1" s="1"/>
  <c r="K687" i="1" a="1"/>
  <c r="K687" i="1" s="1"/>
  <c r="K685" i="1" a="1"/>
  <c r="K685" i="1" s="1"/>
  <c r="K666" i="1" a="1"/>
  <c r="K666" i="1" s="1"/>
  <c r="L653" i="1" a="1"/>
  <c r="L653" i="1" s="1"/>
  <c r="K664" i="1" a="1"/>
  <c r="K664" i="1" s="1"/>
  <c r="L666" i="1" a="1"/>
  <c r="L666" i="1" s="1"/>
  <c r="J664" i="1" a="1"/>
  <c r="J664" i="1" s="1"/>
  <c r="L665" i="1" a="1"/>
  <c r="L665" i="1" s="1"/>
  <c r="J666" i="1" a="1"/>
  <c r="J666" i="1" s="1"/>
  <c r="L664" i="1" a="1"/>
  <c r="L664" i="1" s="1"/>
  <c r="J665" i="1" a="1"/>
  <c r="J665" i="1" s="1"/>
  <c r="K665" i="1" a="1"/>
  <c r="K665" i="1" s="1"/>
  <c r="J650" i="1" a="1"/>
  <c r="J650" i="1" s="1"/>
  <c r="L648" i="1" a="1"/>
  <c r="L648" i="1" s="1"/>
  <c r="L645" i="1" a="1"/>
  <c r="L645" i="1" s="1"/>
  <c r="K645" i="1" a="1"/>
  <c r="K645" i="1" s="1"/>
  <c r="K653" i="1" a="1"/>
  <c r="K653" i="1" s="1"/>
  <c r="K648" i="1" a="1"/>
  <c r="K648" i="1" s="1"/>
  <c r="J653" i="1" a="1"/>
  <c r="J653" i="1" s="1"/>
  <c r="L652" i="1" a="1"/>
  <c r="L652" i="1" s="1"/>
  <c r="J649" i="1" a="1"/>
  <c r="J649" i="1" s="1"/>
  <c r="J645" i="1" a="1"/>
  <c r="J645" i="1" s="1"/>
  <c r="K652" i="1" a="1"/>
  <c r="K652" i="1" s="1"/>
  <c r="J652" i="1" a="1"/>
  <c r="J652" i="1" s="1"/>
  <c r="K649" i="1" a="1"/>
  <c r="K649" i="1" s="1"/>
  <c r="J647" i="1" a="1"/>
  <c r="J647" i="1" s="1"/>
  <c r="K647" i="1" a="1"/>
  <c r="K647" i="1" s="1"/>
  <c r="L643" i="1" a="1"/>
  <c r="L643" i="1" s="1"/>
  <c r="L649" i="1" a="1"/>
  <c r="L649" i="1" s="1"/>
  <c r="J648" i="1" a="1"/>
  <c r="J648" i="1" s="1"/>
  <c r="L647" i="1" a="1"/>
  <c r="L647" i="1" s="1"/>
  <c r="L650" i="1" a="1"/>
  <c r="L650" i="1" s="1"/>
  <c r="K650" i="1" a="1"/>
  <c r="K650" i="1" s="1"/>
  <c r="L638" i="1" a="1"/>
  <c r="L638" i="1" s="1"/>
  <c r="K637" i="1" a="1"/>
  <c r="K637" i="1" s="1"/>
  <c r="K643" i="1" a="1"/>
  <c r="K643" i="1" s="1"/>
  <c r="L635" i="1" a="1"/>
  <c r="L635" i="1" s="1"/>
  <c r="J643" i="1" a="1"/>
  <c r="J643" i="1" s="1"/>
  <c r="L642" i="1" a="1"/>
  <c r="L642" i="1" s="1"/>
  <c r="K642" i="1" a="1"/>
  <c r="K642" i="1" s="1"/>
  <c r="K639" i="1" a="1"/>
  <c r="K639" i="1" s="1"/>
  <c r="K640" i="1" a="1"/>
  <c r="K640" i="1" s="1"/>
  <c r="J642" i="1" a="1"/>
  <c r="J642" i="1" s="1"/>
  <c r="J639" i="1" a="1"/>
  <c r="J639" i="1" s="1"/>
  <c r="K635" i="1" a="1"/>
  <c r="K635" i="1" s="1"/>
  <c r="K638" i="1" a="1"/>
  <c r="K638" i="1" s="1"/>
  <c r="J638" i="1" a="1"/>
  <c r="J638" i="1" s="1"/>
  <c r="L633" i="1" a="1"/>
  <c r="L633" i="1" s="1"/>
  <c r="L640" i="1" a="1"/>
  <c r="L640" i="1" s="1"/>
  <c r="L639" i="1" a="1"/>
  <c r="L639" i="1" s="1"/>
  <c r="J637" i="1" a="1"/>
  <c r="J637" i="1" s="1"/>
  <c r="L637" i="1" a="1"/>
  <c r="L637" i="1" s="1"/>
  <c r="J640" i="1" a="1"/>
  <c r="J640" i="1" s="1"/>
  <c r="J635" i="1" a="1"/>
  <c r="J635" i="1" s="1"/>
  <c r="L629" i="1" a="1"/>
  <c r="L629" i="1" s="1"/>
  <c r="K629" i="1" a="1"/>
  <c r="K629" i="1" s="1"/>
  <c r="J628" i="1" a="1"/>
  <c r="J628" i="1" s="1"/>
  <c r="J627" i="1" a="1"/>
  <c r="J627" i="1" s="1"/>
  <c r="J625" i="1" a="1"/>
  <c r="J625" i="1" s="1"/>
  <c r="L627" i="1" a="1"/>
  <c r="L627" i="1" s="1"/>
  <c r="K625" i="1" a="1"/>
  <c r="K625" i="1" s="1"/>
  <c r="J630" i="1" a="1"/>
  <c r="J630" i="1" s="1"/>
  <c r="L628" i="1" a="1"/>
  <c r="L628" i="1" s="1"/>
  <c r="K633" i="1" a="1"/>
  <c r="K633" i="1" s="1"/>
  <c r="J633" i="1" a="1"/>
  <c r="J633" i="1" s="1"/>
  <c r="J629" i="1" a="1"/>
  <c r="J629" i="1" s="1"/>
  <c r="L632" i="1" a="1"/>
  <c r="L632" i="1" s="1"/>
  <c r="K632" i="1" a="1"/>
  <c r="K632" i="1" s="1"/>
  <c r="J632" i="1" a="1"/>
  <c r="J632" i="1" s="1"/>
  <c r="K628" i="1" a="1"/>
  <c r="K628" i="1" s="1"/>
  <c r="L630" i="1" a="1"/>
  <c r="L630" i="1" s="1"/>
  <c r="K623" i="1" a="1"/>
  <c r="K623" i="1" s="1"/>
  <c r="K627" i="1" a="1"/>
  <c r="K627" i="1" s="1"/>
  <c r="L623" i="1" a="1"/>
  <c r="L623" i="1" s="1"/>
  <c r="K630" i="1" a="1"/>
  <c r="K630" i="1" s="1"/>
  <c r="L625" i="1" a="1"/>
  <c r="L625" i="1" s="1"/>
  <c r="J623" i="1" a="1"/>
  <c r="J623" i="1" s="1"/>
  <c r="J1708" i="1" a="1"/>
  <c r="J1708" i="1" s="1"/>
  <c r="J1709" i="1" a="1"/>
  <c r="J1709" i="1" s="1"/>
  <c r="L1709" i="1" a="1"/>
  <c r="L1709" i="1" s="1"/>
  <c r="L1708" i="1" a="1"/>
  <c r="L1708" i="1" s="1"/>
  <c r="K1709" i="1" a="1"/>
  <c r="K1709" i="1" s="1"/>
  <c r="K1708" i="1" a="1"/>
  <c r="K1708" i="1" s="1"/>
  <c r="J2340" i="1" a="1"/>
  <c r="J2340" i="1" s="1"/>
  <c r="L2340" i="1" a="1"/>
  <c r="L2340" i="1" s="1"/>
  <c r="K2340" i="1" a="1"/>
  <c r="K2340" i="1" s="1"/>
  <c r="J2332" i="1" a="1"/>
  <c r="J2332" i="1" s="1"/>
  <c r="L2331" i="1" a="1"/>
  <c r="L2331" i="1" s="1"/>
  <c r="K2333" i="1" a="1"/>
  <c r="K2333" i="1" s="1"/>
  <c r="J2334" i="1" a="1"/>
  <c r="J2334" i="1" s="1"/>
  <c r="L2332" i="1" a="1"/>
  <c r="L2332" i="1" s="1"/>
  <c r="K2332" i="1" a="1"/>
  <c r="K2332" i="1" s="1"/>
  <c r="J2335" i="1" a="1"/>
  <c r="J2335" i="1" s="1"/>
  <c r="J2338" i="1" a="1"/>
  <c r="J2338" i="1" s="1"/>
  <c r="K2335" i="1" a="1"/>
  <c r="K2335" i="1" s="1"/>
  <c r="L2333" i="1" a="1"/>
  <c r="L2333" i="1" s="1"/>
  <c r="J2333" i="1" a="1"/>
  <c r="J2333" i="1" s="1"/>
  <c r="L2335" i="1" a="1"/>
  <c r="L2335" i="1" s="1"/>
  <c r="K2338" i="1" a="1"/>
  <c r="K2338" i="1" s="1"/>
  <c r="K2334" i="1" a="1"/>
  <c r="K2334" i="1" s="1"/>
  <c r="L2337" i="1" a="1"/>
  <c r="L2337" i="1" s="1"/>
  <c r="L2339" i="1" a="1"/>
  <c r="L2339" i="1" s="1"/>
  <c r="K2339" i="1" a="1"/>
  <c r="K2339" i="1" s="1"/>
  <c r="J2339" i="1" a="1"/>
  <c r="J2339" i="1" s="1"/>
  <c r="L2338" i="1" a="1"/>
  <c r="L2338" i="1" s="1"/>
  <c r="K2331" i="1" a="1"/>
  <c r="K2331" i="1" s="1"/>
  <c r="L2336" i="1" a="1"/>
  <c r="L2336" i="1" s="1"/>
  <c r="K2336" i="1" a="1"/>
  <c r="K2336" i="1" s="1"/>
  <c r="J2331" i="1" a="1"/>
  <c r="J2331" i="1" s="1"/>
  <c r="L2334" i="1" a="1"/>
  <c r="L2334" i="1" s="1"/>
  <c r="K2337" i="1" a="1"/>
  <c r="K2337" i="1" s="1"/>
  <c r="J2336" i="1" a="1"/>
  <c r="J2336" i="1" s="1"/>
  <c r="J2337" i="1" a="1"/>
  <c r="J2337" i="1" s="1"/>
  <c r="J2325" i="1" a="1"/>
  <c r="J2325" i="1" s="1"/>
  <c r="K2326" i="1" a="1"/>
  <c r="K2326" i="1" s="1"/>
  <c r="L2323" i="1" a="1"/>
  <c r="L2323" i="1" s="1"/>
  <c r="L2322" i="1" s="1" a="1"/>
  <c r="L2322" i="1" s="1"/>
  <c r="L2330" i="1" a="1"/>
  <c r="L2330" i="1" s="1"/>
  <c r="J2323" i="1" a="1"/>
  <c r="J2323" i="1" s="1"/>
  <c r="J2322" i="1" s="1" a="1"/>
  <c r="J2322" i="1" s="1"/>
  <c r="K2330" i="1" a="1"/>
  <c r="K2330" i="1" s="1"/>
  <c r="J2326" i="1" a="1"/>
  <c r="J2326" i="1" s="1"/>
  <c r="L2327" i="1" a="1"/>
  <c r="L2327" i="1" s="1"/>
  <c r="K2320" i="1" a="1"/>
  <c r="K2320" i="1" s="1"/>
  <c r="K2319" i="1" s="1" a="1"/>
  <c r="K2319" i="1" s="1"/>
  <c r="L2320" i="1" a="1"/>
  <c r="L2320" i="1" s="1"/>
  <c r="L2319" i="1" s="1" a="1"/>
  <c r="L2319" i="1" s="1"/>
  <c r="J2330" i="1" a="1"/>
  <c r="J2330" i="1" s="1"/>
  <c r="L2328" i="1" a="1"/>
  <c r="L2328" i="1" s="1"/>
  <c r="L2329" i="1" a="1"/>
  <c r="L2329" i="1" s="1"/>
  <c r="K2328" i="1" a="1"/>
  <c r="K2328" i="1" s="1"/>
  <c r="J2328" i="1" a="1"/>
  <c r="J2328" i="1" s="1"/>
  <c r="K2327" i="1" a="1"/>
  <c r="K2327" i="1" s="1"/>
  <c r="L2326" i="1" a="1"/>
  <c r="L2326" i="1" s="1"/>
  <c r="L2325" i="1" a="1"/>
  <c r="L2325" i="1" s="1"/>
  <c r="J2320" i="1" a="1"/>
  <c r="J2320" i="1" s="1"/>
  <c r="J2319" i="1" s="1" a="1"/>
  <c r="J2319" i="1" s="1"/>
  <c r="J2329" i="1" a="1"/>
  <c r="J2329" i="1" s="1"/>
  <c r="J2327" i="1" a="1"/>
  <c r="J2327" i="1" s="1"/>
  <c r="K2325" i="1" a="1"/>
  <c r="K2325" i="1" s="1"/>
  <c r="K2323" i="1" a="1"/>
  <c r="K2323" i="1" s="1"/>
  <c r="K2322" i="1" s="1" a="1"/>
  <c r="K2322" i="1" s="1"/>
  <c r="K2329" i="1" a="1"/>
  <c r="K2329" i="1" s="1"/>
  <c r="J2317" i="1" a="1"/>
  <c r="J2317" i="1" s="1"/>
  <c r="K2316" i="1" a="1"/>
  <c r="K2316" i="1" s="1"/>
  <c r="K2314" i="1" a="1"/>
  <c r="K2314" i="1" s="1"/>
  <c r="L2314" i="1" a="1"/>
  <c r="L2314" i="1" s="1"/>
  <c r="J2316" i="1" a="1"/>
  <c r="J2316" i="1" s="1"/>
  <c r="J2314" i="1" a="1"/>
  <c r="J2314" i="1" s="1"/>
  <c r="L2316" i="1" a="1"/>
  <c r="L2316" i="1" s="1"/>
  <c r="L2317" i="1" a="1"/>
  <c r="L2317" i="1" s="1"/>
  <c r="K2317" i="1" a="1"/>
  <c r="K2317" i="1" s="1"/>
  <c r="K2049" i="1" a="1"/>
  <c r="K2049" i="1" s="1"/>
  <c r="J2046" i="1" a="1"/>
  <c r="J2046" i="1" s="1"/>
  <c r="K2048" i="1" a="1"/>
  <c r="K2048" i="1" s="1"/>
  <c r="K2047" i="1" a="1"/>
  <c r="K2047" i="1" s="1"/>
  <c r="L2046" i="1" a="1"/>
  <c r="L2046" i="1" s="1"/>
  <c r="L2049" i="1" a="1"/>
  <c r="L2049" i="1" s="1"/>
  <c r="J2049" i="1" a="1"/>
  <c r="J2049" i="1" s="1"/>
  <c r="K2046" i="1" a="1"/>
  <c r="K2046" i="1" s="1"/>
  <c r="L2045" i="1" a="1"/>
  <c r="L2045" i="1" s="1"/>
  <c r="L2043" i="1" a="1"/>
  <c r="L2043" i="1" s="1"/>
  <c r="K2043" i="1" a="1"/>
  <c r="K2043" i="1" s="1"/>
  <c r="J2045" i="1" a="1"/>
  <c r="J2045" i="1" s="1"/>
  <c r="J2047" i="1" a="1"/>
  <c r="J2047" i="1" s="1"/>
  <c r="K2042" i="1" a="1"/>
  <c r="K2042" i="1" s="1"/>
  <c r="L2048" i="1" a="1"/>
  <c r="L2048" i="1" s="1"/>
  <c r="K2044" i="1" a="1"/>
  <c r="K2044" i="1" s="1"/>
  <c r="J2048" i="1" a="1"/>
  <c r="J2048" i="1" s="1"/>
  <c r="K2045" i="1" a="1"/>
  <c r="K2045" i="1" s="1"/>
  <c r="J2043" i="1" a="1"/>
  <c r="J2043" i="1" s="1"/>
  <c r="J2044" i="1" a="1"/>
  <c r="J2044" i="1" s="1"/>
  <c r="L2044" i="1" a="1"/>
  <c r="L2044" i="1" s="1"/>
  <c r="L2042" i="1" a="1"/>
  <c r="L2042" i="1" s="1"/>
  <c r="L2047" i="1" a="1"/>
  <c r="L2047" i="1" s="1"/>
  <c r="J2042" i="1" a="1"/>
  <c r="J2042" i="1" s="1"/>
  <c r="K2038" i="1" a="1"/>
  <c r="K2038" i="1" s="1"/>
  <c r="K2035" i="1" a="1"/>
  <c r="K2035" i="1" s="1"/>
  <c r="L2039" i="1" a="1"/>
  <c r="L2039" i="1" s="1"/>
  <c r="L2037" i="1" a="1"/>
  <c r="L2037" i="1" s="1"/>
  <c r="L2041" i="1" a="1"/>
  <c r="L2041" i="1" s="1"/>
  <c r="K2032" i="1" a="1"/>
  <c r="K2032" i="1" s="1"/>
  <c r="K2031" i="1" s="1" a="1"/>
  <c r="K2031" i="1" s="1"/>
  <c r="J2037" i="1" a="1"/>
  <c r="J2037" i="1" s="1"/>
  <c r="L2032" i="1" a="1"/>
  <c r="L2032" i="1" s="1"/>
  <c r="L2031" i="1" s="1" a="1"/>
  <c r="L2031" i="1" s="1"/>
  <c r="J2035" i="1" a="1"/>
  <c r="J2035" i="1" s="1"/>
  <c r="J2041" i="1" a="1"/>
  <c r="J2041" i="1" s="1"/>
  <c r="L2035" i="1" a="1"/>
  <c r="L2035" i="1" s="1"/>
  <c r="L2036" i="1" a="1"/>
  <c r="L2036" i="1" s="1"/>
  <c r="J2039" i="1" a="1"/>
  <c r="J2039" i="1" s="1"/>
  <c r="K2036" i="1" a="1"/>
  <c r="K2036" i="1" s="1"/>
  <c r="L2034" i="1" a="1"/>
  <c r="L2034" i="1" s="1"/>
  <c r="J2032" i="1" a="1"/>
  <c r="J2032" i="1" s="1"/>
  <c r="J2031" i="1" s="1" a="1"/>
  <c r="J2031" i="1" s="1"/>
  <c r="L2038" i="1" a="1"/>
  <c r="L2038" i="1" s="1"/>
  <c r="J2036" i="1" a="1"/>
  <c r="J2036" i="1" s="1"/>
  <c r="J2040" i="1" a="1"/>
  <c r="J2040" i="1" s="1"/>
  <c r="K2041" i="1" a="1"/>
  <c r="K2041" i="1" s="1"/>
  <c r="K2040" i="1" a="1"/>
  <c r="K2040" i="1" s="1"/>
  <c r="K2039" i="1" a="1"/>
  <c r="K2039" i="1" s="1"/>
  <c r="J2038" i="1" a="1"/>
  <c r="J2038" i="1" s="1"/>
  <c r="L2040" i="1" a="1"/>
  <c r="L2040" i="1" s="1"/>
  <c r="K2037" i="1" a="1"/>
  <c r="K2037" i="1" s="1"/>
  <c r="K2034" i="1" a="1"/>
  <c r="K2034" i="1" s="1"/>
  <c r="J2034" i="1" a="1"/>
  <c r="J2034" i="1" s="1"/>
  <c r="L2026" i="1" a="1"/>
  <c r="L2026" i="1" s="1"/>
  <c r="K2023" i="1" a="1"/>
  <c r="K2023" i="1" s="1"/>
  <c r="L2023" i="1" a="1"/>
  <c r="L2023" i="1" s="1"/>
  <c r="J2023" i="1" a="1"/>
  <c r="J2023" i="1" s="1"/>
  <c r="K2026" i="1" a="1"/>
  <c r="K2026" i="1" s="1"/>
  <c r="J2029" i="1" a="1"/>
  <c r="J2029" i="1" s="1"/>
  <c r="J2028" i="1" s="1" a="1"/>
  <c r="J2028" i="1" s="1"/>
  <c r="L2025" i="1" a="1"/>
  <c r="L2025" i="1" s="1"/>
  <c r="K2029" i="1" a="1"/>
  <c r="K2029" i="1" s="1"/>
  <c r="K2028" i="1" s="1" a="1"/>
  <c r="K2028" i="1" s="1"/>
  <c r="L2029" i="1" a="1"/>
  <c r="L2029" i="1" s="1"/>
  <c r="L2028" i="1" s="1" a="1"/>
  <c r="L2028" i="1" s="1"/>
  <c r="J2026" i="1" a="1"/>
  <c r="J2026" i="1" s="1"/>
  <c r="J2025" i="1" a="1"/>
  <c r="J2025" i="1" s="1"/>
  <c r="K2025" i="1" a="1"/>
  <c r="K2025" i="1" s="1"/>
  <c r="L19" i="1"/>
  <c r="L18" i="1" s="1"/>
  <c r="K19" i="1"/>
  <c r="K18" i="1" s="1"/>
  <c r="J19" i="1"/>
  <c r="J18" i="1" s="1"/>
  <c r="K13" i="1" a="1"/>
  <c r="K13" i="1" s="1"/>
  <c r="J13" i="1" a="1"/>
  <c r="J13" i="1" s="1"/>
  <c r="L60" i="1" a="1"/>
  <c r="L60" i="1" s="1"/>
  <c r="L54" i="1" a="1"/>
  <c r="L54" i="1" s="1"/>
  <c r="J54" i="1" a="1"/>
  <c r="J54" i="1" s="1"/>
  <c r="K60" i="1" a="1"/>
  <c r="K60" i="1" s="1"/>
  <c r="K54" i="1" a="1"/>
  <c r="K54" i="1" s="1"/>
  <c r="J284" i="1" a="1"/>
  <c r="J284" i="1" s="1"/>
  <c r="L284" i="1" a="1"/>
  <c r="L284" i="1" s="1"/>
  <c r="L283" i="1" s="1"/>
  <c r="K284" i="1" a="1"/>
  <c r="K284" i="1" s="1"/>
  <c r="K283" i="1" s="1"/>
  <c r="L275" i="1" a="1"/>
  <c r="L275" i="1" s="1"/>
  <c r="L274" i="1" s="1"/>
  <c r="K275" i="1" a="1"/>
  <c r="K275" i="1" s="1"/>
  <c r="K274" i="1" s="1"/>
  <c r="J275" i="1" a="1"/>
  <c r="J275" i="1" s="1"/>
  <c r="L242" i="1" a="1"/>
  <c r="L242" i="1" s="1"/>
  <c r="K242" i="1" a="1"/>
  <c r="K242" i="1" s="1"/>
  <c r="K241" i="1" s="1"/>
  <c r="J242" i="1" a="1"/>
  <c r="J242" i="1" s="1"/>
  <c r="J241" i="1" s="1"/>
  <c r="L199" i="1" a="1"/>
  <c r="L199" i="1" s="1"/>
  <c r="K199" i="1" a="1"/>
  <c r="K199" i="1" s="1"/>
  <c r="J199" i="1" a="1"/>
  <c r="J199" i="1" s="1"/>
  <c r="J198" i="1" s="1"/>
  <c r="J59" i="1" a="1"/>
  <c r="J59" i="1" s="1"/>
  <c r="K62" i="1" a="1"/>
  <c r="K62" i="1" s="1"/>
  <c r="L59" i="1" a="1"/>
  <c r="L59" i="1" s="1"/>
  <c r="J61" i="1" a="1"/>
  <c r="J61" i="1" s="1"/>
  <c r="J60" i="1" a="1"/>
  <c r="J60" i="1" s="1"/>
  <c r="L62" i="1" a="1"/>
  <c r="L62" i="1" s="1"/>
  <c r="J62" i="1" a="1"/>
  <c r="J62" i="1" s="1"/>
  <c r="L61" i="1" a="1"/>
  <c r="L61" i="1" s="1"/>
  <c r="K59" i="1" a="1"/>
  <c r="K59" i="1" s="1"/>
  <c r="K61" i="1" a="1"/>
  <c r="K61" i="1" s="1"/>
  <c r="L55" i="1" a="1"/>
  <c r="L55" i="1" s="1"/>
  <c r="K53" i="1" a="1"/>
  <c r="K53" i="1" s="1"/>
  <c r="K55" i="1" a="1"/>
  <c r="K55" i="1" s="1"/>
  <c r="J55" i="1" a="1"/>
  <c r="J55" i="1" s="1"/>
  <c r="L53" i="1" a="1"/>
  <c r="L53" i="1" s="1"/>
  <c r="J53" i="1" a="1"/>
  <c r="J53" i="1" s="1"/>
  <c r="L52" i="1" a="1"/>
  <c r="L52" i="1" s="1"/>
  <c r="J52" i="1" a="1"/>
  <c r="J52" i="1" s="1"/>
  <c r="K52" i="1" a="1"/>
  <c r="K52" i="1" s="1"/>
  <c r="L14" i="1" a="1"/>
  <c r="L14" i="1" s="1"/>
  <c r="L15" i="1" a="1"/>
  <c r="L15" i="1" s="1"/>
  <c r="K15" i="1" a="1"/>
  <c r="K15" i="1" s="1"/>
  <c r="J15" i="1" a="1"/>
  <c r="J15" i="1" s="1"/>
  <c r="K14" i="1" a="1"/>
  <c r="K14" i="1" s="1"/>
  <c r="J14" i="1" a="1"/>
  <c r="J14" i="1" s="1"/>
  <c r="L13" i="1" a="1"/>
  <c r="L13" i="1" s="1"/>
  <c r="K10" i="1" a="1"/>
  <c r="K10" i="1" s="1"/>
  <c r="L10" i="1" a="1"/>
  <c r="L10" i="1" s="1"/>
  <c r="J11" i="1" a="1"/>
  <c r="J11" i="1" s="1"/>
  <c r="L11" i="1" a="1"/>
  <c r="L11" i="1" s="1"/>
  <c r="K11" i="1" a="1"/>
  <c r="K11" i="1" s="1"/>
  <c r="J10" i="1" a="1"/>
  <c r="J10" i="1" s="1"/>
  <c r="K7" i="1" a="1"/>
  <c r="K7" i="1" s="1"/>
  <c r="K5" i="1" a="1"/>
  <c r="K5" i="1" s="1"/>
  <c r="L9" i="1" a="1"/>
  <c r="L9" i="1" s="1"/>
  <c r="K9" i="1" a="1"/>
  <c r="K9" i="1" s="1"/>
  <c r="J9" i="1" a="1"/>
  <c r="J9" i="1" s="1"/>
  <c r="L5" i="1" a="1"/>
  <c r="L5" i="1" s="1"/>
  <c r="J5" i="1" a="1"/>
  <c r="J5" i="1" s="1"/>
  <c r="K4" i="1" a="1"/>
  <c r="K4" i="1" s="1"/>
  <c r="L4" i="1" a="1"/>
  <c r="L4" i="1" s="1"/>
  <c r="J7" i="1" a="1"/>
  <c r="J7" i="1" s="1"/>
  <c r="L7" i="1" a="1"/>
  <c r="L7" i="1" s="1"/>
  <c r="K6" i="1" a="1"/>
  <c r="K6" i="1" s="1"/>
  <c r="J6" i="1" a="1"/>
  <c r="J6" i="1" s="1"/>
  <c r="L45" i="1" a="1"/>
  <c r="L45" i="1" s="1"/>
  <c r="L6" i="1" a="1"/>
  <c r="L6" i="1" s="1"/>
  <c r="K45" i="1" a="1"/>
  <c r="K45" i="1" s="1"/>
  <c r="J45" i="1" a="1"/>
  <c r="J45" i="1" s="1"/>
  <c r="J4" i="1" a="1"/>
  <c r="J4" i="1" s="1"/>
  <c r="K56" i="1" a="1"/>
  <c r="K56" i="1" s="1"/>
  <c r="J56" i="1" a="1"/>
  <c r="J56" i="1" s="1"/>
  <c r="L56" i="1" a="1"/>
  <c r="L56" i="1" s="1"/>
  <c r="J50" i="1" a="1"/>
  <c r="J50" i="1" s="1"/>
  <c r="K50" i="1" a="1"/>
  <c r="K50" i="1" s="1"/>
  <c r="L44" i="1" a="1"/>
  <c r="L44" i="1" s="1"/>
  <c r="L50" i="1" a="1"/>
  <c r="L50" i="1" s="1"/>
  <c r="L43" i="1" a="1"/>
  <c r="L43" i="1" s="1"/>
  <c r="J43" i="1" a="1"/>
  <c r="J43" i="1" s="1"/>
  <c r="K44" i="1" a="1"/>
  <c r="K44" i="1" s="1"/>
  <c r="J44" i="1" a="1"/>
  <c r="J44" i="1" s="1"/>
  <c r="K43" i="1" a="1"/>
  <c r="K43" i="1" s="1"/>
  <c r="L26" i="1" a="1"/>
  <c r="L26" i="1" s="1"/>
  <c r="K27" i="1" a="1"/>
  <c r="K27" i="1" s="1"/>
  <c r="K26" i="1" a="1"/>
  <c r="K26" i="1" s="1"/>
  <c r="L27" i="1" a="1"/>
  <c r="L27" i="1" s="1"/>
  <c r="J26" i="1" a="1"/>
  <c r="J26" i="1" s="1"/>
  <c r="J27" i="1" a="1"/>
  <c r="J27" i="1" s="1"/>
  <c r="L28" i="1" a="1"/>
  <c r="L28" i="1" s="1"/>
  <c r="K28" i="1" a="1"/>
  <c r="K28" i="1" s="1"/>
  <c r="J28" i="1" a="1"/>
  <c r="J28" i="1" s="1"/>
  <c r="J16" i="1" a="1"/>
  <c r="J16" i="1" s="1"/>
  <c r="L17" i="1" a="1"/>
  <c r="L17" i="1" s="1"/>
  <c r="K24" i="1" a="1"/>
  <c r="K24" i="1" s="1"/>
  <c r="K16" i="1" a="1"/>
  <c r="K16" i="1" s="1"/>
  <c r="K21" i="1" a="1"/>
  <c r="K21" i="1" s="1"/>
  <c r="J21" i="1" a="1"/>
  <c r="J21" i="1" s="1"/>
  <c r="L25" i="1" a="1"/>
  <c r="L25" i="1" s="1"/>
  <c r="K25" i="1" a="1"/>
  <c r="K25" i="1" s="1"/>
  <c r="K17" i="1" a="1"/>
  <c r="K17" i="1" s="1"/>
  <c r="J25" i="1" a="1"/>
  <c r="J25" i="1" s="1"/>
  <c r="J17" i="1" a="1"/>
  <c r="J17" i="1" s="1"/>
  <c r="J24" i="1" a="1"/>
  <c r="J24" i="1" s="1"/>
  <c r="L16" i="1" a="1"/>
  <c r="L16" i="1" s="1"/>
  <c r="L24" i="1" a="1"/>
  <c r="L24" i="1" s="1"/>
  <c r="L21" i="1" a="1"/>
  <c r="L21" i="1" s="1"/>
  <c r="L382" i="1" l="1"/>
  <c r="L513" i="1" s="1"/>
  <c r="J383" i="1"/>
  <c r="J514" i="1" s="1"/>
  <c r="J315" i="1"/>
  <c r="J420" i="1" s="1"/>
  <c r="J398" i="1"/>
  <c r="J439" i="1" s="1"/>
  <c r="K322" i="1"/>
  <c r="K477" i="1" s="1"/>
  <c r="K382" i="1"/>
  <c r="K513" i="1" s="1"/>
  <c r="K320" i="1"/>
  <c r="K475" i="1" s="1"/>
  <c r="L399" i="1"/>
  <c r="L519" i="1" s="1"/>
  <c r="J323" i="1"/>
  <c r="J478" i="1" s="1"/>
  <c r="K126" i="1"/>
  <c r="J386" i="1"/>
  <c r="J517" i="1" s="1"/>
  <c r="J385" i="1"/>
  <c r="J516" i="1" s="1"/>
  <c r="K319" i="1"/>
  <c r="K474" i="1" s="1"/>
  <c r="L363" i="1"/>
  <c r="L504" i="1" s="1"/>
  <c r="L386" i="1"/>
  <c r="L517" i="1" s="1"/>
  <c r="L320" i="1"/>
  <c r="L475" i="1" s="1"/>
  <c r="J742" i="1" a="1"/>
  <c r="J742" i="1" s="1"/>
  <c r="J744" i="1" s="1" a="1"/>
  <c r="J744" i="1" s="1"/>
  <c r="J322" i="1"/>
  <c r="J477" i="1" s="1"/>
  <c r="J899" i="1"/>
  <c r="J399" i="1"/>
  <c r="J519" i="1" s="1"/>
  <c r="L323" i="1"/>
  <c r="L478" i="1" s="1"/>
  <c r="K385" i="1"/>
  <c r="K516" i="1" s="1"/>
  <c r="L319" i="1"/>
  <c r="L474" i="1" s="1"/>
  <c r="L398" i="1"/>
  <c r="L439" i="1" s="1"/>
  <c r="K315" i="1"/>
  <c r="K420" i="1" s="1"/>
  <c r="J400" i="1"/>
  <c r="J520" i="1" s="1"/>
  <c r="L321" i="1"/>
  <c r="L476" i="1" s="1"/>
  <c r="L400" i="1"/>
  <c r="L520" i="1" s="1"/>
  <c r="L322" i="1"/>
  <c r="L477" i="1" s="1"/>
  <c r="L902" i="1"/>
  <c r="K384" i="1"/>
  <c r="K515" i="1" s="1"/>
  <c r="L783" i="1"/>
  <c r="J384" i="1"/>
  <c r="J515" i="1" s="1"/>
  <c r="K123" i="1"/>
  <c r="K324" i="1"/>
  <c r="K479" i="1" s="1"/>
  <c r="K124" i="1"/>
  <c r="J325" i="1"/>
  <c r="J480" i="1" s="1"/>
  <c r="L385" i="1"/>
  <c r="L516" i="1" s="1"/>
  <c r="L726" i="1" a="1"/>
  <c r="L726" i="1" s="1"/>
  <c r="L728" i="1" s="1" a="1"/>
  <c r="L728" i="1" s="1"/>
  <c r="L325" i="1"/>
  <c r="L480" i="1" s="1"/>
  <c r="K316" i="1"/>
  <c r="K471" i="1" s="1"/>
  <c r="J126" i="1"/>
  <c r="K321" i="1"/>
  <c r="K476" i="1" s="1"/>
  <c r="K398" i="1"/>
  <c r="K439" i="1" s="1"/>
  <c r="L384" i="1"/>
  <c r="L515" i="1" s="1"/>
  <c r="K128" i="1"/>
  <c r="K363" i="1"/>
  <c r="K504" i="1" s="1"/>
  <c r="J300" i="1"/>
  <c r="J413" i="1" s="1"/>
  <c r="K300" i="1"/>
  <c r="K413" i="1" s="1"/>
  <c r="K399" i="1"/>
  <c r="K519" i="1" s="1"/>
  <c r="L314" i="1"/>
  <c r="L419" i="1" s="1"/>
  <c r="J319" i="1"/>
  <c r="J474" i="1" s="1"/>
  <c r="J318" i="1"/>
  <c r="J473" i="1" s="1"/>
  <c r="K301" i="1"/>
  <c r="K465" i="1" s="1"/>
  <c r="K400" i="1"/>
  <c r="K520" i="1" s="1"/>
  <c r="L125" i="1"/>
  <c r="J316" i="1"/>
  <c r="J471" i="1" s="1"/>
  <c r="K902" i="1"/>
  <c r="J903" i="1"/>
  <c r="L903" i="1"/>
  <c r="L362" i="1"/>
  <c r="L429" i="1" s="1"/>
  <c r="L198" i="1"/>
  <c r="L197" i="1" s="1"/>
  <c r="L241" i="1"/>
  <c r="L316" i="1" s="1"/>
  <c r="L471" i="1" s="1"/>
  <c r="L317" i="1"/>
  <c r="L472" i="1" s="1"/>
  <c r="K198" i="1"/>
  <c r="K361" i="1" s="1"/>
  <c r="K428" i="1" s="1"/>
  <c r="K362" i="1"/>
  <c r="K429" i="1" s="1"/>
  <c r="J274" i="1"/>
  <c r="J363" i="1" s="1"/>
  <c r="J504" i="1" s="1"/>
  <c r="J364" i="1"/>
  <c r="L742" i="1" a="1"/>
  <c r="L742" i="1" s="1"/>
  <c r="L744" i="1" s="1" a="1"/>
  <c r="L744" i="1" s="1"/>
  <c r="J361" i="1"/>
  <c r="J428" i="1" s="1"/>
  <c r="K364" i="1"/>
  <c r="J783" i="1"/>
  <c r="J786" i="1"/>
  <c r="J787" i="1" s="1"/>
  <c r="J726" i="1" a="1"/>
  <c r="J726" i="1" s="1"/>
  <c r="J728" i="1" s="1" a="1"/>
  <c r="J728" i="1" s="1"/>
  <c r="L364" i="1"/>
  <c r="J283" i="1"/>
  <c r="J382" i="1" s="1"/>
  <c r="J513" i="1" s="1"/>
  <c r="L318" i="1"/>
  <c r="L473" i="1" s="1"/>
  <c r="J128" i="1"/>
  <c r="J324" i="1"/>
  <c r="J479" i="1" s="1"/>
  <c r="L324" i="1"/>
  <c r="L479" i="1" s="1"/>
  <c r="L128" i="1"/>
  <c r="L126" i="1"/>
  <c r="J118" i="1"/>
  <c r="J314" i="1"/>
  <c r="J419" i="1" s="1"/>
  <c r="K314" i="1"/>
  <c r="K419" i="1" s="1"/>
  <c r="J121" i="1"/>
  <c r="J317" i="1"/>
  <c r="J472" i="1" s="1"/>
  <c r="K317" i="1"/>
  <c r="K472" i="1" s="1"/>
  <c r="J124" i="1"/>
  <c r="J320" i="1"/>
  <c r="J475" i="1" s="1"/>
  <c r="K323" i="1"/>
  <c r="K478" i="1" s="1"/>
  <c r="J362" i="1"/>
  <c r="J429" i="1" s="1"/>
  <c r="K726" i="1" a="1"/>
  <c r="K726" i="1" s="1"/>
  <c r="K728" i="1" s="1" a="1"/>
  <c r="K728" i="1" s="1"/>
  <c r="K742" i="1" a="1"/>
  <c r="K742" i="1" s="1"/>
  <c r="K744" i="1" s="1" a="1"/>
  <c r="K744" i="1" s="1"/>
  <c r="J380" i="1"/>
  <c r="J437" i="1" s="1"/>
  <c r="L124" i="1"/>
  <c r="L380" i="1"/>
  <c r="L437" i="1" s="1"/>
  <c r="K383" i="1"/>
  <c r="K514" i="1" s="1"/>
  <c r="K325" i="1"/>
  <c r="K480" i="1" s="1"/>
  <c r="K118" i="1"/>
  <c r="J129" i="1"/>
  <c r="K786" i="1"/>
  <c r="K787" i="1" s="1"/>
  <c r="L315" i="1"/>
  <c r="L420" i="1" s="1"/>
  <c r="K318" i="1"/>
  <c r="K473" i="1" s="1"/>
  <c r="J321" i="1"/>
  <c r="J476" i="1" s="1"/>
  <c r="L383" i="1"/>
  <c r="L514" i="1" s="1"/>
  <c r="K386" i="1"/>
  <c r="K517" i="1" s="1"/>
  <c r="L925" i="1"/>
  <c r="L924" i="1" s="1"/>
  <c r="K903" i="1"/>
  <c r="J902" i="1"/>
  <c r="L899" i="1"/>
  <c r="K899" i="1"/>
  <c r="K925" i="1"/>
  <c r="K924" i="1" s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361" i="1" l="1"/>
  <c r="L428" i="1" s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55" i="1" s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653" i="1" l="1"/>
  <c r="L1603" i="1"/>
  <c r="L1556" i="1"/>
  <c r="L1512" i="1"/>
  <c r="L1161" i="1"/>
  <c r="L1511" i="1"/>
  <c r="L1510" i="1" s="1"/>
  <c r="L1509" i="1" s="1"/>
  <c r="L1554" i="1"/>
  <c r="L1553" i="1" s="1"/>
  <c r="L1652" i="1"/>
  <c r="L1651" i="1" s="1"/>
  <c r="L1650" i="1" s="1"/>
  <c r="L1160" i="1"/>
  <c r="L1159" i="1" s="1"/>
  <c r="L1158" i="1" s="1"/>
  <c r="L1602" i="1"/>
  <c r="L1601" i="1" s="1"/>
  <c r="L1600" i="1" s="1"/>
  <c r="L1014" i="1"/>
  <c r="L1011" i="1" s="1"/>
  <c r="L1004" i="1"/>
  <c r="L1003" i="1" s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330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3" i="1"/>
  <c r="L49" i="1"/>
  <c r="L1617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001" i="1" l="1"/>
  <c r="L1562" i="1"/>
  <c r="L1414" i="1"/>
  <c r="L1183" i="1"/>
  <c r="L1658" i="1"/>
  <c r="L1659" i="1" s="1"/>
  <c r="L1207" i="1"/>
  <c r="L1345" i="1"/>
  <c r="L1429" i="1"/>
  <c r="L1571" i="1"/>
  <c r="L1618" i="1"/>
  <c r="L1428" i="1"/>
  <c r="L1570" i="1"/>
  <c r="L1609" i="1"/>
  <c r="L1344" i="1"/>
  <c r="L1184" i="1"/>
  <c r="L1415" i="1"/>
  <c r="L1563" i="1"/>
  <c r="L1561" i="1" s="1"/>
  <c r="L1560" i="1" s="1"/>
  <c r="L1610" i="1"/>
  <c r="L1331" i="1"/>
  <c r="L1206" i="1"/>
  <c r="L375" i="1"/>
  <c r="L365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427" i="1"/>
  <c r="L262" i="1"/>
  <c r="L291" i="1"/>
  <c r="L537" i="1"/>
  <c r="L692" i="1"/>
  <c r="L690" i="1"/>
  <c r="L503" i="1"/>
  <c r="L510" i="1"/>
  <c r="L548" i="1"/>
  <c r="L535" i="1"/>
  <c r="L536" i="1"/>
  <c r="L1182" i="1" l="1"/>
  <c r="L425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F1618" i="1"/>
  <c r="H1618" i="1"/>
  <c r="H1571" i="1"/>
  <c r="I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63" i="1" l="1"/>
  <c r="H1563" i="1"/>
  <c r="G1563" i="1"/>
  <c r="G1603" i="1"/>
  <c r="F1556" i="1"/>
  <c r="I1556" i="1"/>
  <c r="I1563" i="1"/>
  <c r="H1610" i="1"/>
  <c r="F1610" i="1"/>
  <c r="G1556" i="1"/>
  <c r="H1603" i="1"/>
  <c r="I1603" i="1"/>
  <c r="H1556" i="1"/>
  <c r="I1610" i="1"/>
  <c r="F160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512" i="1"/>
  <c r="G1512" i="1"/>
  <c r="I1429" i="1"/>
  <c r="G1429" i="1"/>
  <c r="F1415" i="1"/>
  <c r="H1512" i="1"/>
  <c r="H1415" i="1"/>
  <c r="F1429" i="1"/>
  <c r="G1415" i="1"/>
  <c r="H1429" i="1"/>
  <c r="I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I1345" i="1"/>
  <c r="G1331" i="1"/>
  <c r="I1331" i="1"/>
  <c r="F1331" i="1"/>
  <c r="F1345" i="1"/>
  <c r="H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F1184" i="1"/>
  <c r="G1184" i="1"/>
  <c r="H1207" i="1"/>
  <c r="G1207" i="1"/>
  <c r="I1184" i="1"/>
  <c r="F1207" i="1"/>
  <c r="H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H1617" i="1"/>
  <c r="H1616" i="1" s="1"/>
  <c r="H1615" i="1" s="1"/>
  <c r="H1570" i="1"/>
  <c r="H1569" i="1" s="1"/>
  <c r="H1568" i="1" s="1"/>
  <c r="H1428" i="1"/>
  <c r="H1427" i="1" s="1"/>
  <c r="H1426" i="1" s="1"/>
  <c r="H1344" i="1"/>
  <c r="H1343" i="1" s="1"/>
  <c r="H1342" i="1" s="1"/>
  <c r="H1206" i="1"/>
  <c r="H1205" i="1" s="1"/>
  <c r="H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617" i="1" s="1"/>
  <c r="J1428" i="1" l="1"/>
  <c r="J1206" i="1"/>
  <c r="J1344" i="1"/>
  <c r="K1207" i="1"/>
  <c r="K1618" i="1"/>
  <c r="K1345" i="1"/>
  <c r="K1429" i="1"/>
  <c r="K1571" i="1"/>
  <c r="K1428" i="1"/>
  <c r="K1570" i="1"/>
  <c r="K1206" i="1"/>
  <c r="K1617" i="1"/>
  <c r="J1345" i="1"/>
  <c r="J1429" i="1"/>
  <c r="J1207" i="1"/>
  <c r="J1571" i="1"/>
  <c r="J161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602" i="1"/>
  <c r="G1555" i="1"/>
  <c r="G1511" i="1"/>
  <c r="G1160" i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H1159" i="1" s="1"/>
  <c r="H1158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I1159" i="1" s="1"/>
  <c r="I1158" i="1" s="1"/>
  <c r="F1652" i="1"/>
  <c r="F1651" i="1" s="1"/>
  <c r="F1602" i="1"/>
  <c r="F1601" i="1" s="1"/>
  <c r="F1600" i="1" s="1"/>
  <c r="F1555" i="1"/>
  <c r="F1554" i="1" s="1"/>
  <c r="F1553" i="1" s="1"/>
  <c r="F1511" i="1"/>
  <c r="F1510" i="1" s="1"/>
  <c r="F1509" i="1" s="1"/>
  <c r="F1160" i="1"/>
  <c r="F1159" i="1" s="1"/>
  <c r="F1158" i="1" s="1"/>
  <c r="F1658" i="1"/>
  <c r="F1659" i="1" s="1"/>
  <c r="F1562" i="1"/>
  <c r="F1609" i="1"/>
  <c r="F1414" i="1"/>
  <c r="F1330" i="1"/>
  <c r="F1329" i="1" s="1"/>
  <c r="F1328" i="1" s="1"/>
  <c r="F1183" i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329" i="1" s="1"/>
  <c r="I1328" i="1" s="1"/>
  <c r="I1183" i="1"/>
  <c r="I1182" i="1" s="1"/>
  <c r="I1181" i="1" s="1"/>
  <c r="I1561" i="1"/>
  <c r="I1560" i="1" s="1"/>
  <c r="F1182" i="1"/>
  <c r="F1181" i="1" s="1"/>
  <c r="F1561" i="1"/>
  <c r="F1560" i="1" s="1"/>
  <c r="F1413" i="1"/>
  <c r="F1412" i="1" s="1"/>
  <c r="F1608" i="1"/>
  <c r="F1607" i="1" s="1"/>
  <c r="G1159" i="1"/>
  <c r="G1158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555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330" i="1" s="1"/>
  <c r="J1414" i="1" l="1"/>
  <c r="J1562" i="1"/>
  <c r="K1414" i="1"/>
  <c r="K1183" i="1"/>
  <c r="K1562" i="1"/>
  <c r="J1658" i="1"/>
  <c r="J1659" i="1" s="1"/>
  <c r="K1609" i="1"/>
  <c r="K1658" i="1"/>
  <c r="K1659" i="1" s="1"/>
  <c r="J1609" i="1"/>
  <c r="K1160" i="1"/>
  <c r="J1653" i="1"/>
  <c r="J1161" i="1"/>
  <c r="J1603" i="1"/>
  <c r="J1556" i="1"/>
  <c r="J1512" i="1"/>
  <c r="J1555" i="1"/>
  <c r="J1602" i="1"/>
  <c r="J1652" i="1"/>
  <c r="J1160" i="1"/>
  <c r="K1511" i="1"/>
  <c r="K1602" i="1"/>
  <c r="J1511" i="1"/>
  <c r="K1415" i="1"/>
  <c r="K1610" i="1"/>
  <c r="K1184" i="1"/>
  <c r="K1331" i="1"/>
  <c r="K1563" i="1"/>
  <c r="J1610" i="1"/>
  <c r="J1563" i="1"/>
  <c r="J1331" i="1"/>
  <c r="J1415" i="1"/>
  <c r="J1184" i="1"/>
  <c r="K1603" i="1"/>
  <c r="K1556" i="1"/>
  <c r="K1653" i="1"/>
  <c r="K1512" i="1"/>
  <c r="K1161" i="1"/>
  <c r="J1330" i="1"/>
  <c r="K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<sst xmlns="http://schemas.openxmlformats.org/spreadsheetml/2006/main" count="5204" uniqueCount="2482">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</sst>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2035.xlsx" TargetMode="External"/><Relationship Id="rId2" Type="http://schemas.openxmlformats.org/officeDocument/2006/relationships/externalLinkPath" Target="file:///J:\WP07%20integrated%20modelling\STEM_Results\sps3_users_bsm_2035.xlsx" TargetMode="External"/><Relationship Id="rId1" Type="http://schemas.openxmlformats.org/officeDocument/2006/relationships/externalLinkPath" Target="/WP07%20integrated%20modelling/STEM_Results/sps3_users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NUC_Low_2035.xlsx" TargetMode="External"/><Relationship Id="rId2" Type="http://schemas.openxmlformats.org/officeDocument/2006/relationships/externalLinkPath" Target="file:///J:\WP07%20integrated%20modelling\STEM_Results\SPS3_USERS_BSM_NUC_Low_2035.xlsx" TargetMode="External"/><Relationship Id="rId1" Type="http://schemas.openxmlformats.org/officeDocument/2006/relationships/externalLinkPath" Target="/WP07%20integrated%20modelling/STEM_Results/SPS3_USERS_BSM_NUC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2.7735284292799509E-3</v>
          </cell>
          <cell r="H4">
            <v>1.3662269025468987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7.8897348046777678E-4</v>
          </cell>
          <cell r="H5">
            <v>1.3629044983309946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3.4079848418476142E-4</v>
          </cell>
          <cell r="H6">
            <v>5.4954256252362781E-4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2.0977090180150865E-4</v>
          </cell>
          <cell r="H7">
            <v>3.0693993272379777E-4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3.5053156142840947E-4</v>
          </cell>
          <cell r="H8">
            <v>5.6814406034445667E-4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3.5529581806058167E-4</v>
          </cell>
          <cell r="H9">
            <v>6.3722108750682003E-4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3.8791557630052663E-4</v>
          </cell>
          <cell r="H10">
            <v>7.1113277339778349E-4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3.4024260703638572E-4</v>
          </cell>
          <cell r="H11">
            <v>5.4942379940800805E-4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1.1785631856895755E-2</v>
          </cell>
          <cell r="G12">
            <v>1.4240661562472952E-2</v>
          </cell>
          <cell r="H12">
            <v>1.4438100153785856E-2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1.1785631856895755E-2</v>
          </cell>
          <cell r="G13">
            <v>1.4240661562472952E-2</v>
          </cell>
          <cell r="H13">
            <v>1.4438100153785856E-2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1.53289100048331E-3</v>
          </cell>
          <cell r="G14">
            <v>5.7024428453085903E-6</v>
          </cell>
          <cell r="H14">
            <v>3.8229237936184598E-4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1.53289100048331E-3</v>
          </cell>
          <cell r="G15">
            <v>1.53289100048331E-3</v>
          </cell>
          <cell r="H15">
            <v>1.53289100048331E-3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3.2682368591828381</v>
          </cell>
          <cell r="F16">
            <v>3.8319960552868402</v>
          </cell>
          <cell r="G16">
            <v>0.30768276463054328</v>
          </cell>
          <cell r="H16">
            <v>0.26820077425479188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3.2682368591828381</v>
          </cell>
          <cell r="F17">
            <v>3.8319960552868402</v>
          </cell>
          <cell r="G17">
            <v>0.30768276463054328</v>
          </cell>
          <cell r="H17">
            <v>0.26820077425479188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0.66997432288065795</v>
          </cell>
          <cell r="F18">
            <v>0.51983940231616066</v>
          </cell>
          <cell r="G18">
            <v>0.39631787155220649</v>
          </cell>
          <cell r="H18">
            <v>3.1844582971297664E-2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2.0850547470135763</v>
          </cell>
          <cell r="F19">
            <v>1.5149097284093107</v>
          </cell>
          <cell r="G19">
            <v>1.0372661137202133</v>
          </cell>
          <cell r="H19">
            <v>6.7586136868820298E-2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108.965403704807</v>
          </cell>
          <cell r="F20">
            <v>83.303819120011298</v>
          </cell>
          <cell r="G20">
            <v>63.063711346811203</v>
          </cell>
          <cell r="H20">
            <v>5.0310291805327498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1.9320107039859387</v>
          </cell>
          <cell r="F21">
            <v>1.4770180695037476</v>
          </cell>
          <cell r="G21">
            <v>1.1181509104044527</v>
          </cell>
          <cell r="H21">
            <v>8.9202645044906881E-2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6.5628446974712297E-6</v>
          </cell>
          <cell r="G22">
            <v>1.4910926108404401E-5</v>
          </cell>
          <cell r="H22">
            <v>2.52564296121355E-3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3.1430827846293606E-2</v>
          </cell>
          <cell r="F23">
            <v>2.3409553840320979E-2</v>
          </cell>
          <cell r="G23">
            <v>1.5209696442908781E-2</v>
          </cell>
          <cell r="H23">
            <v>7.1558989531641283E-3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6.7991000733317817</v>
          </cell>
          <cell r="F24">
            <v>9.2342002894526339E-4</v>
          </cell>
          <cell r="G24">
            <v>7.8876384854330859E-4</v>
          </cell>
          <cell r="H24">
            <v>3.7447151087189202E-4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6.7991000733317817</v>
          </cell>
          <cell r="F25">
            <v>9.2342002894526339E-4</v>
          </cell>
          <cell r="G25">
            <v>7.8876384854330859E-4</v>
          </cell>
          <cell r="H25">
            <v>3.7447151087189202E-4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1.88553666971995E-6</v>
          </cell>
          <cell r="F26">
            <v>1.5490070073938801E-6</v>
          </cell>
          <cell r="G26">
            <v>1.80595985701215E-6</v>
          </cell>
          <cell r="H26">
            <v>1.8661070749679099E-6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1.4629524526864124</v>
          </cell>
          <cell r="F27">
            <v>9.6399141839009772E-4</v>
          </cell>
          <cell r="G27">
            <v>9.3233947285997765E-4</v>
          </cell>
          <cell r="H27">
            <v>8.7946702597285764E-4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2.4052570588972149E-3</v>
          </cell>
          <cell r="F28">
            <v>2.3933576070637235E-3</v>
          </cell>
          <cell r="G28">
            <v>9.7377013613128879E-2</v>
          </cell>
          <cell r="H28">
            <v>0.22779128068509777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2.4052570588972118E-3</v>
          </cell>
          <cell r="F29">
            <v>2.3933576070637201E-3</v>
          </cell>
          <cell r="G29">
            <v>9.7377013613128768E-2</v>
          </cell>
          <cell r="H29">
            <v>0.22779128068509741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2.6693085003377426E-3</v>
          </cell>
          <cell r="F30">
            <v>2.6545947477181831E-3</v>
          </cell>
          <cell r="G30">
            <v>0.10768700320957836</v>
          </cell>
          <cell r="H30">
            <v>0.25190748012004099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2.6693085003377426E-3</v>
          </cell>
          <cell r="F31">
            <v>2.6545947477181831E-3</v>
          </cell>
          <cell r="G31">
            <v>0.10768700320957836</v>
          </cell>
          <cell r="H31">
            <v>0.25190748012004099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9.8240131318258895E-4</v>
          </cell>
          <cell r="F32">
            <v>1.62911346653785E-6</v>
          </cell>
          <cell r="G32">
            <v>0.12311796918656399</v>
          </cell>
          <cell r="H32">
            <v>1.00673290122825E-3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9.8470536844521054E-4</v>
          </cell>
          <cell r="F33">
            <v>9.8579329625242645E-4</v>
          </cell>
          <cell r="G33">
            <v>0.12410281356768019</v>
          </cell>
          <cell r="H33">
            <v>0.12484351272563397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4.1200411196255836E-5</v>
          </cell>
          <cell r="F34">
            <v>5.2818621806819564E-5</v>
          </cell>
          <cell r="G34">
            <v>0.45318444970712213</v>
          </cell>
          <cell r="H34">
            <v>0.21222028243430588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4.1200411196255775E-5</v>
          </cell>
          <cell r="F35">
            <v>5.2775484756699058E-5</v>
          </cell>
          <cell r="G35">
            <v>0.45260640831718918</v>
          </cell>
          <cell r="H35">
            <v>0.21222028243430624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3.3909798240697097E-5</v>
          </cell>
          <cell r="F36">
            <v>6.5134408877067732E-5</v>
          </cell>
          <cell r="G36">
            <v>0.53949168071344722</v>
          </cell>
          <cell r="H36">
            <v>0.24392822955322191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3.3909798240697097E-5</v>
          </cell>
          <cell r="F37">
            <v>6.5134408877067732E-5</v>
          </cell>
          <cell r="G37">
            <v>0.53949168071344722</v>
          </cell>
          <cell r="H37">
            <v>0.24392822955322191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7.4317913127728103E-3</v>
          </cell>
          <cell r="F38">
            <v>1.28123255337563E-4</v>
          </cell>
          <cell r="G38">
            <v>2.0948749367260398E-2</v>
          </cell>
          <cell r="H38">
            <v>2.9209716075442798E-5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7.4317913127728103E-3</v>
          </cell>
          <cell r="F39">
            <v>7.5540119165229142E-3</v>
          </cell>
          <cell r="G39">
            <v>2.8486175181875531E-2</v>
          </cell>
          <cell r="H39">
            <v>2.0103373134152221E-2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1.5800763640924371E-3</v>
          </cell>
          <cell r="H40">
            <v>2.1156176936920554E-3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4.5357920834563601E-4</v>
          </cell>
          <cell r="H41">
            <v>8.3535669619852482E-4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1.784436908533918E-4</v>
          </cell>
          <cell r="H42">
            <v>1.6829753824975659E-4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1.2979259865106787E-4</v>
          </cell>
          <cell r="H43">
            <v>1.2626088607843521E-4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1.8346874411697491E-4</v>
          </cell>
          <cell r="H44">
            <v>1.7299278005078421E-4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2.2161895706213194E-4</v>
          </cell>
          <cell r="H45">
            <v>2.9555212391100811E-4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2.3497023601723335E-4</v>
          </cell>
          <cell r="H46">
            <v>3.4875595557622662E-4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1.7820292904600148E-4</v>
          </cell>
          <cell r="H47">
            <v>1.6840171362731866E-4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1.4573013630055099E-6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1.4573013630055099E-6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2.3644084781318602E-3</v>
          </cell>
          <cell r="F52">
            <v>2.3532494802306785E-3</v>
          </cell>
          <cell r="G52">
            <v>7.4956236887759889E-2</v>
          </cell>
          <cell r="H52">
            <v>0.17059199404176834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2.3644084781318576E-3</v>
          </cell>
          <cell r="F53">
            <v>2.3532494802306755E-3</v>
          </cell>
          <cell r="G53">
            <v>7.495623688775982E-2</v>
          </cell>
          <cell r="H53">
            <v>0.17059199404176825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2.6241354928878912E-3</v>
          </cell>
          <cell r="F54">
            <v>2.6102405822054199E-3</v>
          </cell>
          <cell r="G54">
            <v>8.2892664609824654E-2</v>
          </cell>
          <cell r="H54">
            <v>0.18865279450622618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2.6241354928878912E-3</v>
          </cell>
          <cell r="F55">
            <v>2.6102405822054199E-3</v>
          </cell>
          <cell r="G55">
            <v>8.2892664609824654E-2</v>
          </cell>
          <cell r="H55">
            <v>0.18865279450622618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9.6546638177292805E-4</v>
          </cell>
          <cell r="F56">
            <v>1.62035577327009E-6</v>
          </cell>
          <cell r="G56">
            <v>6.8541178137281805E-2</v>
          </cell>
          <cell r="H56">
            <v>1.2020908725319001E-3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9.675135389452178E-4</v>
          </cell>
          <cell r="F57">
            <v>9.6859180723921014E-4</v>
          </cell>
          <cell r="G57">
            <v>6.9508735477695871E-2</v>
          </cell>
          <cell r="H57">
            <v>7.0449600889671546E-2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5.4466715126198308E-2</v>
          </cell>
          <cell r="G65">
            <v>3.5711495836613133E-3</v>
          </cell>
          <cell r="H65">
            <v>0.23385493386082948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3.4074405922365978</v>
          </cell>
          <cell r="F66">
            <v>3.8270029590154051</v>
          </cell>
          <cell r="G66">
            <v>4.9764932432237199</v>
          </cell>
          <cell r="H66">
            <v>7.677571038456442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3.1778993984305051</v>
          </cell>
          <cell r="F67">
            <v>3.5391925463488261</v>
          </cell>
          <cell r="G67">
            <v>1.6103467066989563</v>
          </cell>
          <cell r="H67">
            <v>3.4789195902504368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1.7546676820982634</v>
          </cell>
          <cell r="F68">
            <v>1.8956393098480724</v>
          </cell>
          <cell r="G68">
            <v>1.7334741286510529</v>
          </cell>
          <cell r="H68">
            <v>0.44271225407685155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0.35009787701331513</v>
          </cell>
          <cell r="G69">
            <v>6.0672042515624705E-2</v>
          </cell>
          <cell r="H69">
            <v>0.34396031958785461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9.2187365305507978</v>
          </cell>
          <cell r="F70">
            <v>10.684817876687006</v>
          </cell>
          <cell r="G70">
            <v>9.2473229586531289</v>
          </cell>
          <cell r="H70">
            <v>13.380504964942718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0.62767383332504401</v>
          </cell>
          <cell r="F71">
            <v>3.39853960901903E-6</v>
          </cell>
          <cell r="G71">
            <v>7.9665228475390904E-7</v>
          </cell>
          <cell r="H71">
            <v>0.154291214714672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0.62767383332504401</v>
          </cell>
          <cell r="F72">
            <v>0.62767723186465396</v>
          </cell>
          <cell r="G72">
            <v>0.62767802851693799</v>
          </cell>
          <cell r="H72">
            <v>0.78196924323161099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1.3973349678042394E-2</v>
          </cell>
          <cell r="F73">
            <v>1.4389256317873909E-4</v>
          </cell>
          <cell r="G73">
            <v>1.0429760825561341E-2</v>
          </cell>
          <cell r="H73">
            <v>1.4921142411107011E-2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1.3973349678042422E-2</v>
          </cell>
          <cell r="F74">
            <v>1.4379669871293068E-4</v>
          </cell>
          <cell r="G74">
            <v>1.0418907796606546E-2</v>
          </cell>
          <cell r="H74">
            <v>1.4921142411107011E-2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1.8648087810911734E-2</v>
          </cell>
          <cell r="F75">
            <v>1.904214374171841E-4</v>
          </cell>
          <cell r="G75">
            <v>1.3453517177231067E-2</v>
          </cell>
          <cell r="H75">
            <v>1.8653547377234941E-2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1.8648087810911734E-2</v>
          </cell>
          <cell r="F76">
            <v>1.904214374171841E-4</v>
          </cell>
          <cell r="G76">
            <v>1.3453517177231067E-2</v>
          </cell>
          <cell r="H76">
            <v>1.8653547377234941E-2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4.2051865881910303E-3</v>
          </cell>
          <cell r="F77">
            <v>5.4025568148171703E-5</v>
          </cell>
          <cell r="G77">
            <v>5.17688702683631E-5</v>
          </cell>
          <cell r="H77">
            <v>3.6042042373030999E-5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4.2051865881910303E-3</v>
          </cell>
          <cell r="F78">
            <v>4.2520592112743026E-3</v>
          </cell>
          <cell r="G78">
            <v>4.2823191237884523E-3</v>
          </cell>
          <cell r="H78">
            <v>4.2561636659215162E-3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2.138856398371997E-3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7.9229585594819691E-4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0.22799847424140635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7.2008015075168197E-5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7.2008015075168197E-5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3.5600254872178341</v>
          </cell>
          <cell r="F84">
            <v>3.4647226795167949</v>
          </cell>
          <cell r="G84">
            <v>0.98900736887270957</v>
          </cell>
          <cell r="H84">
            <v>4.4505442796075246E-4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330.01436266509302</v>
          </cell>
          <cell r="F85">
            <v>321.179792391207</v>
          </cell>
          <cell r="G85">
            <v>91.680983094500206</v>
          </cell>
          <cell r="H85">
            <v>4.1256545471961698E-2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3.5600254872178341</v>
          </cell>
          <cell r="F86">
            <v>3.4647226795167949</v>
          </cell>
          <cell r="G86">
            <v>0.98900736887270957</v>
          </cell>
          <cell r="H86">
            <v>4.4505442796075246E-4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3.3924589816785824E-4</v>
          </cell>
          <cell r="F87">
            <v>2.3523556454371999E-4</v>
          </cell>
          <cell r="G87">
            <v>1.4013499077956037E-4</v>
          </cell>
          <cell r="H87">
            <v>2.4231933858225667E-3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3.3924589816785943E-4</v>
          </cell>
          <cell r="F88">
            <v>2.3507884531351155E-4</v>
          </cell>
          <cell r="G88">
            <v>1.3998916872880139E-4</v>
          </cell>
          <cell r="H88">
            <v>2.4231933858225667E-3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2.6676582798182804E-4</v>
          </cell>
          <cell r="F89">
            <v>1.5946773189985344E-4</v>
          </cell>
          <cell r="G89">
            <v>1.1252114956279953E-4</v>
          </cell>
          <cell r="H89">
            <v>3.0311110956254563E-3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2.6676582798182804E-4</v>
          </cell>
          <cell r="F90">
            <v>1.5946773189985344E-4</v>
          </cell>
          <cell r="G90">
            <v>1.1252114956279953E-4</v>
          </cell>
          <cell r="H90">
            <v>3.0311110956254563E-3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4.1070957209850302E-3</v>
          </cell>
          <cell r="F91">
            <v>9.4016784893093705E-5</v>
          </cell>
          <cell r="G91">
            <v>1.28740851182202E-4</v>
          </cell>
          <cell r="H91">
            <v>2.8687825776471199E-4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4.1070957209850302E-3</v>
          </cell>
          <cell r="F92">
            <v>4.1896178442141436E-3</v>
          </cell>
          <cell r="G92">
            <v>4.2854412996151271E-3</v>
          </cell>
          <cell r="H92">
            <v>4.5240570435628189E-3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H109">
            <v>4.3749353385729897E-2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H110">
            <v>3.6488822398310946E-4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H111">
            <v>3.257930571277762E-4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H112">
            <v>7.7569775506613461E-4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H113">
            <v>2.8868446686515601E-5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H114">
            <v>2.8868446686515601E-5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311.74953367809201</v>
          </cell>
          <cell r="F115">
            <v>189.40884217273</v>
          </cell>
          <cell r="G115">
            <v>247.17443860440301</v>
          </cell>
          <cell r="H115">
            <v>324.84255311875597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5.7223458653154369</v>
          </cell>
          <cell r="F116">
            <v>3.3476273694630714</v>
          </cell>
          <cell r="G116">
            <v>4.3717986698159246</v>
          </cell>
          <cell r="H116">
            <v>7.1760493147862023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5.5274740013846024</v>
          </cell>
          <cell r="F118">
            <v>3.3583128044810246</v>
          </cell>
          <cell r="G118">
            <v>4.3825255071702767</v>
          </cell>
          <cell r="H118">
            <v>5.7596197361481458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0.21315258212183885</v>
          </cell>
          <cell r="F119">
            <v>2.8084677064643961E-5</v>
          </cell>
          <cell r="G119">
            <v>3.2394200383678339E-3</v>
          </cell>
          <cell r="H119">
            <v>1.4393597740349442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1.7916298397926302E-5</v>
          </cell>
          <cell r="F121">
            <v>7.12429847926048E-7</v>
          </cell>
          <cell r="G121">
            <v>9.0375622294967698E-7</v>
          </cell>
          <cell r="H121">
            <v>1.3850546994519399E-6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1.0275299108393781</v>
          </cell>
          <cell r="F122">
            <v>1.0275306232692258</v>
          </cell>
          <cell r="G122">
            <v>1.0275315270254488</v>
          </cell>
          <cell r="H122">
            <v>1.0275329120801484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689.99897056549298</v>
          </cell>
          <cell r="F123">
            <v>659.57605228325201</v>
          </cell>
          <cell r="G123">
            <v>623.10286063849503</v>
          </cell>
          <cell r="H123">
            <v>416.70060381181202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9.2059047983095557</v>
          </cell>
          <cell r="F124">
            <v>8.8000049327437644</v>
          </cell>
          <cell r="G124">
            <v>8.3138011649478472</v>
          </cell>
          <cell r="H124">
            <v>6.5642485088642974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9.362265543629487</v>
          </cell>
          <cell r="F125">
            <v>8.949471537086179</v>
          </cell>
          <cell r="G125">
            <v>8.4545842691790298</v>
          </cell>
          <cell r="H125">
            <v>5.6540109065374669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4.2541085463651979E-4</v>
          </cell>
          <cell r="H126">
            <v>1.0217302596808999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1.7329088002385731</v>
          </cell>
          <cell r="F127">
            <v>2.8583756915671827</v>
          </cell>
          <cell r="G127">
            <v>6.9897156225164712E-3</v>
          </cell>
          <cell r="H127">
            <v>6.1208971189790127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114.384087005748</v>
          </cell>
          <cell r="F128">
            <v>188.672764403023</v>
          </cell>
          <cell r="G128">
            <v>0.46137006159890898</v>
          </cell>
          <cell r="H128">
            <v>404.02197075468803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2.0280866490380944</v>
          </cell>
          <cell r="F129">
            <v>3.3452617801954414</v>
          </cell>
          <cell r="G129">
            <v>8.1803202411154154E-3</v>
          </cell>
          <cell r="H129">
            <v>7.1635101197639797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2.9642487449253899E-5</v>
          </cell>
          <cell r="F130">
            <v>2.5761611577583101E-5</v>
          </cell>
          <cell r="G130">
            <v>5.0475784923708401E-5</v>
          </cell>
          <cell r="H130">
            <v>0.61317024470478798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0.36309642753328031</v>
          </cell>
          <cell r="F131">
            <v>0.3627295996913048</v>
          </cell>
          <cell r="G131">
            <v>0.3627407885382215</v>
          </cell>
          <cell r="H131">
            <v>0.776374756251201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15.013813524265686</v>
          </cell>
          <cell r="F132">
            <v>6.7542711417497427</v>
          </cell>
          <cell r="G132">
            <v>4.0856243113272521</v>
          </cell>
          <cell r="H132">
            <v>4.9740521969389491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15.013813524265686</v>
          </cell>
          <cell r="F133">
            <v>6.7542711417497427</v>
          </cell>
          <cell r="G133">
            <v>4.0856243113272521</v>
          </cell>
          <cell r="H133">
            <v>4.9740521969389491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2.3291770163809299E-6</v>
          </cell>
          <cell r="F134">
            <v>1.96198932586583E-6</v>
          </cell>
          <cell r="G134">
            <v>2.7185837268000702E-6</v>
          </cell>
          <cell r="H134">
            <v>4.6581049362964298E-6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0.84388494527569802</v>
          </cell>
          <cell r="F135">
            <v>0.84384453332951503</v>
          </cell>
          <cell r="G135">
            <v>0.84384147364249396</v>
          </cell>
          <cell r="H135">
            <v>0.84384211763257577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1.434960847414793</v>
          </cell>
          <cell r="F136">
            <v>1.2995355533268491</v>
          </cell>
          <cell r="G136">
            <v>1.2158262882916275</v>
          </cell>
          <cell r="H136">
            <v>1.2901766942040656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14.461267807514632</v>
          </cell>
          <cell r="F137">
            <v>13.051649634971081</v>
          </cell>
          <cell r="G137">
            <v>12.148021152353042</v>
          </cell>
          <cell r="H137">
            <v>12.779637702077476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2843.25706007087</v>
          </cell>
          <cell r="F138">
            <v>2574.9229628574099</v>
          </cell>
          <cell r="G138">
            <v>2409.0599295673101</v>
          </cell>
          <cell r="H138">
            <v>2556.3791521861899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30.638545905936116</v>
          </cell>
          <cell r="F139">
            <v>27.747014685963414</v>
          </cell>
          <cell r="G139">
            <v>25.959697516889161</v>
          </cell>
          <cell r="H139">
            <v>27.547189139937412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3.5238170607046602E-7</v>
          </cell>
          <cell r="G140">
            <v>2.9720651437494899E-7</v>
          </cell>
          <cell r="H140">
            <v>1.9910921805315698E-6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7.1001927006362847E-2</v>
          </cell>
          <cell r="G141">
            <v>7.048924537128215E-2</v>
          </cell>
          <cell r="H141">
            <v>7.048992092815029E-2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5.2462005380130403</v>
          </cell>
          <cell r="F142">
            <v>0.27957583831036897</v>
          </cell>
          <cell r="G142">
            <v>1.23679531819501</v>
          </cell>
          <cell r="H142">
            <v>1.07265817618724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1.7701694873177368E-2</v>
          </cell>
          <cell r="F143">
            <v>1.3156297751517189E-3</v>
          </cell>
          <cell r="G143">
            <v>4.7444896517576125E-3</v>
          </cell>
          <cell r="H143">
            <v>4.706801698792752E-3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4.2615191361352965E-2</v>
          </cell>
          <cell r="F144">
            <v>3.1352362472398666E-3</v>
          </cell>
          <cell r="G144">
            <v>1.1133233653727518E-2</v>
          </cell>
          <cell r="H144">
            <v>1.0758403882954889E-2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9.3017740035692284E-2</v>
          </cell>
          <cell r="F145">
            <v>4.9570184097583077E-3</v>
          </cell>
          <cell r="G145">
            <v>2.1928995003457651E-2</v>
          </cell>
          <cell r="H145">
            <v>1.9018761989135449E-2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5.1734839353411696E-7</v>
          </cell>
          <cell r="G146">
            <v>4.00684319050127E-5</v>
          </cell>
          <cell r="H146">
            <v>2.20115196227166E-5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4.1473070480830326E-3</v>
          </cell>
          <cell r="F147">
            <v>3.9577237539968396E-4</v>
          </cell>
          <cell r="G147">
            <v>4.3100275313868292E-4</v>
          </cell>
          <cell r="H147">
            <v>4.4787631578465845E-4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9.7137812026831328E-4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2.583961502191574E-3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0.22845397822276689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8.9773399850448402E-5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8.9773399850448402E-5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28.948628668426434</v>
          </cell>
          <cell r="F153">
            <v>20.158518745120439</v>
          </cell>
          <cell r="G153">
            <v>25.525986122735212</v>
          </cell>
          <cell r="H153">
            <v>17.719733799112877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28.948628668426434</v>
          </cell>
          <cell r="F154">
            <v>20.158518745120439</v>
          </cell>
          <cell r="G154">
            <v>25.525986122735212</v>
          </cell>
          <cell r="H154">
            <v>17.719733799112877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2.6837583992014998E-6</v>
          </cell>
          <cell r="F155">
            <v>2.2654705769535001E-6</v>
          </cell>
          <cell r="G155">
            <v>2.33212804374917E-6</v>
          </cell>
          <cell r="H155">
            <v>2.2493262854540001E-6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1.6999960485550931</v>
          </cell>
          <cell r="F156">
            <v>1.6999924345485242</v>
          </cell>
          <cell r="G156">
            <v>1.6999910763209827</v>
          </cell>
          <cell r="H156">
            <v>1.699992049614796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H165">
            <v>0.217458172593746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H166">
            <v>1.8136936948244355E-3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H167">
            <v>1.61936937037896E-3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H168">
            <v>3.8556413580451421E-3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H169">
            <v>1.44097786299906E-4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H170">
            <v>1.44097786299906E-4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3.4278371860240069E-3</v>
          </cell>
          <cell r="G171">
            <v>5.4482283327440852E-3</v>
          </cell>
          <cell r="H171">
            <v>5.4498965621613167E-3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3.4278371860240069E-3</v>
          </cell>
          <cell r="G172">
            <v>5.4482283327440852E-3</v>
          </cell>
          <cell r="H172">
            <v>5.4498965621613167E-3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3.09114829360512E-4</v>
          </cell>
          <cell r="G173">
            <v>1.9150507097978801E-4</v>
          </cell>
          <cell r="H173">
            <v>1.06261304901823E-7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3.09114829360512E-4</v>
          </cell>
          <cell r="G174">
            <v>5.0061990034030003E-4</v>
          </cell>
          <cell r="H174">
            <v>5.0072616164520195E-4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0.11258831588897818</v>
          </cell>
          <cell r="F175">
            <v>0.12476475197978865</v>
          </cell>
          <cell r="G175">
            <v>0.12058173718996097</v>
          </cell>
          <cell r="H175">
            <v>0.13492647229875715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5.6294157944489127</v>
          </cell>
          <cell r="F176">
            <v>6.2382375989894205</v>
          </cell>
          <cell r="G176">
            <v>6.0290868594980545</v>
          </cell>
          <cell r="H176">
            <v>6.7463236149378574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9.6793783574267227</v>
          </cell>
          <cell r="F177">
            <v>10.726203963062384</v>
          </cell>
          <cell r="G177">
            <v>10.366584205845502</v>
          </cell>
          <cell r="H177">
            <v>11.599821575627438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4.1012933118570703E-3</v>
          </cell>
          <cell r="F178">
            <v>2.2997109440416399E-2</v>
          </cell>
          <cell r="G178">
            <v>1.43102417532961E-6</v>
          </cell>
          <cell r="H178">
            <v>9.2781886924524298E-2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0.21267114408685103</v>
          </cell>
          <cell r="F179">
            <v>0.23566725665918242</v>
          </cell>
          <cell r="G179">
            <v>0.23566270190279745</v>
          </cell>
          <cell r="H179">
            <v>0.25486145075273237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3.294455230325338</v>
          </cell>
          <cell r="G188">
            <v>9.9665846953120827</v>
          </cell>
          <cell r="H188">
            <v>10.737712477235423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3.294455230325338</v>
          </cell>
          <cell r="G189">
            <v>9.9665846953120827</v>
          </cell>
          <cell r="H189">
            <v>10.737712477235423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3.2944552303253398</v>
          </cell>
          <cell r="G190">
            <v>9.9665846953120898</v>
          </cell>
          <cell r="H190">
            <v>10.7377124772354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6.56589247181998E-8</v>
          </cell>
          <cell r="G191">
            <v>2.00470953079645</v>
          </cell>
          <cell r="H191">
            <v>6.9246280900126697E-7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1.1231013272269348</v>
          </cell>
          <cell r="G192">
            <v>3.1799385964553704</v>
          </cell>
          <cell r="H192">
            <v>3.0953694671588599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5.610004555986424</v>
          </cell>
          <cell r="F193">
            <v>6.0767044152306786</v>
          </cell>
          <cell r="G193">
            <v>6.020905176280162</v>
          </cell>
          <cell r="H193">
            <v>9.8742396885031454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6.0987806866304934</v>
          </cell>
          <cell r="F194">
            <v>6.6044059700941125</v>
          </cell>
          <cell r="G194">
            <v>6.5411824674962435</v>
          </cell>
          <cell r="H194">
            <v>10.720449690985845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0.84970034805205596</v>
          </cell>
          <cell r="F195">
            <v>1.5116050326655199E-7</v>
          </cell>
          <cell r="G195">
            <v>1.78502897685428E-7</v>
          </cell>
          <cell r="H195">
            <v>2.1372545471695801E-7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0.84970034805205596</v>
          </cell>
          <cell r="F196">
            <v>0.84970049921255897</v>
          </cell>
          <cell r="G196">
            <v>0.84970067771545699</v>
          </cell>
          <cell r="H196">
            <v>0.84970089144091199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1.2559084664460164E-3</v>
          </cell>
          <cell r="G197">
            <v>1.1693226728043304E-2</v>
          </cell>
          <cell r="H197">
            <v>0.4643830132448204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1.2559084664460164E-3</v>
          </cell>
          <cell r="G198">
            <v>1.1693226728043304E-2</v>
          </cell>
          <cell r="H198">
            <v>0.4643830132448204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1.06170780157322E-4</v>
          </cell>
          <cell r="G199">
            <v>6.7631491519228796E-4</v>
          </cell>
          <cell r="H199">
            <v>2.6703857744431701E-2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1.06170780157322E-4</v>
          </cell>
          <cell r="G200">
            <v>7.8248569534961E-4</v>
          </cell>
          <cell r="H200">
            <v>2.7486343439781302E-2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5.0899696196246378E-3</v>
          </cell>
          <cell r="G201">
            <v>5.627995274328973E-2</v>
          </cell>
          <cell r="H201">
            <v>6.0052328170902489E-2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5.0899696196246378E-3</v>
          </cell>
          <cell r="G202">
            <v>5.627995274328973E-2</v>
          </cell>
          <cell r="H202">
            <v>6.0052328170902489E-2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4.4037615106873502E-4</v>
          </cell>
          <cell r="G203">
            <v>4.5806082239877302E-3</v>
          </cell>
          <cell r="H203">
            <v>3.2148004938622897E-8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4.4037615106873502E-4</v>
          </cell>
          <cell r="G204">
            <v>5.0209843750564703E-3</v>
          </cell>
          <cell r="H204">
            <v>5.0210165230614003E-3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0.65959430772421512</v>
          </cell>
          <cell r="F205">
            <v>0.56585285529137075</v>
          </cell>
          <cell r="G205">
            <v>4.2563543939021944</v>
          </cell>
          <cell r="H205">
            <v>6.6414850341032015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0.17246873554716075</v>
          </cell>
          <cell r="F206">
            <v>0.16247909054894485</v>
          </cell>
          <cell r="G206">
            <v>1.4331611035018468</v>
          </cell>
          <cell r="H206">
            <v>3.1396111070305972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0.87273671104241346</v>
          </cell>
          <cell r="F207">
            <v>0.71952683502440296</v>
          </cell>
          <cell r="G207">
            <v>5.3479179069400002</v>
          </cell>
          <cell r="H207">
            <v>9.443422852424364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4.3353092393002999E-3</v>
          </cell>
          <cell r="G208">
            <v>4.6977105206875001E-2</v>
          </cell>
          <cell r="H208">
            <v>6.3097059263544905E-2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1.143463608844973E-2</v>
          </cell>
          <cell r="F209">
            <v>6.0141439990460191E-3</v>
          </cell>
          <cell r="G209">
            <v>5.2990930472991096E-2</v>
          </cell>
          <cell r="H209">
            <v>0.11608709586115301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2.3831166168983408E-3</v>
          </cell>
          <cell r="G210">
            <v>2.4474928229316442E-3</v>
          </cell>
          <cell r="H210">
            <v>3.9352104288171326E-3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2.3831166168983408E-3</v>
          </cell>
          <cell r="G211">
            <v>2.4474928229316442E-3</v>
          </cell>
          <cell r="H211">
            <v>3.9352104288171326E-3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2.0511708156293199E-4</v>
          </cell>
          <cell r="G212">
            <v>1.49769081064272E-4</v>
          </cell>
          <cell r="H212">
            <v>3.8071297238581499E-7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2.0511708156293199E-4</v>
          </cell>
          <cell r="G213">
            <v>2.0511708156293199E-4</v>
          </cell>
          <cell r="H213">
            <v>3.0952433271396498E-4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1.0986779648381043E-4</v>
          </cell>
          <cell r="F214">
            <v>1.6710661353316842E-4</v>
          </cell>
          <cell r="G214">
            <v>1.7068746953726474E-4</v>
          </cell>
          <cell r="H214">
            <v>8.6128387817240391E-3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1.0986779648381064E-4</v>
          </cell>
          <cell r="F215">
            <v>1.6724320131434505E-4</v>
          </cell>
          <cell r="G215">
            <v>1.7090546119695479E-4</v>
          </cell>
          <cell r="H215">
            <v>8.61283878172402E-3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1.0986779648381064E-4</v>
          </cell>
          <cell r="F216">
            <v>1.6724320131434505E-4</v>
          </cell>
          <cell r="G216">
            <v>1.7090546119695479E-4</v>
          </cell>
          <cell r="H216">
            <v>9.8899769638610569E-3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1.0986779648381064E-4</v>
          </cell>
          <cell r="F217">
            <v>1.6724320131434505E-4</v>
          </cell>
          <cell r="G217">
            <v>1.7090546119695479E-4</v>
          </cell>
          <cell r="H217">
            <v>9.8899769638610569E-3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2.3309657916368602E-3</v>
          </cell>
          <cell r="F218">
            <v>6.9026871958406696E-5</v>
          </cell>
          <cell r="G218">
            <v>1.10684939289854E-4</v>
          </cell>
          <cell r="H218">
            <v>2.53927160590855E-4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2.3309657916368602E-3</v>
          </cell>
          <cell r="F219">
            <v>2.3926749838766555E-3</v>
          </cell>
          <cell r="G219">
            <v>2.4852965835389495E-3</v>
          </cell>
          <cell r="H219">
            <v>2.7003249654283692E-3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4.5633681491900233E-5</v>
          </cell>
          <cell r="G220">
            <v>1.6793895468017763</v>
          </cell>
          <cell r="H220">
            <v>1.8587619301819516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4.5633681491900233E-5</v>
          </cell>
          <cell r="G221">
            <v>1.6793895468017763</v>
          </cell>
          <cell r="H221">
            <v>1.8587619301819516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4.5633681491900301E-5</v>
          </cell>
          <cell r="G222">
            <v>1.6793895468017801</v>
          </cell>
          <cell r="H222">
            <v>1.85876193018195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1.5561777747234602E-5</v>
          </cell>
          <cell r="G223">
            <v>0.53581076295201102</v>
          </cell>
          <cell r="H223">
            <v>7.0182234627142298E-7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1.5561777747234602E-5</v>
          </cell>
          <cell r="G224">
            <v>0.535826324729758</v>
          </cell>
          <cell r="H224">
            <v>0.53582702655210401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0.96588279753660633</v>
          </cell>
          <cell r="F225">
            <v>4.9219561132103976E-4</v>
          </cell>
          <cell r="G225">
            <v>1.1098038514362185</v>
          </cell>
          <cell r="H225">
            <v>2.1734882426662681E-3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1.8035550439674291</v>
          </cell>
          <cell r="F226">
            <v>9.4578092083984471E-4</v>
          </cell>
          <cell r="G226">
            <v>2.2229329830406335</v>
          </cell>
          <cell r="H226">
            <v>4.6485084160176925E-3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208.35621979804199</v>
          </cell>
          <cell r="F227">
            <v>0.13341923469441799</v>
          </cell>
          <cell r="G227">
            <v>246.10807491601901</v>
          </cell>
          <cell r="H227">
            <v>0.52579206427423597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3.694259216277342</v>
          </cell>
          <cell r="F228">
            <v>2.3655892676315276E-3</v>
          </cell>
          <cell r="G228">
            <v>4.363618349574808</v>
          </cell>
          <cell r="H228">
            <v>9.3225543311034834E-3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9.1516469615322401E-7</v>
          </cell>
          <cell r="G229">
            <v>4.1257267696477098E-2</v>
          </cell>
          <cell r="H229">
            <v>3.3513993542295902E-6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4.7994061282120096E-2</v>
          </cell>
          <cell r="F230">
            <v>1.6768985044245122E-4</v>
          </cell>
          <cell r="G230">
            <v>4.1424492747650879E-2</v>
          </cell>
          <cell r="H230">
            <v>7.3943005939039463E-4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12.841922638207519</v>
          </cell>
          <cell r="F231">
            <v>16.032984915928125</v>
          </cell>
          <cell r="G231">
            <v>2.0769031633706123</v>
          </cell>
          <cell r="H231">
            <v>35.205062952525687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12.841922638207519</v>
          </cell>
          <cell r="F232">
            <v>16.032984915928125</v>
          </cell>
          <cell r="G232">
            <v>2.0769031633706123</v>
          </cell>
          <cell r="H232">
            <v>35.205062952525687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16.05240518163934</v>
          </cell>
          <cell r="F233">
            <v>20.041231910243472</v>
          </cell>
          <cell r="G233">
            <v>2.5961289911579244</v>
          </cell>
          <cell r="H233">
            <v>44.006327590033059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16.05240518163934</v>
          </cell>
          <cell r="F234">
            <v>20.041231910243472</v>
          </cell>
          <cell r="G234">
            <v>2.5961289911579244</v>
          </cell>
          <cell r="H234">
            <v>44.006327590033059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3.4777336865806014E-4</v>
          </cell>
          <cell r="F236">
            <v>1.1681251207739564E-4</v>
          </cell>
          <cell r="G236">
            <v>9.4000907395587127E-3</v>
          </cell>
          <cell r="H236">
            <v>9.1099262845000615E-3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3.4777336865806079E-4</v>
          </cell>
          <cell r="F237">
            <v>1.1673468895142832E-4</v>
          </cell>
          <cell r="G237">
            <v>9.3903091675092316E-3</v>
          </cell>
          <cell r="H237">
            <v>9.1099262845000615E-3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2.7342609228397024E-4</v>
          </cell>
          <cell r="F238">
            <v>1.5403918323845728E-4</v>
          </cell>
          <cell r="G238">
            <v>1.2124910614642156E-2</v>
          </cell>
          <cell r="H238">
            <v>1.1389527219003326E-2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2.7342609228397024E-4</v>
          </cell>
          <cell r="F239">
            <v>1.5403918323845728E-4</v>
          </cell>
          <cell r="G239">
            <v>1.2124910614642156E-2</v>
          </cell>
          <cell r="H239">
            <v>1.1389527219003326E-2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3.6277328817598598E-3</v>
          </cell>
          <cell r="F240">
            <v>1.01467810263329E-4</v>
          </cell>
          <cell r="G240">
            <v>8.0078336089053006E-5</v>
          </cell>
          <cell r="H240">
            <v>4.2896184094696001E-5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3.6277328817598598E-3</v>
          </cell>
          <cell r="F241">
            <v>3.7230917726340657E-3</v>
          </cell>
          <cell r="G241">
            <v>3.7844188490006956E-3</v>
          </cell>
          <cell r="H241">
            <v>3.7686301351910405E-3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1.7995197504471256E-4</v>
          </cell>
          <cell r="F248">
            <v>4.5491667850141855E-4</v>
          </cell>
          <cell r="G248">
            <v>3.0794704665866843E-2</v>
          </cell>
          <cell r="H248">
            <v>2.5519751852080387E-3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1.7995197504471231E-4</v>
          </cell>
          <cell r="F249">
            <v>4.5454514734649876E-4</v>
          </cell>
          <cell r="G249">
            <v>3.0755425705833818E-2</v>
          </cell>
          <cell r="H249">
            <v>2.5519751852080444E-3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1.8825311889598094E-4</v>
          </cell>
          <cell r="F250">
            <v>5.5554597957632951E-4</v>
          </cell>
          <cell r="G250">
            <v>3.6666024294355282E-2</v>
          </cell>
          <cell r="H250">
            <v>2.9375435373455994E-3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1.8825311889598094E-4</v>
          </cell>
          <cell r="F251">
            <v>5.5554597957632951E-4</v>
          </cell>
          <cell r="G251">
            <v>3.6666024294355282E-2</v>
          </cell>
          <cell r="H251">
            <v>2.9375435373455994E-3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4.9276476784591303E-3</v>
          </cell>
          <cell r="F252">
            <v>5.9337567841582801E-5</v>
          </cell>
          <cell r="G252">
            <v>7.1144668445765802E-5</v>
          </cell>
          <cell r="H252">
            <v>5.0136937025886098E-5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4.9370806327287608E-3</v>
          </cell>
          <cell r="F253">
            <v>4.9852749024641759E-3</v>
          </cell>
          <cell r="G253">
            <v>5.0363832963199228E-3</v>
          </cell>
          <cell r="H253">
            <v>5.0243819478837954E-3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28.0825891718797</v>
          </cell>
          <cell r="F254">
            <v>289.75759278468502</v>
          </cell>
          <cell r="G254">
            <v>22.253455414772102</v>
          </cell>
          <cell r="H254">
            <v>0.335481108134699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0.37467540305819208</v>
          </cell>
          <cell r="F255">
            <v>3.8659199905429023</v>
          </cell>
          <cell r="G255">
            <v>0.29690361974586843</v>
          </cell>
          <cell r="H255">
            <v>4.4759590591683168E-3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0.38103920178941281</v>
          </cell>
          <cell r="F256">
            <v>3.9315819916510861</v>
          </cell>
          <cell r="G256">
            <v>0.30194647781237521</v>
          </cell>
          <cell r="H256">
            <v>4.5519824712984876E-3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66.745680187895957</v>
          </cell>
          <cell r="F257">
            <v>49.68629843959593</v>
          </cell>
          <cell r="G257">
            <v>68.943747447688793</v>
          </cell>
          <cell r="H257">
            <v>69.384551307981894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66.745680187895957</v>
          </cell>
          <cell r="F258">
            <v>49.68629843959593</v>
          </cell>
          <cell r="G258">
            <v>68.943747447688793</v>
          </cell>
          <cell r="H258">
            <v>69.384551307981894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3.3072526883623607E-4</v>
          </cell>
          <cell r="F260">
            <v>1.9193446766367555E-4</v>
          </cell>
          <cell r="G260">
            <v>1.2491503773654728E-4</v>
          </cell>
          <cell r="H260">
            <v>1.9912749410009793E-3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3.3072526883623499E-4</v>
          </cell>
          <cell r="F261">
            <v>1.9206242397545092E-4</v>
          </cell>
          <cell r="G261">
            <v>1.250451575675227E-4</v>
          </cell>
          <cell r="H261">
            <v>1.9912749410009793E-3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2.6011468522333525E-4</v>
          </cell>
          <cell r="F262">
            <v>1.3479174373353691E-4</v>
          </cell>
          <cell r="G262">
            <v>1.0043398550106815E-4</v>
          </cell>
          <cell r="H262">
            <v>2.4912130396053298E-3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2.6011468522333525E-4</v>
          </cell>
          <cell r="F263">
            <v>1.3479174373353691E-4</v>
          </cell>
          <cell r="G263">
            <v>1.0043398550106815E-4</v>
          </cell>
          <cell r="H263">
            <v>2.4912130396053298E-3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2.6355118704103099E-3</v>
          </cell>
          <cell r="F264">
            <v>6.1473332011930006E-5</v>
          </cell>
          <cell r="G264">
            <v>9.62364330774126E-5</v>
          </cell>
          <cell r="H264">
            <v>1.1145509840114199E-4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2.6355118704103099E-3</v>
          </cell>
          <cell r="F265">
            <v>2.6898870603477539E-3</v>
          </cell>
          <cell r="G265">
            <v>2.7663554197736189E-3</v>
          </cell>
          <cell r="H265">
            <v>2.8473398043833121E-3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E266">
            <v>9.1009508912161391E-3</v>
          </cell>
          <cell r="F266">
            <v>3.3768021246453994E-3</v>
          </cell>
          <cell r="G266">
            <v>3.7220042719841189E-3</v>
          </cell>
          <cell r="H266">
            <v>1.7015732556990995E-3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E267">
            <v>55.840463073881729</v>
          </cell>
          <cell r="F267">
            <v>55.650034441485552</v>
          </cell>
          <cell r="G267">
            <v>52.410416464622251</v>
          </cell>
          <cell r="H267">
            <v>50.960515614409324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E268">
            <v>8.8466697860714698E-3</v>
          </cell>
          <cell r="F268">
            <v>2.2977520105904679E-3</v>
          </cell>
          <cell r="G268">
            <v>2.6687492890588986E-3</v>
          </cell>
          <cell r="H268">
            <v>1.4515484750418752E-3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E269">
            <v>25.767829549990104</v>
          </cell>
          <cell r="F269">
            <v>55.646506000063951</v>
          </cell>
          <cell r="G269">
            <v>52.40836417287553</v>
          </cell>
          <cell r="H269">
            <v>23.349398862615747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E270">
            <v>30.090562701082167</v>
          </cell>
          <cell r="F270">
            <v>9.1931710877788727E-3</v>
          </cell>
          <cell r="G270">
            <v>8.4332214835076916E-3</v>
          </cell>
          <cell r="H270">
            <v>27.614255576817502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E271">
            <v>5.8668396498217503E-7</v>
          </cell>
          <cell r="F271">
            <v>5.9677792921638805E-7</v>
          </cell>
          <cell r="G271">
            <v>5.8790703905029103E-7</v>
          </cell>
          <cell r="H271">
            <v>6.7699367205326901E-7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E272">
            <v>4.4927373631622096</v>
          </cell>
          <cell r="F272">
            <v>4.4927375539149708</v>
          </cell>
          <cell r="G272">
            <v>4.4927385466241034</v>
          </cell>
          <cell r="H272">
            <v>4.4927395070058456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E273"/>
          <cell r="F273"/>
          <cell r="G273"/>
          <cell r="H273"/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E274"/>
          <cell r="F274"/>
          <cell r="G274"/>
          <cell r="H274"/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E275"/>
          <cell r="F275"/>
          <cell r="G275"/>
          <cell r="H275">
            <v>9.0597225997353599E-7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E276"/>
          <cell r="F276"/>
          <cell r="G276"/>
          <cell r="H276">
            <v>9.0597225997353599E-7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E277"/>
          <cell r="F277"/>
          <cell r="G277"/>
          <cell r="H277"/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E278"/>
          <cell r="F278"/>
          <cell r="G278"/>
          <cell r="H278"/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E279"/>
          <cell r="F279"/>
          <cell r="G279"/>
          <cell r="H279"/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E280"/>
          <cell r="F280"/>
          <cell r="G280"/>
          <cell r="H280">
            <v>5.3535950497004299E-8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E281"/>
          <cell r="F281"/>
          <cell r="G281"/>
          <cell r="H281">
            <v>5.3535950497004299E-8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E282">
            <v>6.5070008691642389</v>
          </cell>
          <cell r="F282">
            <v>7.302767945686452</v>
          </cell>
          <cell r="G282">
            <v>8.1987638607941804</v>
          </cell>
          <cell r="H282">
            <v>7.3981387632960764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E283">
            <v>1689.293422065</v>
          </cell>
          <cell r="F283">
            <v>1895.8838490365499</v>
          </cell>
          <cell r="G283">
            <v>2128.4948530954698</v>
          </cell>
          <cell r="H283">
            <v>1920.6432271408901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E284">
            <v>18.203592910183175</v>
          </cell>
          <cell r="F284">
            <v>20.429782855997278</v>
          </cell>
          <cell r="G284">
            <v>22.936366951459874</v>
          </cell>
          <cell r="H284">
            <v>20.696586499362994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E285"/>
          <cell r="F285">
            <v>4.5574767095773301E-7</v>
          </cell>
          <cell r="G285">
            <v>3.3385870811082297E-2</v>
          </cell>
          <cell r="H285">
            <v>3.5745708501704998E-2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E286">
            <v>0.27248343338216119</v>
          </cell>
          <cell r="F286">
            <v>0.27247913931914114</v>
          </cell>
          <cell r="G286">
            <v>0.30586043962895082</v>
          </cell>
          <cell r="H286">
            <v>0.27599271147366111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E287">
            <v>0.43674755453192288</v>
          </cell>
          <cell r="F287">
            <v>0.55207065852058268</v>
          </cell>
          <cell r="G287">
            <v>1.4655692646877225</v>
          </cell>
          <cell r="H287">
            <v>1.4655904116700709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E288">
            <v>0.43674755453192288</v>
          </cell>
          <cell r="F288">
            <v>0.55207065852058268</v>
          </cell>
          <cell r="G288">
            <v>1.4655692646877225</v>
          </cell>
          <cell r="H288">
            <v>1.4655904116700709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E289">
            <v>3.114041802991987</v>
          </cell>
          <cell r="F289">
            <v>2.8504468869368207</v>
          </cell>
          <cell r="G289">
            <v>2.4681697082491754</v>
          </cell>
          <cell r="H289">
            <v>5.4287805267195965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E290">
            <v>3.114041802991987</v>
          </cell>
          <cell r="F290">
            <v>2.8504468869368207</v>
          </cell>
          <cell r="G290">
            <v>2.4681697082491754</v>
          </cell>
          <cell r="H290">
            <v>5.4287805267195965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E291">
            <v>2.1758932587314663</v>
          </cell>
          <cell r="F291">
            <v>1.9637402507917983</v>
          </cell>
          <cell r="G291">
            <v>1.6836723089451413</v>
          </cell>
          <cell r="H291">
            <v>3.6048033668827109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E292">
            <v>3.1084189410449503</v>
          </cell>
          <cell r="F292">
            <v>2.8053432154168556</v>
          </cell>
          <cell r="G292">
            <v>2.4052461556359179</v>
          </cell>
          <cell r="H292">
            <v>5.1497190955467316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E293">
            <v>0.27599971926369599</v>
          </cell>
          <cell r="F293">
            <v>3.9318064239829101E-6</v>
          </cell>
          <cell r="G293">
            <v>7.7520412557905298E-6</v>
          </cell>
          <cell r="H293">
            <v>0.18122615310916099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E294">
            <v>0.27599971926369599</v>
          </cell>
          <cell r="F294">
            <v>0.27600365107011998</v>
          </cell>
          <cell r="G294">
            <v>0.27601140311137601</v>
          </cell>
          <cell r="H294">
            <v>0.45723755622053602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E295"/>
          <cell r="F295"/>
          <cell r="G295"/>
          <cell r="H295"/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E296"/>
          <cell r="F296"/>
          <cell r="G296"/>
          <cell r="H296"/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E297"/>
          <cell r="F297"/>
          <cell r="G297"/>
          <cell r="H297"/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E298"/>
          <cell r="F298"/>
          <cell r="G298"/>
          <cell r="H298"/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E299"/>
          <cell r="F299"/>
          <cell r="G299"/>
          <cell r="H299"/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E300"/>
          <cell r="F300"/>
          <cell r="G300"/>
          <cell r="H300"/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E301">
            <v>1523.50222637559</v>
          </cell>
          <cell r="F301">
            <v>1503.30480301278</v>
          </cell>
          <cell r="G301">
            <v>1236.23660250837</v>
          </cell>
          <cell r="H301">
            <v>832.88324273552303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E302">
            <v>27.23125615884145</v>
          </cell>
          <cell r="F302">
            <v>28.488350626999114</v>
          </cell>
          <cell r="G302">
            <v>23.016196602812368</v>
          </cell>
          <cell r="H302">
            <v>15.275557379310264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E303"/>
          <cell r="F303"/>
          <cell r="G303"/>
          <cell r="H303">
            <v>2.8001240827495318E-3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E304">
            <v>27.012450822262196</v>
          </cell>
          <cell r="F304">
            <v>26.654340478949969</v>
          </cell>
          <cell r="G304">
            <v>21.919088696956848</v>
          </cell>
          <cell r="H304">
            <v>14.767433381835515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E305">
            <v>0.30579884091181109</v>
          </cell>
          <cell r="F305">
            <v>1.925019590993795</v>
          </cell>
          <cell r="G305">
            <v>1.1706358983655436</v>
          </cell>
          <cell r="H305">
            <v>0.55699293390914051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2.7968592778135127E-3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E307">
            <v>1.86367777859949E-6</v>
          </cell>
          <cell r="F307">
            <v>2.31090115770263E-7</v>
          </cell>
          <cell r="G307">
            <v>3.1986753179846599E-7</v>
          </cell>
          <cell r="H307">
            <v>5.7759081762312998E-7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E308">
            <v>2.2350540653029189</v>
          </cell>
          <cell r="F308">
            <v>2.2350542963930344</v>
          </cell>
          <cell r="G308">
            <v>2.2350546162605665</v>
          </cell>
          <cell r="H308">
            <v>2.2350551938513838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E309"/>
          <cell r="F309"/>
          <cell r="G309"/>
          <cell r="H309">
            <v>6.3518357179132099E-4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E310"/>
          <cell r="F310"/>
          <cell r="G310"/>
          <cell r="H310">
            <v>1.7147211315913706E-3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E311"/>
          <cell r="F311"/>
          <cell r="G311"/>
          <cell r="H311">
            <v>0.22776625825866287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5.66150829037171E-5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5.66150829037171E-5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E314">
            <v>11.609381563180319</v>
          </cell>
          <cell r="F314">
            <v>14.585386113448484</v>
          </cell>
          <cell r="G314">
            <v>14.998033319474928</v>
          </cell>
          <cell r="H314">
            <v>13.988794052179042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E315">
            <v>9.3597847506056275E-3</v>
          </cell>
          <cell r="F315">
            <v>2.2406891234555545E-3</v>
          </cell>
          <cell r="G315">
            <v>2.5350551751602939E-3</v>
          </cell>
          <cell r="H315">
            <v>1.4791380597745172E-3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E316">
            <v>21.078219257189673</v>
          </cell>
          <cell r="F316">
            <v>17.855501819633091</v>
          </cell>
          <cell r="G316">
            <v>17.905905943264095</v>
          </cell>
          <cell r="H316">
            <v>17.267758757209847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E317">
            <v>11.598856420200454</v>
          </cell>
          <cell r="F317">
            <v>14.612446823632141</v>
          </cell>
          <cell r="G317">
            <v>14.259048162897578</v>
          </cell>
          <cell r="H317">
            <v>12.425573861127893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E318">
            <v>22.214551733972677</v>
          </cell>
          <cell r="F318">
            <v>18.30123051900928</v>
          </cell>
          <cell r="G318">
            <v>15.982456157725803</v>
          </cell>
          <cell r="H318">
            <v>16.073929223127198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E319">
            <v>66.510299153299343</v>
          </cell>
          <cell r="F319">
            <v>65.356805964846444</v>
          </cell>
          <cell r="G319">
            <v>63.147978638537587</v>
          </cell>
          <cell r="H319">
            <v>59.757515681171242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E320">
            <v>8.0692227988740906E-8</v>
          </cell>
          <cell r="F320">
            <v>7.8710529493495405E-8</v>
          </cell>
          <cell r="G320">
            <v>7.7011414347105599E-8</v>
          </cell>
          <cell r="H320">
            <v>9.1915117097942394E-8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E321">
            <v>4.3300925142827298</v>
          </cell>
          <cell r="F321">
            <v>4.3300925405187725</v>
          </cell>
          <cell r="G321">
            <v>4.3300926736854874</v>
          </cell>
          <cell r="H321">
            <v>4.330092801267619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E322">
            <v>94.896719080762097</v>
          </cell>
          <cell r="F322">
            <v>98.055009043344597</v>
          </cell>
          <cell r="G322">
            <v>11.073091584107701</v>
          </cell>
          <cell r="H322">
            <v>3.8306986086192598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E323">
            <v>0.59440785250209804</v>
          </cell>
          <cell r="F323">
            <v>0.62587978305122871</v>
          </cell>
          <cell r="G323">
            <v>6.9107725847629004E-2</v>
          </cell>
          <cell r="H323">
            <v>2.3613882134214531E-2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E324">
            <v>0.69258788469608357</v>
          </cell>
          <cell r="F324">
            <v>0.75021427846861288</v>
          </cell>
          <cell r="G324">
            <v>8.6307231006324869E-2</v>
          </cell>
          <cell r="H324">
            <v>3.1467538637219281E-2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E325">
            <v>1.6825659411482647</v>
          </cell>
          <cell r="F325">
            <v>1.7385639901302212</v>
          </cell>
          <cell r="G325">
            <v>0.19633141106573898</v>
          </cell>
          <cell r="H325">
            <v>6.7920188096086284E-2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E326"/>
          <cell r="F326">
            <v>2.7183788645958801E-2</v>
          </cell>
          <cell r="G326">
            <v>6.9036934021009503E-7</v>
          </cell>
          <cell r="H326">
            <v>9.5142173543813602E-7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E327">
            <v>6.5199765875715229E-2</v>
          </cell>
          <cell r="F327">
            <v>4.7889000898285052E-2</v>
          </cell>
          <cell r="G327">
            <v>4.7108470872894992E-3</v>
          </cell>
          <cell r="H327">
            <v>3.8388993450158004E-3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E328">
            <v>0.62579824910803716</v>
          </cell>
          <cell r="F328">
            <v>0.73757751851636921</v>
          </cell>
          <cell r="G328">
            <v>0.73634039967949361</v>
          </cell>
          <cell r="H328">
            <v>0.73430551199156069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E329">
            <v>0.62579824910803716</v>
          </cell>
          <cell r="F329">
            <v>0.73757751851636921</v>
          </cell>
          <cell r="G329">
            <v>0.73634039967949361</v>
          </cell>
          <cell r="H329">
            <v>0.73430551199156069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E330">
            <v>8.9186339446831059E-5</v>
          </cell>
          <cell r="F330">
            <v>5.9501507691455508E-4</v>
          </cell>
          <cell r="G330">
            <v>9.2533202727254002E-3</v>
          </cell>
          <cell r="H330">
            <v>6.8069888144839255E-4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E331">
            <v>8.9186339446830869E-5</v>
          </cell>
          <cell r="F331">
            <v>5.9541175363249637E-4</v>
          </cell>
          <cell r="G331">
            <v>9.2629591480094791E-3</v>
          </cell>
          <cell r="H331">
            <v>6.8069888144839255E-4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E332">
            <v>1.1608930144301272E-4</v>
          </cell>
          <cell r="F332">
            <v>7.8253873207004613E-4</v>
          </cell>
          <cell r="G332">
            <v>1.195435499830122E-2</v>
          </cell>
          <cell r="H332">
            <v>8.5312965433732412E-4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E333">
            <v>1.1608930144301272E-4</v>
          </cell>
          <cell r="F333">
            <v>7.8253873207004613E-4</v>
          </cell>
          <cell r="G333">
            <v>1.195435499830122E-2</v>
          </cell>
          <cell r="H333">
            <v>8.5312965433732412E-4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E334">
            <v>4.1900691019907202E-4</v>
          </cell>
          <cell r="F334">
            <v>8.4459971768058697E-6</v>
          </cell>
          <cell r="G334">
            <v>6.0358132470024303E-6</v>
          </cell>
          <cell r="H334">
            <v>4.0696392128591602E-6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E335">
            <v>5.8359194771207641E-4</v>
          </cell>
          <cell r="F335">
            <v>5.8947287074988166E-4</v>
          </cell>
          <cell r="G335">
            <v>5.9179293543317976E-4</v>
          </cell>
          <cell r="H335">
            <v>4.7251398182507727E-4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E336">
            <v>0.92941520446191328</v>
          </cell>
          <cell r="F336">
            <v>2.0703834895038904</v>
          </cell>
          <cell r="G336">
            <v>0.82595651843136164</v>
          </cell>
          <cell r="H336">
            <v>1.3159799433697916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E337">
            <v>7.0507360338489838E-2</v>
          </cell>
          <cell r="F337">
            <v>0.17131408052140842</v>
          </cell>
          <cell r="G337">
            <v>7.9110489637926301E-2</v>
          </cell>
          <cell r="H337">
            <v>0.17092271110088245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E338">
            <v>22.705192575098099</v>
          </cell>
          <cell r="F338">
            <v>51.200444480412699</v>
          </cell>
          <cell r="G338">
            <v>23.216070677845298</v>
          </cell>
          <cell r="H338">
            <v>47.833736704917598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E339">
            <v>0.30807588297283733</v>
          </cell>
          <cell r="F339">
            <v>0.6947143077396567</v>
          </cell>
          <cell r="G339">
            <v>0.31500774325434611</v>
          </cell>
          <cell r="H339">
            <v>0.64903306248192127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E340"/>
          <cell r="F340">
            <v>1.1931372406309501E-2</v>
          </cell>
          <cell r="G340">
            <v>2.5191059964236799E-3</v>
          </cell>
          <cell r="H340">
            <v>1.1579481846546899E-2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E341">
            <v>8.3029153278126339E-3</v>
          </cell>
          <cell r="F341">
            <v>1.2863182850188478E-2</v>
          </cell>
          <cell r="G341">
            <v>1.5379771191598644E-2</v>
          </cell>
          <cell r="H341">
            <v>2.6957734938180503E-2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E342">
            <v>29.714401249381936</v>
          </cell>
          <cell r="F342">
            <v>29.71438126610434</v>
          </cell>
          <cell r="G342">
            <v>29.714385965332941</v>
          </cell>
          <cell r="H342">
            <v>28.974775306979726</v>
          </cell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E343">
            <v>89.58057912025501</v>
          </cell>
          <cell r="F343">
            <v>89.580518876282341</v>
          </cell>
          <cell r="G343">
            <v>89.580533043137549</v>
          </cell>
          <cell r="H343">
            <v>87.350814512289745</v>
          </cell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E344">
            <v>1.0099999791960261</v>
          </cell>
          <cell r="F344">
            <v>1.009999803888499</v>
          </cell>
          <cell r="G344">
            <v>1.0099998742212444</v>
          </cell>
          <cell r="H344">
            <v>1.0099721498890162</v>
          </cell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E345">
            <v>2654.3921616417301</v>
          </cell>
          <cell r="F345">
            <v>2592.8969658627502</v>
          </cell>
          <cell r="G345">
            <v>2507.4053592812502</v>
          </cell>
          <cell r="H345">
            <v>2053.1520201544499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E346">
            <v>47.222551188978848</v>
          </cell>
          <cell r="F346">
            <v>48.283050076204425</v>
          </cell>
          <cell r="G346">
            <v>45.867389038140168</v>
          </cell>
          <cell r="H346">
            <v>37.036389423799449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E347"/>
          <cell r="F347"/>
          <cell r="G347"/>
          <cell r="H347">
            <v>3.2350662536503086E-3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E348">
            <v>47.063690809250602</v>
          </cell>
          <cell r="F348">
            <v>45.973350458559359</v>
          </cell>
          <cell r="G348">
            <v>44.457541831227729</v>
          </cell>
          <cell r="H348">
            <v>36.403404612667472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E349">
            <v>0.30971846675482689</v>
          </cell>
          <cell r="F349">
            <v>2.4639455951899416</v>
          </cell>
          <cell r="G349">
            <v>1.5563760663869255</v>
          </cell>
          <cell r="H349">
            <v>0.75138292208649105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E350"/>
          <cell r="F350"/>
          <cell r="G350"/>
          <cell r="H350">
            <v>3.2338205245184483E-3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E351">
            <v>6.0533818816774099E-7</v>
          </cell>
          <cell r="F351">
            <v>1.44379395151768E-7</v>
          </cell>
          <cell r="G351">
            <v>1.84229129981214E-7</v>
          </cell>
          <cell r="H351">
            <v>1.56454585760582E-7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E352">
            <v>3.0972406127341081</v>
          </cell>
          <cell r="F352">
            <v>3.0972407571135032</v>
          </cell>
          <cell r="G352">
            <v>3.0972409413426334</v>
          </cell>
          <cell r="H352">
            <v>3.0972410977972191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E353"/>
          <cell r="F353"/>
          <cell r="G353"/>
          <cell r="H353">
            <v>4.7669906243703701E-2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E354"/>
          <cell r="F354"/>
          <cell r="G354"/>
          <cell r="H354">
            <v>3.5498866351694265E-4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E355"/>
          <cell r="F355"/>
          <cell r="G355"/>
          <cell r="H355">
            <v>3.9758730313897592E-4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E356"/>
          <cell r="F356"/>
          <cell r="G356"/>
          <cell r="H356">
            <v>8.4521110361176761E-4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E357"/>
          <cell r="F357"/>
          <cell r="G357"/>
          <cell r="H357">
            <v>3.1440560496409401E-5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E358"/>
          <cell r="F358"/>
          <cell r="G358"/>
          <cell r="H358">
            <v>3.1440560496409401E-5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E359"/>
          <cell r="F359"/>
          <cell r="G359"/>
          <cell r="H359"/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E360"/>
          <cell r="F360"/>
          <cell r="G360"/>
          <cell r="H360"/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E361"/>
          <cell r="F361"/>
          <cell r="G361"/>
          <cell r="H361"/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E362"/>
          <cell r="F362"/>
          <cell r="G362"/>
          <cell r="H362"/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E363"/>
          <cell r="F363"/>
          <cell r="G363"/>
          <cell r="H363"/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E364">
            <v>10.849132570599739</v>
          </cell>
          <cell r="F364">
            <v>12.380166935669289</v>
          </cell>
          <cell r="G364">
            <v>15.545982180454645</v>
          </cell>
          <cell r="H364">
            <v>25.887280098016042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E365">
            <v>10.014583911322827</v>
          </cell>
          <cell r="F365">
            <v>12.372495398783046</v>
          </cell>
          <cell r="G365">
            <v>15.538058204979889</v>
          </cell>
          <cell r="H365">
            <v>18.197988979793468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E366">
            <v>0.83454865927690247</v>
          </cell>
          <cell r="F366">
            <v>7.6715368862557481E-3</v>
          </cell>
          <cell r="G366">
            <v>7.9239754747750576E-3</v>
          </cell>
          <cell r="H366">
            <v>7.6892911182225872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E367">
            <v>1.60285237709928E-6</v>
          </cell>
          <cell r="F367">
            <v>2.0366904254254501E-6</v>
          </cell>
          <cell r="G367">
            <v>3.6285083420533102E-6</v>
          </cell>
          <cell r="H367">
            <v>1.10482695749571E-4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E368">
            <v>0.86351880627381705</v>
          </cell>
          <cell r="F368">
            <v>0.86351932742069493</v>
          </cell>
          <cell r="G368">
            <v>0.86352244581661952</v>
          </cell>
          <cell r="H368">
            <v>0.86358686072655555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E369">
            <v>2.0081179779406534E-5</v>
          </cell>
          <cell r="F369">
            <v>6.6662199670837284E-5</v>
          </cell>
          <cell r="G369">
            <v>7.7755271650556947</v>
          </cell>
          <cell r="H369">
            <v>8.8601705445433989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E370">
            <v>2.0081179779406568E-5</v>
          </cell>
          <cell r="F370">
            <v>6.6716687292535089E-5</v>
          </cell>
          <cell r="G370">
            <v>7.7854575956624048</v>
          </cell>
          <cell r="H370">
            <v>8.8601705445433847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E371">
            <v>3.3269033445291664E-5</v>
          </cell>
          <cell r="F371">
            <v>8.5402581314821481E-5</v>
          </cell>
          <cell r="G371">
            <v>9.2683873171686564</v>
          </cell>
          <cell r="H371">
            <v>10.184095487376339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E372">
            <v>3.3269033445291664E-5</v>
          </cell>
          <cell r="F372">
            <v>8.5402581314821481E-5</v>
          </cell>
          <cell r="G372">
            <v>9.2683873171686564</v>
          </cell>
          <cell r="H372">
            <v>10.184095487376339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E373">
            <v>5.9741952211577101E-3</v>
          </cell>
          <cell r="F373">
            <v>7.6928093687176201E-5</v>
          </cell>
          <cell r="G373">
            <v>0.483134988783534</v>
          </cell>
          <cell r="H373">
            <v>6.6355334514061101E-2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E374">
            <v>5.9741952211577101E-3</v>
          </cell>
          <cell r="F374">
            <v>6.0440900879762359E-3</v>
          </cell>
          <cell r="G374">
            <v>0.48915971615269566</v>
          </cell>
          <cell r="H374">
            <v>0.55547079373426367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E375">
            <v>1.0986779648405098E-4</v>
          </cell>
          <cell r="F375">
            <v>1.6710661353323386E-4</v>
          </cell>
          <cell r="G375">
            <v>1.7068746953742648E-4</v>
          </cell>
          <cell r="H375">
            <v>1.7665158248920391E-2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E376">
            <v>1.098677964840512E-4</v>
          </cell>
          <cell r="F376">
            <v>1.6724320131441061E-4</v>
          </cell>
          <cell r="G376">
            <v>1.7090546119711685E-4</v>
          </cell>
          <cell r="H376">
            <v>1.7665158248920371E-2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E377">
            <v>1.098677964840512E-4</v>
          </cell>
          <cell r="F377">
            <v>1.6724320131441061E-4</v>
          </cell>
          <cell r="G377">
            <v>1.7090546119711685E-4</v>
          </cell>
          <cell r="H377">
            <v>2.0292751093947806E-2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E378">
            <v>1.098677964840512E-4</v>
          </cell>
          <cell r="F378">
            <v>1.6724320131441061E-4</v>
          </cell>
          <cell r="G378">
            <v>1.7090546119711685E-4</v>
          </cell>
          <cell r="H378">
            <v>2.0292751093947806E-2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E379">
            <v>2.3358566792369699E-3</v>
          </cell>
          <cell r="F379">
            <v>6.9139554169072695E-5</v>
          </cell>
          <cell r="G379">
            <v>1.17866689858324E-4</v>
          </cell>
          <cell r="H379">
            <v>2.3885046564596E-4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E380">
            <v>2.3358566792369699E-3</v>
          </cell>
          <cell r="F380">
            <v>2.3976487656085237E-3</v>
          </cell>
          <cell r="G380">
            <v>2.4973967605915418E-3</v>
          </cell>
          <cell r="H380">
            <v>2.6964367673647633E-3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E381">
            <v>213.78135709555599</v>
          </cell>
          <cell r="F381">
            <v>212.85988573135401</v>
          </cell>
          <cell r="G381">
            <v>0.47000813087823501</v>
          </cell>
          <cell r="H381">
            <v>4.4055941864156303E-2</v>
          </cell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E382">
            <v>2.7300124583408691</v>
          </cell>
          <cell r="F382">
            <v>2.7182451632948927</v>
          </cell>
          <cell r="G382">
            <v>6.0020577577564859E-3</v>
          </cell>
          <cell r="H382">
            <v>5.6259943236925249E-4</v>
          </cell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E383">
            <v>2.7763812609812386</v>
          </cell>
          <cell r="F383">
            <v>2.7644141004072029</v>
          </cell>
          <cell r="G383">
            <v>6.1040016997173426E-3</v>
          </cell>
          <cell r="H383">
            <v>5.7215508914488719E-4</v>
          </cell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E384"/>
          <cell r="F384">
            <v>0.23936389756000201</v>
          </cell>
          <cell r="G384">
            <v>2.77655403275249</v>
          </cell>
          <cell r="H384">
            <v>334.39454866832602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E385"/>
          <cell r="F385">
            <v>1.228024230715763E-3</v>
          </cell>
          <cell r="G385">
            <v>1.319838016471535E-2</v>
          </cell>
          <cell r="H385">
            <v>1.7769473200346146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E386"/>
          <cell r="F386">
            <v>2.641804770353588E-3</v>
          </cell>
          <cell r="G386">
            <v>2.7974497728431195E-2</v>
          </cell>
          <cell r="H386">
            <v>3.6723577947382124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E387"/>
          <cell r="F387">
            <v>4.2440407368794742E-3</v>
          </cell>
          <cell r="G387">
            <v>4.9229681431781719E-2</v>
          </cell>
          <cell r="H387">
            <v>5.9289813593674729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E388"/>
          <cell r="F388">
            <v>2.0749384033853701E-4</v>
          </cell>
          <cell r="G388">
            <v>7.7326505341994303E-4</v>
          </cell>
          <cell r="H388">
            <v>0.130876075280522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E389"/>
          <cell r="F389">
            <v>2.0749384033853701E-4</v>
          </cell>
          <cell r="G389">
            <v>9.8069995416272997E-4</v>
          </cell>
          <cell r="H389">
            <v>0.13185665066824914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E390">
            <v>26.492981160111754</v>
          </cell>
          <cell r="F390">
            <v>9.8058207334531119E-4</v>
          </cell>
          <cell r="G390">
            <v>1.2206636978015952E-3</v>
          </cell>
          <cell r="H390">
            <v>7.3517465583475706E-4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E391">
            <v>26.492981160111754</v>
          </cell>
          <cell r="F391">
            <v>9.8058207334531119E-4</v>
          </cell>
          <cell r="G391">
            <v>1.2206636978015952E-3</v>
          </cell>
          <cell r="H391">
            <v>7.3517465583475706E-4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E392">
            <v>2.1655454123610798E-6</v>
          </cell>
          <cell r="F392">
            <v>2.00210073524767E-6</v>
          </cell>
          <cell r="G392">
            <v>3.75459756793402E-6</v>
          </cell>
          <cell r="H392">
            <v>1.5270203049439E-4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E393">
            <v>4.0274425477586231</v>
          </cell>
          <cell r="F393">
            <v>1.4484296173193911E-3</v>
          </cell>
          <cell r="G393">
            <v>1.4404033910500047E-3</v>
          </cell>
          <cell r="H393">
            <v>1.4348128454555464E-3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E394">
            <v>8.207220085840539E-3</v>
          </cell>
          <cell r="F394">
            <v>6.4812219877681664E-3</v>
          </cell>
          <cell r="G394">
            <v>1.69887701673322E-2</v>
          </cell>
          <cell r="H394">
            <v>6.080785064613288E-2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E395">
            <v>8.2072200858405095E-3</v>
          </cell>
          <cell r="F395">
            <v>6.4812219877681465E-3</v>
          </cell>
          <cell r="G395">
            <v>1.6988770167332135E-2</v>
          </cell>
          <cell r="H395">
            <v>6.0807850646132693E-2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E396">
            <v>9.4740996940955603E-3</v>
          </cell>
          <cell r="F396">
            <v>7.4857559684559007E-3</v>
          </cell>
          <cell r="G396">
            <v>1.9594448215244406E-2</v>
          </cell>
          <cell r="H396">
            <v>7.0135594024316975E-2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E397">
            <v>9.4740996940955603E-3</v>
          </cell>
          <cell r="F397">
            <v>7.4857559684559007E-3</v>
          </cell>
          <cell r="G397">
            <v>1.9594448215244406E-2</v>
          </cell>
          <cell r="H397">
            <v>7.0135594024316975E-2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E398">
            <v>1.4042473040049501E-3</v>
          </cell>
          <cell r="F398">
            <v>2.1175953288969002E-6</v>
          </cell>
          <cell r="G398">
            <v>5.3276906709103502E-3</v>
          </cell>
          <cell r="H398">
            <v>1.51324480500274E-2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E399">
            <v>1.4042473040049501E-3</v>
          </cell>
          <cell r="F399">
            <v>1.4055449580370218E-3</v>
          </cell>
          <cell r="G399">
            <v>6.7320944024097948E-3</v>
          </cell>
          <cell r="H399">
            <v>2.1487111368889041E-2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E400"/>
          <cell r="F400"/>
          <cell r="G400">
            <v>0.14080434674055581</v>
          </cell>
          <cell r="H400">
            <v>0.15585162782118711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E401"/>
          <cell r="F401"/>
          <cell r="G401">
            <v>0.14080434674055581</v>
          </cell>
          <cell r="H401">
            <v>0.15585162782118711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E402"/>
          <cell r="F402"/>
          <cell r="G402">
            <v>0.140804346740556</v>
          </cell>
          <cell r="H402">
            <v>0.155851627821187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E403"/>
          <cell r="F403"/>
          <cell r="G403">
            <v>4.4925030140339203E-2</v>
          </cell>
          <cell r="H403">
            <v>2.2501321356950999E-6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E404"/>
          <cell r="F404"/>
          <cell r="G404">
            <v>4.4925030140339203E-2</v>
          </cell>
          <cell r="H404">
            <v>4.49272802724748E-2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E405">
            <v>2.6768810009442052E-2</v>
          </cell>
          <cell r="F405">
            <v>1.0340149485312998E-4</v>
          </cell>
          <cell r="G405">
            <v>1.4444772661712122E-2</v>
          </cell>
          <cell r="H405">
            <v>5.7212944849042303E-2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E406">
            <v>2.6768810009442118E-2</v>
          </cell>
          <cell r="F406">
            <v>1.033326064488311E-4</v>
          </cell>
          <cell r="G406">
            <v>1.4429741680794635E-2</v>
          </cell>
          <cell r="H406">
            <v>5.7212944849042303E-2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E407">
            <v>3.5701754783943294E-2</v>
          </cell>
          <cell r="F407">
            <v>1.3567193632478748E-4</v>
          </cell>
          <cell r="G407">
            <v>1.863417761099519E-2</v>
          </cell>
          <cell r="H407">
            <v>7.1518300424694453E-2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E408">
            <v>3.5701754783943294E-2</v>
          </cell>
          <cell r="F408">
            <v>1.3567193632478748E-4</v>
          </cell>
          <cell r="G408">
            <v>1.863417761099519E-2</v>
          </cell>
          <cell r="H408">
            <v>7.1518300424694453E-2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E409">
            <v>6.6366706992161103E-3</v>
          </cell>
          <cell r="F409">
            <v>8.5699550649903801E-5</v>
          </cell>
          <cell r="G409">
            <v>7.2780772369929398E-5</v>
          </cell>
          <cell r="H409">
            <v>6.0748825438630603E-5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E410">
            <v>6.6366706992161103E-3</v>
          </cell>
          <cell r="F410">
            <v>6.7111580791050281E-3</v>
          </cell>
          <cell r="G410">
            <v>6.7486403542782441E-3</v>
          </cell>
          <cell r="H410">
            <v>6.7177730774242248E-3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E411"/>
          <cell r="F411">
            <v>4.1408964002096092E-5</v>
          </cell>
          <cell r="G411">
            <v>2.6440759305104704E-3</v>
          </cell>
          <cell r="H411">
            <v>2.9292925009466032E-3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E412"/>
          <cell r="F412">
            <v>4.1408964002096092E-5</v>
          </cell>
          <cell r="G412">
            <v>2.6440759305104704E-3</v>
          </cell>
          <cell r="H412">
            <v>2.9292925009466032E-3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E413"/>
          <cell r="F413">
            <v>4.1408964002096099E-5</v>
          </cell>
          <cell r="G413">
            <v>2.64407593051047E-3</v>
          </cell>
          <cell r="H413">
            <v>2.9292925009466102E-3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E414"/>
          <cell r="F414">
            <v>1.41276866519174E-5</v>
          </cell>
          <cell r="G414">
            <v>8.2956029580187E-4</v>
          </cell>
          <cell r="H414">
            <v>6.2065057757539903E-7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E415"/>
          <cell r="F415">
            <v>1.41276866519174E-5</v>
          </cell>
          <cell r="G415">
            <v>8.43687982453788E-4</v>
          </cell>
          <cell r="H415">
            <v>8.44308633031363E-4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E416">
            <v>0.16278583795819443</v>
          </cell>
          <cell r="F416">
            <v>5.4994795524303448E-4</v>
          </cell>
          <cell r="G416">
            <v>3.635910595407553E-2</v>
          </cell>
          <cell r="H416">
            <v>1.8159382108012139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E417">
            <v>0.16278583795819396</v>
          </cell>
          <cell r="F417">
            <v>5.5031458721319483E-4</v>
          </cell>
          <cell r="G417">
            <v>3.6396980022777664E-2</v>
          </cell>
          <cell r="H417">
            <v>1.8159382108012139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E418">
            <v>0.21706473885111546</v>
          </cell>
          <cell r="F418">
            <v>7.3110381443468677E-4</v>
          </cell>
          <cell r="G418">
            <v>4.6959606463965367E-2</v>
          </cell>
          <cell r="H418">
            <v>2.2699248828648524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E419">
            <v>0.21706473885111546</v>
          </cell>
          <cell r="F419">
            <v>7.3110381443468677E-4</v>
          </cell>
          <cell r="G419">
            <v>4.6959606463965367E-2</v>
          </cell>
          <cell r="H419">
            <v>2.2699248828648524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E420">
            <v>9.9521671766009193E-3</v>
          </cell>
          <cell r="F420">
            <v>6.1536089967959096E-5</v>
          </cell>
          <cell r="G420">
            <v>7.0515616374336199E-5</v>
          </cell>
          <cell r="H420">
            <v>0.10529496756232699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E421">
            <v>1.0632816119153898E-2</v>
          </cell>
          <cell r="F421">
            <v>1.0650716731823747E-2</v>
          </cell>
          <cell r="G421">
            <v>1.066648468519058E-2</v>
          </cell>
          <cell r="H421">
            <v>0.11547093542008506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E422">
            <v>9.3904772678290033E-3</v>
          </cell>
          <cell r="F422">
            <v>2.2388100901954726E-3</v>
          </cell>
          <cell r="G422">
            <v>2.5401380328705972E-3</v>
          </cell>
          <cell r="H422">
            <v>1.4987770602826961E-3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E423">
            <v>57.577311946822455</v>
          </cell>
          <cell r="F423">
            <v>56.858533428384135</v>
          </cell>
          <cell r="G423">
            <v>51.828622327804688</v>
          </cell>
          <cell r="H423">
            <v>48.651638802704277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E424">
            <v>57.586691135063617</v>
          </cell>
          <cell r="F424">
            <v>56.860772238474318</v>
          </cell>
          <cell r="G424">
            <v>51.831162465837529</v>
          </cell>
          <cell r="H424">
            <v>48.653130798362092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E425">
            <v>1.05456023480946E-7</v>
          </cell>
          <cell r="F425">
            <v>1.1227158090804499E-7</v>
          </cell>
          <cell r="G425">
            <v>1.2365511866530201E-7</v>
          </cell>
          <cell r="H425">
            <v>1.4295208183629101E-7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E426">
            <v>4.3683888589490198</v>
          </cell>
          <cell r="F426">
            <v>4.3683888932366921</v>
          </cell>
          <cell r="G426">
            <v>4.3683890766766238</v>
          </cell>
          <cell r="H426">
            <v>4.3683892789824545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E427">
            <v>1.2827316376056315E-3</v>
          </cell>
          <cell r="F427">
            <v>1.1263731027348074E-2</v>
          </cell>
          <cell r="G427">
            <v>1.5655743460238368E-2</v>
          </cell>
          <cell r="H427">
            <v>1.2933916388017791E-3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E428">
            <v>3.3545801983814313E-3</v>
          </cell>
          <cell r="F428">
            <v>2.9456737447254876E-2</v>
          </cell>
          <cell r="G428">
            <v>4.0942661319780853E-2</v>
          </cell>
          <cell r="H428">
            <v>3.3824580707897765E-3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E429">
            <v>5.622861947033867E-3</v>
          </cell>
          <cell r="F429">
            <v>4.5103671519964646E-2</v>
          </cell>
          <cell r="G429">
            <v>6.2923552613257522E-2</v>
          </cell>
          <cell r="H429">
            <v>0.27907435081575743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E430"/>
          <cell r="F430">
            <v>2.8992777529881098E-4</v>
          </cell>
          <cell r="G430">
            <v>1.3552031037346101E-4</v>
          </cell>
          <cell r="H430">
            <v>1.77630688469059E-6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E431">
            <v>2.3357503925620221E-4</v>
          </cell>
          <cell r="F431">
            <v>4.6394714043591911E-4</v>
          </cell>
          <cell r="G431">
            <v>5.9798724232807549E-4</v>
          </cell>
          <cell r="H431">
            <v>2.3596571996056109E-4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E432"/>
          <cell r="F432"/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E433"/>
          <cell r="F433"/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E434"/>
          <cell r="F434"/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E435"/>
          <cell r="F435"/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E436">
            <v>125.02966862005927</v>
          </cell>
          <cell r="F436">
            <v>138.5930658760447</v>
          </cell>
          <cell r="G436">
            <v>116.63549416473667</v>
          </cell>
          <cell r="H436">
            <v>120.32079319581037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E437">
            <v>126.34636073340519</v>
          </cell>
          <cell r="F437">
            <v>142.18537526176539</v>
          </cell>
          <cell r="G437">
            <v>119.39891583097976</v>
          </cell>
          <cell r="H437">
            <v>122.72750854541498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E438">
            <v>1.9295821752613599E-7</v>
          </cell>
          <cell r="F438">
            <v>1.95841313186818E-7</v>
          </cell>
          <cell r="G438">
            <v>2.2681531022028701E-7</v>
          </cell>
          <cell r="H438">
            <v>2.7122030395992698E-7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E439">
            <v>15.305609183965201</v>
          </cell>
          <cell r="F439">
            <v>15.305609183965201</v>
          </cell>
          <cell r="G439">
            <v>15.305609183965201</v>
          </cell>
          <cell r="H439">
            <v>15.305609369935315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E440">
            <v>12.240000203597546</v>
          </cell>
          <cell r="F440">
            <v>12.239816666278307</v>
          </cell>
          <cell r="G440">
            <v>12.242710068016997</v>
          </cell>
          <cell r="H440">
            <v>12.250868181463682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E441">
            <v>12.240000203597546</v>
          </cell>
          <cell r="F441">
            <v>12.239816666278307</v>
          </cell>
          <cell r="G441">
            <v>12.242710068016997</v>
          </cell>
          <cell r="H441">
            <v>12.250868181463682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E442">
            <v>0.85785999999999896</v>
          </cell>
          <cell r="F442">
            <v>0.88297936593724102</v>
          </cell>
          <cell r="G442">
            <v>0.89707999999999899</v>
          </cell>
          <cell r="H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E443">
            <v>3.3072527376047992E-4</v>
          </cell>
          <cell r="F443">
            <v>1.9193447264742415E-4</v>
          </cell>
          <cell r="G443">
            <v>1.2491503919603093E-4</v>
          </cell>
          <cell r="H443">
            <v>2.3012012763813862E-3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E444">
            <v>3.3072527376047878E-4</v>
          </cell>
          <cell r="F444">
            <v>1.9206242896252189E-4</v>
          </cell>
          <cell r="G444">
            <v>1.2504515902852665E-4</v>
          </cell>
          <cell r="H444">
            <v>2.3012012763813862E-3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E445">
            <v>2.601146917901694E-4</v>
          </cell>
          <cell r="F445">
            <v>1.3479174999104306E-4</v>
          </cell>
          <cell r="G445">
            <v>1.0043398738818074E-4</v>
          </cell>
          <cell r="H445">
            <v>2.878620958825229E-3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E446">
            <v>2.601146917901694E-4</v>
          </cell>
          <cell r="F446">
            <v>1.3479174999104306E-4</v>
          </cell>
          <cell r="G446">
            <v>1.0043398738818074E-4</v>
          </cell>
          <cell r="H446">
            <v>2.878620958825229E-3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E447">
            <v>2.6355814289058398E-3</v>
          </cell>
          <cell r="F447">
            <v>6.1478661973799598E-5</v>
          </cell>
          <cell r="G447">
            <v>9.6204559414351596E-5</v>
          </cell>
          <cell r="H447">
            <v>1.11477263685938E-4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E448">
            <v>2.6355814289058398E-3</v>
          </cell>
          <cell r="F448">
            <v>2.68996227357211E-3</v>
          </cell>
          <cell r="G448">
            <v>2.7664041263241257E-3</v>
          </cell>
          <cell r="H448">
            <v>2.8473965805976545E-3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E449">
            <v>0.18408031036455724</v>
          </cell>
          <cell r="F449">
            <v>0.18577393448735277</v>
          </cell>
          <cell r="G449">
            <v>2.472203904412394E-3</v>
          </cell>
          <cell r="H449">
            <v>7.3038173683884048E-4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E450">
            <v>15.8776280757283</v>
          </cell>
          <cell r="F450">
            <v>16.0237096086666</v>
          </cell>
          <cell r="G450">
            <v>0.21323700532602399</v>
          </cell>
          <cell r="H450">
            <v>6.2998207401242803E-2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E451">
            <v>0.21543593047121112</v>
          </cell>
          <cell r="F451">
            <v>0.21741804082315655</v>
          </cell>
          <cell r="G451">
            <v>2.8933107913978818E-3</v>
          </cell>
          <cell r="H451">
            <v>8.547925020521421E-4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E452">
            <v>3.65587067494102E-5</v>
          </cell>
          <cell r="F452">
            <v>2.3629211932202399E-5</v>
          </cell>
          <cell r="G452">
            <v>1.8916035167187999E-5</v>
          </cell>
          <cell r="H452">
            <v>2.2403710617741299E-5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E453">
            <v>2.6852127197407809E-2</v>
          </cell>
          <cell r="F453">
            <v>2.4073275307274114E-2</v>
          </cell>
          <cell r="G453">
            <v>4.4232779141985049E-3</v>
          </cell>
          <cell r="H453">
            <v>1.9125390681927409E-3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H454">
            <v>2.5032718221414049E-2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H455">
            <v>5.7228792073550725E-4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H456">
            <v>5.388758477200031E-4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H457">
            <v>1.6653396380263887E-4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H458">
            <v>2.5900516351275632E-4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H459">
            <v>3.0291157297368133E-3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H460">
            <v>1.02133437495176E-3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H461">
            <v>1.0099656737762475E-3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H462">
            <v>1.0561547908243994E-3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H463">
            <v>6.786970363988385E-4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H464">
            <v>3.9878018966165845E-4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H465">
            <v>1.0201097565828473E-3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H466">
            <v>1.6089230691848401E-3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H467">
            <v>1.8274597676111586E-4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H468">
            <v>3.3767997905147984E-3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H469">
            <v>3.9123814088997825E-3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H470">
            <v>3.9142866475858525E-3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H471">
            <v>2.0454598842077805E-4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H472">
            <v>1.9035954294438625E-4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H473">
            <v>8.8926429325123272E-5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H474">
            <v>2.3171663094439886E-4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H475">
            <v>6.3730677384522556E-4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H476">
            <v>1.0163281928655971E-3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H477">
            <v>5.4720555000668698E-3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H478">
            <v>5.4720555000668698E-3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E479">
            <v>1.1839713117158137</v>
          </cell>
          <cell r="F479">
            <v>1.1839541273841776</v>
          </cell>
          <cell r="G479">
            <v>1.1839670851770401</v>
          </cell>
          <cell r="H479">
            <v>5.0348583241355831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E480">
            <v>1.1839713117158137</v>
          </cell>
          <cell r="F480">
            <v>1.1839541273841776</v>
          </cell>
          <cell r="G480">
            <v>1.1839670851770401</v>
          </cell>
          <cell r="H480">
            <v>5.0348583241355831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E481">
            <v>198.00606566048666</v>
          </cell>
          <cell r="F481">
            <v>105.89419514100121</v>
          </cell>
          <cell r="G481">
            <v>94.870076775643923</v>
          </cell>
          <cell r="H481">
            <v>124.6216517479035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E482">
            <v>35.782413461312949</v>
          </cell>
          <cell r="F482">
            <v>68.019001398846953</v>
          </cell>
          <cell r="G482">
            <v>67.946422377855455</v>
          </cell>
          <cell r="H482">
            <v>41.547387842409272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E483">
            <v>6.1157184052121095E-2</v>
          </cell>
          <cell r="F483">
            <v>5.6052599404779529E-3</v>
          </cell>
          <cell r="G483">
            <v>5.3124542370239459E-3</v>
          </cell>
          <cell r="H483">
            <v>4.9760384522002611E-3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E484">
            <v>238.74851060399865</v>
          </cell>
          <cell r="F484">
            <v>182.11508133556566</v>
          </cell>
          <cell r="G484">
            <v>169.93489328768055</v>
          </cell>
          <cell r="H484">
            <v>172.48892223976159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E485">
            <v>2.4943492828537298E-7</v>
          </cell>
          <cell r="F485">
            <v>2.6555857240985803E-7</v>
          </cell>
          <cell r="G485">
            <v>3.0797094708708898E-7</v>
          </cell>
          <cell r="H485">
            <v>3.6469000346506601E-7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E486">
            <v>13.914190167241101</v>
          </cell>
          <cell r="F486">
            <v>13.914190167241101</v>
          </cell>
          <cell r="G486">
            <v>13.914190167241101</v>
          </cell>
          <cell r="H486">
            <v>13.914190412694319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E487">
            <v>0.90179052849990871</v>
          </cell>
          <cell r="F487">
            <v>0.90177743978115743</v>
          </cell>
          <cell r="G487">
            <v>0.90178730928961459</v>
          </cell>
          <cell r="H487">
            <v>3.8348797003066339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E488">
            <v>1.1839713117158137</v>
          </cell>
          <cell r="F488">
            <v>1.1839541273841776</v>
          </cell>
          <cell r="G488">
            <v>1.1839670851770401</v>
          </cell>
          <cell r="H488">
            <v>5.0348583241355831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E489">
            <v>4.86323913918946E-5</v>
          </cell>
          <cell r="F489">
            <v>3.26267338613306E-5</v>
          </cell>
          <cell r="G489">
            <v>3.6792887033622501E-5</v>
          </cell>
          <cell r="H489">
            <v>0.43488082890042301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E490">
            <v>0.11442435087154837</v>
          </cell>
          <cell r="F490">
            <v>0.11444577566985034</v>
          </cell>
          <cell r="G490">
            <v>0.11447082570094437</v>
          </cell>
          <cell r="H490">
            <v>0.48641755797969677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E497">
            <v>153.61813246870491</v>
          </cell>
          <cell r="F497">
            <v>120.71767294018078</v>
          </cell>
          <cell r="G497">
            <v>112.4291379565116</v>
          </cell>
          <cell r="H497">
            <v>139.45681706323168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E498">
            <v>59.359433933490486</v>
          </cell>
          <cell r="F498">
            <v>5.1880089259549664E-3</v>
          </cell>
          <cell r="G498">
            <v>4.5204159895564072E-3</v>
          </cell>
          <cell r="H498">
            <v>5.0931533943708897E-3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E499">
            <v>219.70419724275308</v>
          </cell>
          <cell r="F499">
            <v>126.43222516718325</v>
          </cell>
          <cell r="G499">
            <v>117.49538762636379</v>
          </cell>
          <cell r="H499">
            <v>145.2150683739971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E500">
            <v>1.11985699523191E-6</v>
          </cell>
          <cell r="F500">
            <v>1.2187504513466701E-6</v>
          </cell>
          <cell r="G500">
            <v>1.43880105995796E-6</v>
          </cell>
          <cell r="H500">
            <v>1.6790726895340101E-6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E501">
            <v>12.649263788401001</v>
          </cell>
          <cell r="F501">
            <v>12.649263788401001</v>
          </cell>
          <cell r="G501">
            <v>12.649263788401001</v>
          </cell>
          <cell r="H501">
            <v>12.649264901182816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E502">
            <v>2267.7887604644998</v>
          </cell>
          <cell r="F502">
            <v>1754.74051609497</v>
          </cell>
          <cell r="G502">
            <v>1929.7449803956099</v>
          </cell>
          <cell r="H502">
            <v>976.69825924682402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E503">
            <v>30.256635621358559</v>
          </cell>
          <cell r="F503">
            <v>23.411591648706132</v>
          </cell>
          <cell r="G503">
            <v>25.746801282660122</v>
          </cell>
          <cell r="H503">
            <v>13.031132348848018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E504">
            <v>30.770539490698763</v>
          </cell>
          <cell r="F504">
            <v>23.809233596946747</v>
          </cell>
          <cell r="G504">
            <v>26.183785351365191</v>
          </cell>
          <cell r="H504">
            <v>13.252350871734379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G505">
            <v>3.2116765670970037E-4</v>
          </cell>
          <cell r="H505">
            <v>1.1312668450401605E-4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  <cell r="E506">
            <v>9.27043618018185</v>
          </cell>
          <cell r="F506">
            <v>9.2701690974975293</v>
          </cell>
          <cell r="G506">
            <v>2.4418263597140499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  <cell r="E507">
            <v>0.10000470528783008</v>
          </cell>
          <cell r="F507">
            <v>0.10000182413697438</v>
          </cell>
          <cell r="G507">
            <v>2.6341168928954148E-2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  <cell r="E508">
            <v>0.10000470528783008</v>
          </cell>
          <cell r="F508">
            <v>0.10000182413697438</v>
          </cell>
          <cell r="G508">
            <v>2.6341168928954148E-2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E509">
            <v>54.392402646193766</v>
          </cell>
          <cell r="F509">
            <v>43.512026331809004</v>
          </cell>
          <cell r="G509">
            <v>53.243058628651958</v>
          </cell>
          <cell r="H509">
            <v>52.146242306799913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E510">
            <v>54.392402646193766</v>
          </cell>
          <cell r="F510">
            <v>43.512026331809004</v>
          </cell>
          <cell r="G510">
            <v>53.243058628651958</v>
          </cell>
          <cell r="H510">
            <v>52.146242306799913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E511">
            <v>3.86687</v>
          </cell>
          <cell r="F511">
            <v>3.9240852000672399</v>
          </cell>
          <cell r="G511">
            <v>3.9610124303882599</v>
          </cell>
          <cell r="H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F512">
            <v>2.5024139631154618</v>
          </cell>
          <cell r="G512">
            <v>2.5782416168489815</v>
          </cell>
          <cell r="H512">
            <v>3.9426591857218853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F513">
            <v>0.86290136659153904</v>
          </cell>
          <cell r="G513">
            <v>0.88904883339620122</v>
          </cell>
          <cell r="H513">
            <v>1.3595376502489278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F514">
            <v>5.0048279262309299</v>
          </cell>
          <cell r="G514">
            <v>5.1564832336979602</v>
          </cell>
          <cell r="H514">
            <v>7.8853183714437698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F515">
            <v>0.15410423145330701</v>
          </cell>
          <cell r="G515">
            <v>4.6701416676875104E-3</v>
          </cell>
          <cell r="H515">
            <v>8.4001028746604298E-2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F516">
            <v>0.15410423145330701</v>
          </cell>
          <cell r="G516">
            <v>0.15877432531761923</v>
          </cell>
          <cell r="H516">
            <v>0.2427752850908326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E517">
            <v>7.1200084774534016</v>
          </cell>
          <cell r="F517">
            <v>7.628907724382314</v>
          </cell>
          <cell r="G517">
            <v>7.3906120595616596</v>
          </cell>
          <cell r="H517">
            <v>6.4767586682261511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E518">
            <v>7.740344906601071</v>
          </cell>
          <cell r="F518">
            <v>8.2914027534273256</v>
          </cell>
          <cell r="G518">
            <v>8.0292481965209408</v>
          </cell>
          <cell r="H518">
            <v>7.0318087927537967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E519">
            <v>0.79547258693593903</v>
          </cell>
          <cell r="F519">
            <v>1.1442945977332699E-7</v>
          </cell>
          <cell r="G519">
            <v>1.3004142900083101E-7</v>
          </cell>
          <cell r="H519">
            <v>1.47937889311233E-7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E520">
            <v>0.79547258693593903</v>
          </cell>
          <cell r="F520">
            <v>0.79547270136539905</v>
          </cell>
          <cell r="G520">
            <v>0.79547283140682801</v>
          </cell>
          <cell r="H520">
            <v>0.79547297934471695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H523">
            <v>1.15867956273659E-6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H524">
            <v>1.15867956273659E-6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E525">
            <v>0.86248322578584768</v>
          </cell>
          <cell r="F525">
            <v>1.287582753331912</v>
          </cell>
          <cell r="G525">
            <v>1.8086055756662933</v>
          </cell>
          <cell r="H525">
            <v>1.961106190674047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E526">
            <v>0.86248322578584768</v>
          </cell>
          <cell r="F526">
            <v>1.287582753331912</v>
          </cell>
          <cell r="G526">
            <v>1.8086055756662933</v>
          </cell>
          <cell r="H526">
            <v>1.961106190674047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E527">
            <v>0.86248322578584802</v>
          </cell>
          <cell r="F527">
            <v>1.28758275333191</v>
          </cell>
          <cell r="G527">
            <v>1.80860557566629</v>
          </cell>
          <cell r="H527">
            <v>1.9611061906740499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F528">
            <v>6.1374211129444199E-8</v>
          </cell>
          <cell r="G528">
            <v>9.3905926058082206E-2</v>
          </cell>
          <cell r="H528">
            <v>6.9292486305137504E-7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E529">
            <v>0.27424799999999999</v>
          </cell>
          <cell r="F529">
            <v>0.43894537885062412</v>
          </cell>
          <cell r="G529">
            <v>0.57705398743229341</v>
          </cell>
          <cell r="H529">
            <v>0.56532989261663846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E530">
            <v>1.4500225640881319</v>
          </cell>
          <cell r="F530">
            <v>3.8018808539604878</v>
          </cell>
          <cell r="G530">
            <v>3.7505044664968259</v>
          </cell>
          <cell r="H530">
            <v>0.83544678137636186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E531">
            <v>1.4500225640881319</v>
          </cell>
          <cell r="F531">
            <v>3.8018808539604878</v>
          </cell>
          <cell r="G531">
            <v>3.7505044664968259</v>
          </cell>
          <cell r="H531">
            <v>0.83544678137636186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E532">
            <v>0.120558721922211</v>
          </cell>
          <cell r="F532">
            <v>0.120558721922211</v>
          </cell>
          <cell r="G532">
            <v>0.120558721922211</v>
          </cell>
          <cell r="H532">
            <v>0.11197225056919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E540">
            <v>4514.4851021571603</v>
          </cell>
          <cell r="F540">
            <v>3797.2272180588898</v>
          </cell>
          <cell r="G540">
            <v>3720.5750780528501</v>
          </cell>
          <cell r="H540">
            <v>1663.4828497124399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E541">
            <v>60.231858070432992</v>
          </cell>
          <cell r="F541">
            <v>50.662267276066935</v>
          </cell>
          <cell r="G541">
            <v>49.639897541925286</v>
          </cell>
          <cell r="H541">
            <v>22.194151460033488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E542">
            <v>61.254886053692843</v>
          </cell>
          <cell r="F542">
            <v>51.522757368506042</v>
          </cell>
          <cell r="G542">
            <v>50.48270119474693</v>
          </cell>
          <cell r="H542">
            <v>22.57100203137637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G543">
            <v>3.2164722012490977E-4</v>
          </cell>
          <cell r="H543">
            <v>1.1343248093664436E-4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E544">
            <v>71.694113763115169</v>
          </cell>
          <cell r="F544">
            <v>36.642140306504153</v>
          </cell>
          <cell r="G544">
            <v>75.716679598697041</v>
          </cell>
          <cell r="H544">
            <v>50.744732761981908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E545">
            <v>71.694113763115169</v>
          </cell>
          <cell r="F545">
            <v>36.642140306504153</v>
          </cell>
          <cell r="G545">
            <v>75.716679598697041</v>
          </cell>
          <cell r="H545">
            <v>50.744732761981908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E546">
            <v>2.8716372196814301E-6</v>
          </cell>
          <cell r="F546">
            <v>2.6910322359333002E-6</v>
          </cell>
          <cell r="G546">
            <v>3.2421701677211701E-6</v>
          </cell>
          <cell r="H546">
            <v>2.28411529913497E-6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E547">
            <v>3.7499948454121821</v>
          </cell>
          <cell r="F547">
            <v>3.749988560771389</v>
          </cell>
          <cell r="G547">
            <v>3.7499871792253288</v>
          </cell>
          <cell r="H547">
            <v>3.749988157286845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E554">
            <v>3.9602824658366086E-2</v>
          </cell>
          <cell r="F554">
            <v>1.0527724105199968E-4</v>
          </cell>
          <cell r="G554">
            <v>8.95458388395063E-2</v>
          </cell>
          <cell r="H554">
            <v>3.9292450638802397E-4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E555">
            <v>9.6985200147649504</v>
          </cell>
          <cell r="F555">
            <v>113.49214819083799</v>
          </cell>
          <cell r="G555">
            <v>19.307828019988701</v>
          </cell>
          <cell r="H555">
            <v>0.102383973059431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E556">
            <v>0.13159457279192607</v>
          </cell>
          <cell r="F556">
            <v>1.5399205996043113</v>
          </cell>
          <cell r="G556">
            <v>0.26197867055615592</v>
          </cell>
          <cell r="H556">
            <v>1.3891990917154846E-3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F557">
            <v>1.11067872666598E-5</v>
          </cell>
          <cell r="G557">
            <v>5.64068827272582E-5</v>
          </cell>
          <cell r="H557">
            <v>2.5999717446874499E-5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E558">
            <v>2.2941014825429602E-2</v>
          </cell>
          <cell r="F558">
            <v>2.2222179506227568E-2</v>
          </cell>
          <cell r="G558">
            <v>1.225174490063112E-2</v>
          </cell>
          <cell r="H558">
            <v>7.0881156147418849E-3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E559">
            <v>8.5743715377992569</v>
          </cell>
          <cell r="F559">
            <v>9.981750341648862</v>
          </cell>
          <cell r="G559">
            <v>9.4433689030370243</v>
          </cell>
          <cell r="H559">
            <v>8.2612891916332458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E560">
            <v>8.5743715377992569</v>
          </cell>
          <cell r="F560">
            <v>9.981750341648862</v>
          </cell>
          <cell r="G560">
            <v>9.4433689030370243</v>
          </cell>
          <cell r="H560">
            <v>8.2612891916332458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H561">
            <v>7.9859631449864007E-4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H562">
            <v>1.277138182137035E-3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H563">
            <v>0.23242462185302032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H564">
            <v>1.2866025614407199E-4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H565">
            <v>1.2866025614407199E-4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E566">
            <v>32.820801158421268</v>
          </cell>
          <cell r="F566">
            <v>32.820789502181597</v>
          </cell>
          <cell r="G566">
            <v>32.820781518264326</v>
          </cell>
          <cell r="H566">
            <v>32.820746119891787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E567">
            <v>98.945502898978006</v>
          </cell>
          <cell r="F567">
            <v>98.945467758687286</v>
          </cell>
          <cell r="G567">
            <v>98.945443689417644</v>
          </cell>
          <cell r="H567">
            <v>98.94533697326051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E568">
            <v>1.2199999785577273</v>
          </cell>
          <cell r="F568">
            <v>1.2199999236581986</v>
          </cell>
          <cell r="G568">
            <v>1.2199998796403035</v>
          </cell>
          <cell r="H568">
            <v>1.2199998752793808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H569">
            <v>7.0084250409013955E-4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H570">
            <v>7.0084250409013955E-4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H571">
            <v>8.9561404751846695E-5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H572">
            <v>8.9561404751846695E-5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H573">
            <v>1.1930720764664444E-3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H574">
            <v>0.18175591988355799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H575">
            <v>3.2226226929708847E-3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H576">
            <v>8.3494914097132708E-3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H577">
            <v>1.51756691446388E-2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H578">
            <v>8.3494914097132708E-3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H579">
            <v>6.2527808904981098E-4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H580">
            <v>6.3004170015156652E-4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H581">
            <v>1.07805746065031E-4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H582">
            <v>1.07805746065031E-4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E583">
            <v>13.723015686138497</v>
          </cell>
          <cell r="F583">
            <v>13.331599971512595</v>
          </cell>
          <cell r="G583">
            <v>15.518627302805301</v>
          </cell>
          <cell r="H583">
            <v>13.098243034735372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E584">
            <v>13.723015686138497</v>
          </cell>
          <cell r="F584">
            <v>13.331599971512595</v>
          </cell>
          <cell r="G584">
            <v>15.518627302805301</v>
          </cell>
          <cell r="H584">
            <v>13.098243034735372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H585">
            <v>7.5284365926597901E-2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H586">
            <v>8.0089750985742425E-4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H587">
            <v>2.4008010938561037E-4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H588">
            <v>1.3348291830957077E-3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H589">
            <v>7.1367089050753706E-5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H590">
            <v>7.1367089050753706E-5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E591">
            <v>1.8028257651087713E-3</v>
          </cell>
          <cell r="F591">
            <v>1.1264975413823808E-4</v>
          </cell>
          <cell r="G591">
            <v>2.8729803407233382E-3</v>
          </cell>
          <cell r="H591">
            <v>2.2250353448257808E-4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E592">
            <v>9.2716753634165365E-3</v>
          </cell>
          <cell r="F592">
            <v>5.7934159271093852E-4</v>
          </cell>
          <cell r="G592">
            <v>1.4775327466577157E-2</v>
          </cell>
          <cell r="H592">
            <v>1.1443038916246868E-3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E593">
            <v>2.0374291148955401</v>
          </cell>
          <cell r="F593">
            <v>155.402538632052</v>
          </cell>
          <cell r="G593">
            <v>2.3612378085381902</v>
          </cell>
          <cell r="H593">
            <v>0.164514759887635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E594">
            <v>2.7644899795054845E-2</v>
          </cell>
          <cell r="F594">
            <v>2.1085826137320489</v>
          </cell>
          <cell r="G594">
            <v>3.2038504864832944E-2</v>
          </cell>
          <cell r="H594">
            <v>2.2322219794794411E-3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F595">
            <v>7.1224250099504999E-6</v>
          </cell>
          <cell r="G595">
            <v>4.4641334635281904E-6</v>
          </cell>
          <cell r="H595">
            <v>5.2159040677094798E-6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E596">
            <v>4.5139052997557605E-3</v>
          </cell>
          <cell r="F596">
            <v>1.799404850813922E-3</v>
          </cell>
          <cell r="G596">
            <v>1.6130500692361476E-3</v>
          </cell>
          <cell r="H596">
            <v>8.1750303726213676E-4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E602">
            <v>3.517953999707534</v>
          </cell>
          <cell r="F602">
            <v>4.848622423149628</v>
          </cell>
          <cell r="G602">
            <v>11.161489912978602</v>
          </cell>
          <cell r="H602">
            <v>12.114544139753489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E603">
            <v>3.517953999707534</v>
          </cell>
          <cell r="F603">
            <v>4.848622423149628</v>
          </cell>
          <cell r="G603">
            <v>11.161489912978602</v>
          </cell>
          <cell r="H603">
            <v>12.114544139753489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E604">
            <v>3.51795399970753</v>
          </cell>
          <cell r="F604">
            <v>4.84862242314962</v>
          </cell>
          <cell r="G604">
            <v>11.161489912978601</v>
          </cell>
          <cell r="H604">
            <v>12.1145441397535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F605">
            <v>6.9847435083463801E-8</v>
          </cell>
          <cell r="G605">
            <v>1.76796384693736</v>
          </cell>
          <cell r="H605">
            <v>7.7912889630065104E-7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E606">
            <v>1.1186210000000001</v>
          </cell>
          <cell r="F606">
            <v>1.6529270844344852</v>
          </cell>
          <cell r="G606">
            <v>3.5611849167848</v>
          </cell>
          <cell r="H606">
            <v>3.4922697991095903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F607">
            <v>8.4793452762907895E-2</v>
          </cell>
          <cell r="G607">
            <v>0.88884308452170002</v>
          </cell>
          <cell r="H607">
            <v>0.77233397848473295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F608">
            <v>9.4603386337451531E-4</v>
          </cell>
          <cell r="G608">
            <v>7.253700076414675E-3</v>
          </cell>
          <cell r="H608">
            <v>7.3920587601076808E-3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F609">
            <v>3.9698135030591256E-4</v>
          </cell>
          <cell r="G609">
            <v>3.0912047676265441E-3</v>
          </cell>
          <cell r="H609">
            <v>3.2340257075471027E-3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F610">
            <v>1.5034300135267377E-3</v>
          </cell>
          <cell r="G610">
            <v>1.5759629158186173E-2</v>
          </cell>
          <cell r="H610">
            <v>1.3693864866750579E-2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F611">
            <v>7.5659621480028602E-5</v>
          </cell>
          <cell r="G611">
            <v>1.99261182428898E-4</v>
          </cell>
          <cell r="H611">
            <v>1.2681346879540401E-5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F612">
            <v>7.5659621480028602E-5</v>
          </cell>
          <cell r="G612">
            <v>2.7490624305256652E-4</v>
          </cell>
          <cell r="H612">
            <v>2.87556674167305E-4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  <cell r="E613">
            <v>20.224801527213245</v>
          </cell>
          <cell r="F613">
            <v>20.224775694185379</v>
          </cell>
          <cell r="G613">
            <v>13.566624623198004</v>
          </cell>
          <cell r="H613">
            <v>1.5712697558098145E-2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  <cell r="E614">
            <v>60.97209962922156</v>
          </cell>
          <cell r="F614">
            <v>60.972021749893791</v>
          </cell>
          <cell r="G614">
            <v>40.899565172240131</v>
          </cell>
          <cell r="H614">
            <v>4.7369372681710278E-2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  <cell r="E615">
            <v>0.72999995380947635</v>
          </cell>
          <cell r="F615">
            <v>0.72999942649059746</v>
          </cell>
          <cell r="G615">
            <v>0.48968048769716216</v>
          </cell>
          <cell r="H615">
            <v>5.7188681601599844E-4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H616">
            <v>2.9624216941006335E-3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H617">
            <v>1.1136511183378304E-3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H618">
            <v>0.22896596295633551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H619">
            <v>9.5982815329227801E-5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H620">
            <v>9.5982815329227801E-5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E621">
            <v>3.4777773627660865E-4</v>
          </cell>
          <cell r="F621">
            <v>1.0647740379424484E-4</v>
          </cell>
          <cell r="G621">
            <v>2.0114007517694956E-2</v>
          </cell>
          <cell r="H621">
            <v>0.5720787964028845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E622">
            <v>3.4777773627660784E-4</v>
          </cell>
          <cell r="F622">
            <v>1.065483887301074E-4</v>
          </cell>
          <cell r="G622">
            <v>2.0134959608859214E-2</v>
          </cell>
          <cell r="H622">
            <v>0.5720787964028845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E623">
            <v>2.7343191577682685E-4</v>
          </cell>
          <cell r="F623">
            <v>1.36604104869447E-4</v>
          </cell>
          <cell r="G623">
            <v>2.5976354316974481E-2</v>
          </cell>
          <cell r="H623">
            <v>0.71510061486697307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E624">
            <v>2.7343191577682685E-4</v>
          </cell>
          <cell r="F624">
            <v>1.36604104869447E-4</v>
          </cell>
          <cell r="G624">
            <v>2.5976354316974481E-2</v>
          </cell>
          <cell r="H624">
            <v>0.71510061486697307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E625">
            <v>6.5744063370071198E-3</v>
          </cell>
          <cell r="F625">
            <v>1.7086903205521201E-4</v>
          </cell>
          <cell r="G625">
            <v>1.3351958162131201E-4</v>
          </cell>
          <cell r="H625">
            <v>3.04409741112515E-2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E626">
            <v>6.5744063370071198E-3</v>
          </cell>
          <cell r="F626">
            <v>6.7357041652779687E-3</v>
          </cell>
          <cell r="G626">
            <v>6.8413610795371171E-3</v>
          </cell>
          <cell r="H626">
            <v>3.7225213094298742E-2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  <cell r="E627">
            <v>0.86109934187717241</v>
          </cell>
          <cell r="F627">
            <v>0.63725495042073454</v>
          </cell>
          <cell r="G627">
            <v>1.2033404851988687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  <cell r="E628">
            <v>0.33582874333209661</v>
          </cell>
          <cell r="F628">
            <v>0.24852943066408614</v>
          </cell>
          <cell r="G628">
            <v>0.46930278922755841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  <cell r="E629">
            <v>2.4537025746790015</v>
          </cell>
          <cell r="F629">
            <v>1.8158579812238815</v>
          </cell>
          <cell r="G629">
            <v>3.4289187125741751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  <cell r="E630">
            <v>5.9846404260463539E-2</v>
          </cell>
          <cell r="F630">
            <v>4.4289219054241005E-2</v>
          </cell>
          <cell r="G630">
            <v>8.3632163721321387E-2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E631">
            <v>6.2404105030948544E-2</v>
          </cell>
          <cell r="F631">
            <v>6.2400086879804362E-2</v>
          </cell>
          <cell r="G631">
            <v>6.2399335501747408E-2</v>
          </cell>
          <cell r="H631">
            <v>-4.0390295830139422E-7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E632">
            <v>2.3125213177089769E-3</v>
          </cell>
          <cell r="F632">
            <v>2.3014605063592908E-3</v>
          </cell>
          <cell r="G632">
            <v>5.6600377768453454E-2</v>
          </cell>
          <cell r="H632">
            <v>0.11897249606057511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E633">
            <v>2.3125213177089777E-3</v>
          </cell>
          <cell r="F633">
            <v>2.3014605063592926E-3</v>
          </cell>
          <cell r="G633">
            <v>5.6600377768453496E-2</v>
          </cell>
          <cell r="H633">
            <v>0.11897249606057521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E634">
            <v>2.5667553087929946E-3</v>
          </cell>
          <cell r="F634">
            <v>2.5540139430392924E-3</v>
          </cell>
          <cell r="G634">
            <v>6.2593513495690548E-2</v>
          </cell>
          <cell r="H634">
            <v>0.13156860888295746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E635">
            <v>2.5667553087929946E-3</v>
          </cell>
          <cell r="F635">
            <v>2.5540139430392924E-3</v>
          </cell>
          <cell r="G635">
            <v>6.2593513495690548E-2</v>
          </cell>
          <cell r="H635">
            <v>0.13156860888295746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E636">
            <v>9.4307434383232797E-4</v>
          </cell>
          <cell r="F636">
            <v>1.5510087869931899E-6</v>
          </cell>
          <cell r="G636">
            <v>6.3163552693377104E-2</v>
          </cell>
          <cell r="H636">
            <v>5.0344405377189495E-4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E637">
            <v>9.457383077886547E-4</v>
          </cell>
          <cell r="F637">
            <v>9.4674077953667388E-4</v>
          </cell>
          <cell r="G637">
            <v>6.4109155010702301E-2</v>
          </cell>
          <cell r="H637">
            <v>6.4356823411063038E-2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E638">
            <v>6.229562760659074</v>
          </cell>
          <cell r="F638">
            <v>1.4971965951389448E-3</v>
          </cell>
          <cell r="G638">
            <v>2.2076983982626829E-3</v>
          </cell>
          <cell r="H638">
            <v>3.4654900922581567E-4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E639">
            <v>6.229562760659074</v>
          </cell>
          <cell r="F639">
            <v>1.4971965951389448E-3</v>
          </cell>
          <cell r="G639">
            <v>2.2076983982626829E-3</v>
          </cell>
          <cell r="H639">
            <v>3.4654900922581567E-4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E640">
            <v>1.04050549021381E-6</v>
          </cell>
          <cell r="F640">
            <v>8.8629566741383102E-7</v>
          </cell>
          <cell r="G640">
            <v>1.13549952757226E-6</v>
          </cell>
          <cell r="H640">
            <v>1.2055211513717201E-6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E641">
            <v>0.242535927080747</v>
          </cell>
          <cell r="F641">
            <v>9.22464063199957E-4</v>
          </cell>
          <cell r="G641">
            <v>9.1329594468003705E-4</v>
          </cell>
          <cell r="H641">
            <v>9.0528228218844653E-4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E642">
            <v>46.398482677349214</v>
          </cell>
          <cell r="F642">
            <v>23.362271727129965</v>
          </cell>
          <cell r="G642">
            <v>20.838007818545432</v>
          </cell>
          <cell r="H642">
            <v>28.052291534166443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E643">
            <v>46.398482677349214</v>
          </cell>
          <cell r="F643">
            <v>23.362271727129965</v>
          </cell>
          <cell r="G643">
            <v>20.838007818545432</v>
          </cell>
          <cell r="H643">
            <v>28.052291534166443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E644">
            <v>2.40689944183298E-6</v>
          </cell>
          <cell r="F644">
            <v>2.0556960194948601E-6</v>
          </cell>
          <cell r="G644">
            <v>2.41046867582042E-6</v>
          </cell>
          <cell r="H644">
            <v>2.7702418061341899E-6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E645">
            <v>1.9552955279401902</v>
          </cell>
          <cell r="F645">
            <v>1.8891693138784702</v>
          </cell>
          <cell r="G645">
            <v>1.8891616813114902</v>
          </cell>
          <cell r="H645">
            <v>1.8891591576215949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E646">
            <v>3.3924594227562407E-4</v>
          </cell>
          <cell r="F646">
            <v>2.3507887868618748E-4</v>
          </cell>
          <cell r="G646">
            <v>1.3998917748678873E-4</v>
          </cell>
          <cell r="H646">
            <v>2.3549236383654773E-3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E647">
            <v>3.3924594227562304E-4</v>
          </cell>
          <cell r="F647">
            <v>2.3523559793864443E-4</v>
          </cell>
          <cell r="G647">
            <v>1.4013499954667054E-4</v>
          </cell>
          <cell r="H647">
            <v>2.3549236383654773E-3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E648">
            <v>2.6676588678992364E-4</v>
          </cell>
          <cell r="F648">
            <v>1.5946777539070872E-4</v>
          </cell>
          <cell r="G648">
            <v>1.1252116087613178E-4</v>
          </cell>
          <cell r="H648">
            <v>2.9457739112920662E-3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E649">
            <v>2.6676588678992364E-4</v>
          </cell>
          <cell r="F649">
            <v>1.5946777539070872E-4</v>
          </cell>
          <cell r="G649">
            <v>1.1252116087613178E-4</v>
          </cell>
          <cell r="H649">
            <v>2.9457739112920662E-3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E650">
            <v>4.1868500694561897E-3</v>
          </cell>
          <cell r="F650">
            <v>9.6385100174216205E-5</v>
          </cell>
          <cell r="G650">
            <v>1.54707808468569E-4</v>
          </cell>
          <cell r="H650">
            <v>1.7971361506624801E-4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E651">
            <v>4.1868500694561897E-3</v>
          </cell>
          <cell r="F651">
            <v>4.2716330668278717E-3</v>
          </cell>
          <cell r="G651">
            <v>4.3935722974496457E-3</v>
          </cell>
          <cell r="H651">
            <v>4.5268246329113965E-3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H652">
            <v>0.18827244766040799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H653">
            <v>1.4020288655562305E-3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H654">
            <v>1.570272329422978E-3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H655">
            <v>3.3381639656100684E-3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H656">
            <v>1.24823947248173E-4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H657">
            <v>1.24823947248173E-4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E658">
            <v>12.753363555310623</v>
          </cell>
          <cell r="F658">
            <v>1.342766871958142E-3</v>
          </cell>
          <cell r="G658">
            <v>1.4573505727703464E-3</v>
          </cell>
          <cell r="H658">
            <v>6.3724491979097074E-4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E659">
            <v>12.753363555310623</v>
          </cell>
          <cell r="F659">
            <v>1.342766871958142E-3</v>
          </cell>
          <cell r="G659">
            <v>1.4573505727703464E-3</v>
          </cell>
          <cell r="H659">
            <v>6.3724491979097074E-4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E660">
            <v>2.2735475764007399E-6</v>
          </cell>
          <cell r="F660">
            <v>1.9342022515134301E-6</v>
          </cell>
          <cell r="G660">
            <v>2.6514654263112398E-6</v>
          </cell>
          <cell r="H660">
            <v>4.4547081926675898E-6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E661">
            <v>1.2999932173449842</v>
          </cell>
          <cell r="F661">
            <v>2.688967807070064E-3</v>
          </cell>
          <cell r="G661">
            <v>2.6829282270199872E-3</v>
          </cell>
          <cell r="H661">
            <v>2.6819004336793295E-3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E662">
            <v>2.3323462317440943E-3</v>
          </cell>
          <cell r="F662">
            <v>2.3207933877620094E-3</v>
          </cell>
          <cell r="G662">
            <v>2.6134221598458858E-2</v>
          </cell>
          <cell r="H662">
            <v>4.7884323213456113E-2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E663">
            <v>2.3323462317440969E-3</v>
          </cell>
          <cell r="F663">
            <v>2.3207933877620102E-3</v>
          </cell>
          <cell r="G663">
            <v>2.6134221598458889E-2</v>
          </cell>
          <cell r="H663">
            <v>4.7884323213456148E-2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E664">
            <v>2.5886789833153242E-3</v>
          </cell>
          <cell r="F664">
            <v>2.5753934959948685E-3</v>
          </cell>
          <cell r="G664">
            <v>2.8902089560922863E-2</v>
          </cell>
          <cell r="H664">
            <v>5.2954717369546198E-2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E665">
            <v>2.5886789833153242E-3</v>
          </cell>
          <cell r="F665">
            <v>2.5753934959948685E-3</v>
          </cell>
          <cell r="G665">
            <v>2.8902089560922863E-2</v>
          </cell>
          <cell r="H665">
            <v>5.2954717369546198E-2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E666">
            <v>9.5177906921873603E-4</v>
          </cell>
          <cell r="F666">
            <v>1.5559090099144301E-6</v>
          </cell>
          <cell r="G666">
            <v>1.82698603972377E-2</v>
          </cell>
          <cell r="H666">
            <v>6.9385597787612605E-4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E667">
            <v>9.544426770654495E-4</v>
          </cell>
          <cell r="F667">
            <v>9.5546284011036443E-4</v>
          </cell>
          <cell r="G667">
            <v>1.9224267808372383E-2</v>
          </cell>
          <cell r="H667">
            <v>1.9659985768782921E-2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E668">
            <v>1.9348406886931981</v>
          </cell>
          <cell r="F668">
            <v>1.858781292415014</v>
          </cell>
          <cell r="G668">
            <v>1.5300069227797846E-2</v>
          </cell>
          <cell r="H668">
            <v>5.6622719877645472E-3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E669">
            <v>0.2300472712172921</v>
          </cell>
          <cell r="F669">
            <v>0.23015931021227523</v>
          </cell>
          <cell r="G669">
            <v>2.0200174167348183E-3</v>
          </cell>
          <cell r="H669">
            <v>8.4037019448282503E-4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E670">
            <v>344.47146471844798</v>
          </cell>
          <cell r="F670">
            <v>344.64617944757498</v>
          </cell>
          <cell r="G670">
            <v>3.0248442588275601</v>
          </cell>
          <cell r="H670">
            <v>1.2583995251783899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E671">
            <v>3.7119769905005242</v>
          </cell>
          <cell r="F671">
            <v>3.7138596923230089</v>
          </cell>
          <cell r="G671">
            <v>3.2595304513227993E-2</v>
          </cell>
          <cell r="H671">
            <v>1.3560339710974026E-2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F672">
            <v>3.1015663223306501E-7</v>
          </cell>
          <cell r="G672">
            <v>1.6137692856436699E-7</v>
          </cell>
          <cell r="H672">
            <v>4.67927091172786E-7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E673">
            <v>4.4755919197669317E-2</v>
          </cell>
          <cell r="F673">
            <v>9.38549511771683E-3</v>
          </cell>
          <cell r="G673">
            <v>1.6971816472824974E-3</v>
          </cell>
          <cell r="H673">
            <v>1.6870444963487698E-3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E674">
            <v>9.4649346157739914E-2</v>
          </cell>
          <cell r="F674">
            <v>9.2480422020363318E-3</v>
          </cell>
          <cell r="G674">
            <v>1.6223413305628723E-2</v>
          </cell>
          <cell r="H674">
            <v>9.4495531609855785E-2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E675">
            <v>9.4649346157739844E-2</v>
          </cell>
          <cell r="F675">
            <v>9.2480422020363232E-3</v>
          </cell>
          <cell r="G675">
            <v>1.6223413305628709E-2</v>
          </cell>
          <cell r="H675">
            <v>9.4495531609855701E-2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E676">
            <v>0.13523219023012664</v>
          </cell>
          <cell r="F676">
            <v>1.3221320379185442E-2</v>
          </cell>
          <cell r="G676">
            <v>2.3176958480957667E-2</v>
          </cell>
          <cell r="H676">
            <v>0.13499746364737347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E677">
            <v>0.13523219023012664</v>
          </cell>
          <cell r="F677">
            <v>1.3221320379185442E-2</v>
          </cell>
          <cell r="G677">
            <v>2.3176958480957667E-2</v>
          </cell>
          <cell r="H677">
            <v>0.13499746364737347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F678">
            <v>8.9311596930804903E-7</v>
          </cell>
          <cell r="G678">
            <v>8.8070098895504498E-7</v>
          </cell>
          <cell r="H678">
            <v>8.2253478552365995E-7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E679">
            <v>0.1</v>
          </cell>
          <cell r="F679">
            <v>9.9996637424090234E-2</v>
          </cell>
          <cell r="G679">
            <v>9.9996145710836981E-2</v>
          </cell>
          <cell r="H679">
            <v>9.9995986649413088E-2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E680">
            <v>7.1982443720762399</v>
          </cell>
          <cell r="F680">
            <v>0.107186643990035</v>
          </cell>
          <cell r="G680">
            <v>2.1502453116128302</v>
          </cell>
          <cell r="H680">
            <v>3.5052040878508901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E681">
            <v>6.2383520956379501E-2</v>
          </cell>
          <cell r="F681">
            <v>1.1073568253182247E-3</v>
          </cell>
          <cell r="G681">
            <v>2.1020479447984883E-2</v>
          </cell>
          <cell r="H681">
            <v>3.7154746247284626E-2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E682">
            <v>2.8716223932301638E-2</v>
          </cell>
          <cell r="F682">
            <v>5.1474697479528427E-4</v>
          </cell>
          <cell r="G682">
            <v>9.9174713230731088E-3</v>
          </cell>
          <cell r="H682">
            <v>1.797810302287961E-2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E683">
            <v>0.12762844631340867</v>
          </cell>
          <cell r="F683">
            <v>1.9004724111708381E-3</v>
          </cell>
          <cell r="G683">
            <v>3.8124916872567978E-2</v>
          </cell>
          <cell r="H683">
            <v>6.2149008649838515E-2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F684">
            <v>1.3892196234998599E-7</v>
          </cell>
          <cell r="G684">
            <v>6.3259899941606602E-4</v>
          </cell>
          <cell r="H684">
            <v>6.2586073068250203E-4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E685">
            <v>8.6196273045791201E-3</v>
          </cell>
          <cell r="F685">
            <v>1.5354373325389067E-4</v>
          </cell>
          <cell r="G685">
            <v>7.8579156502980689E-4</v>
          </cell>
          <cell r="H685">
            <v>1.4101136414596104E-3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E686">
            <v>4.0476837461877153</v>
          </cell>
          <cell r="F686">
            <v>4.5832956814341541</v>
          </cell>
          <cell r="G686">
            <v>3.3327771513619973</v>
          </cell>
          <cell r="H686">
            <v>3.0323782025761243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E687">
            <v>4.0476837461877153</v>
          </cell>
          <cell r="F687">
            <v>4.5832956814341541</v>
          </cell>
          <cell r="G687">
            <v>3.3327771513619973</v>
          </cell>
          <cell r="H687">
            <v>3.0323782025761243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E688">
            <v>1.4243177642094775</v>
          </cell>
          <cell r="F688">
            <v>1.5783355758304463</v>
          </cell>
          <cell r="G688">
            <v>1.4829297215062558</v>
          </cell>
          <cell r="H688">
            <v>1.3239249428329605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E689">
            <v>0.95937093844566002</v>
          </cell>
          <cell r="F689">
            <v>1.1059519379377449</v>
          </cell>
          <cell r="G689">
            <v>1.1059495448661352</v>
          </cell>
          <cell r="H689">
            <v>1.1059490368898082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E690">
            <v>2.6454026128621484</v>
          </cell>
          <cell r="F690">
            <v>3.0460669396388824</v>
          </cell>
          <cell r="G690">
            <v>3.3327771513619973</v>
          </cell>
          <cell r="H690">
            <v>3.0323782025761243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F691">
            <v>2.6189921058014098E-2</v>
          </cell>
          <cell r="G691">
            <v>6.57201886520699E-3</v>
          </cell>
          <cell r="H691">
            <v>1.22223453523903E-2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E692">
            <v>7.351251520192148E-2</v>
          </cell>
          <cell r="F692">
            <v>8.4745674549080385E-2</v>
          </cell>
          <cell r="G692">
            <v>8.474536934816114E-2</v>
          </cell>
          <cell r="H692">
            <v>8.4746728353492756E-2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H693">
            <v>3.4912072766099212E-3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H694">
            <v>2.6275928450274657E-3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H695">
            <v>7.3510255104334661E-3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H696">
            <v>2.0528716316637301E-4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H697">
            <v>2.0528716316637301E-4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E698">
            <v>2.3122993305166955E-3</v>
          </cell>
          <cell r="F698">
            <v>2.3011802591898253E-3</v>
          </cell>
          <cell r="G698">
            <v>5.6568100208002112E-2</v>
          </cell>
          <cell r="H698">
            <v>0.11887237119887244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E699">
            <v>2.3122993305166981E-3</v>
          </cell>
          <cell r="F699">
            <v>2.3011802591898275E-3</v>
          </cell>
          <cell r="G699">
            <v>5.6568100208002139E-2</v>
          </cell>
          <cell r="H699">
            <v>0.11887237119887249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E700">
            <v>2.5665098209719304E-3</v>
          </cell>
          <cell r="F700">
            <v>2.5537040275603602E-3</v>
          </cell>
          <cell r="G700">
            <v>6.2557818868221191E-2</v>
          </cell>
          <cell r="H700">
            <v>0.13145788432316036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E701">
            <v>2.5665098209719304E-3</v>
          </cell>
          <cell r="F701">
            <v>2.5537040275603602E-3</v>
          </cell>
          <cell r="G701">
            <v>6.2557818868221191E-2</v>
          </cell>
          <cell r="H701">
            <v>0.13145788432316036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E702">
            <v>9.4297145353827803E-4</v>
          </cell>
          <cell r="F702">
            <v>1.55053516991244E-6</v>
          </cell>
          <cell r="G702">
            <v>6.3154834296009807E-2</v>
          </cell>
          <cell r="H702">
            <v>5.0182107725556604E-4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E703">
            <v>9.4563537420813519E-4</v>
          </cell>
          <cell r="F703">
            <v>9.4663689387097631E-4</v>
          </cell>
          <cell r="G703">
            <v>6.4100331558390386E-2</v>
          </cell>
          <cell r="H703">
            <v>6.4346405119035888E-2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E704">
            <v>2102.5026804803001</v>
          </cell>
          <cell r="F704">
            <v>1728.02641639235</v>
          </cell>
          <cell r="G704">
            <v>1903.2230314215501</v>
          </cell>
          <cell r="H704">
            <v>1348.2119329965601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E706">
            <v>37.484375396996811</v>
          </cell>
          <cell r="F706">
            <v>30.541083717978672</v>
          </cell>
          <cell r="G706">
            <v>35.2832142442209</v>
          </cell>
          <cell r="H706">
            <v>25.473929335097257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E707">
            <v>37.278416320572767</v>
          </cell>
          <cell r="F707">
            <v>30.638766248091262</v>
          </cell>
          <cell r="G707">
            <v>33.745089209601879</v>
          </cell>
          <cell r="H707">
            <v>23.90446689710215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E708">
            <v>0.32570739631357049</v>
          </cell>
          <cell r="F708">
            <v>3.1651609187382755E-5</v>
          </cell>
          <cell r="G708">
            <v>1.6509964168619402</v>
          </cell>
          <cell r="H708">
            <v>1.6510381848639177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E710">
            <v>2.7200769290024599E-6</v>
          </cell>
          <cell r="F710">
            <v>8.6261151815734195E-7</v>
          </cell>
          <cell r="G710">
            <v>1.10542962452421E-6</v>
          </cell>
          <cell r="H710">
            <v>1.4742025611665501E-6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E711">
            <v>1.984486090343029</v>
          </cell>
          <cell r="F711">
            <v>1.9844869529545472</v>
          </cell>
          <cell r="G711">
            <v>1.9844880583841717</v>
          </cell>
          <cell r="H711">
            <v>1.9844895325867329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E712">
            <v>0.52400000000000047</v>
          </cell>
          <cell r="F712">
            <v>0.54529224331287351</v>
          </cell>
          <cell r="G712">
            <v>0.50316484164642317</v>
          </cell>
          <cell r="H712">
            <v>1.6453367237501542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E713">
            <v>0.52400000000000047</v>
          </cell>
          <cell r="F713">
            <v>0.54529224331287351</v>
          </cell>
          <cell r="G713">
            <v>0.50316484164642317</v>
          </cell>
          <cell r="H713">
            <v>1.6453367237501542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F714">
            <v>7.1321505844187403E-3</v>
          </cell>
          <cell r="G714">
            <v>0.20964763382690499</v>
          </cell>
          <cell r="H714">
            <v>0.24874828815282801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E715">
            <v>8.7120000000000003E-2</v>
          </cell>
          <cell r="F715">
            <v>9.0660038621025937E-2</v>
          </cell>
          <cell r="G715">
            <v>8.3655956114954938E-2</v>
          </cell>
          <cell r="H715">
            <v>0.27355307821147729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E716">
            <v>2.0856376609209204</v>
          </cell>
          <cell r="F716">
            <v>2.4000941335506005</v>
          </cell>
          <cell r="G716">
            <v>0.28283870769214003</v>
          </cell>
          <cell r="H716">
            <v>0.24781517944486917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E717">
            <v>2.0856376609209204</v>
          </cell>
          <cell r="F717">
            <v>2.4000941335506005</v>
          </cell>
          <cell r="G717">
            <v>0.28283870769214003</v>
          </cell>
          <cell r="H717">
            <v>0.24781517944486917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E718">
            <v>2.1349390887346629</v>
          </cell>
          <cell r="F718">
            <v>3.3906652747043364</v>
          </cell>
          <cell r="G718">
            <v>4.0404876575880024</v>
          </cell>
          <cell r="H718">
            <v>4.3440941472307548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E719">
            <v>2.1349390887346629</v>
          </cell>
          <cell r="F719">
            <v>3.3906652747043364</v>
          </cell>
          <cell r="G719">
            <v>4.0404876575880024</v>
          </cell>
          <cell r="H719">
            <v>4.3440941472307548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E720">
            <v>2.1349390887346602</v>
          </cell>
          <cell r="F720">
            <v>3.39066527470434</v>
          </cell>
          <cell r="G720">
            <v>4.0404876575879998</v>
          </cell>
          <cell r="H720">
            <v>4.3440941472307504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F721">
            <v>4.2700621357823002E-8</v>
          </cell>
          <cell r="G721">
            <v>9.3566602339002997E-7</v>
          </cell>
          <cell r="H721">
            <v>4.3609962797646098E-7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E722">
            <v>0.67885700000000004</v>
          </cell>
          <cell r="F722">
            <v>1.1558999603787712</v>
          </cell>
          <cell r="G722">
            <v>1.2891579783666449</v>
          </cell>
          <cell r="H722">
            <v>1.2522755795226528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F729">
            <v>0.10071388708090599</v>
          </cell>
          <cell r="G729">
            <v>0.12497160971333622</v>
          </cell>
          <cell r="H729">
            <v>0.31469323030356533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F730">
            <v>0.10071388708090599</v>
          </cell>
          <cell r="G730">
            <v>0.12497160971333622</v>
          </cell>
          <cell r="H730">
            <v>0.31469323030356533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F731">
            <v>1.3563320070785799E-2</v>
          </cell>
          <cell r="G731">
            <v>5.5427755316071896E-6</v>
          </cell>
          <cell r="H731">
            <v>2.0460084284219599E-2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F732">
            <v>1.3563320070785799E-2</v>
          </cell>
          <cell r="G732">
            <v>1.3568862846317401E-2</v>
          </cell>
          <cell r="H732">
            <v>3.4028947130537002E-2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E733">
            <v>7.4947440367819579E-3</v>
          </cell>
          <cell r="F733">
            <v>6.0133670478198856E-3</v>
          </cell>
          <cell r="G733">
            <v>1.6188380842646694E-2</v>
          </cell>
          <cell r="H733">
            <v>7.3629627395918232E-2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E734">
            <v>7.4947440367819562E-3</v>
          </cell>
          <cell r="F734">
            <v>6.0133670478198838E-3</v>
          </cell>
          <cell r="G734">
            <v>1.6188380842646687E-2</v>
          </cell>
          <cell r="H734">
            <v>7.3629627395918218E-2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E735">
            <v>8.3822232631575698E-3</v>
          </cell>
          <cell r="F735">
            <v>6.7248995920868096E-3</v>
          </cell>
          <cell r="G735">
            <v>1.810338568997388E-2</v>
          </cell>
          <cell r="H735">
            <v>8.2338094975933807E-2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E736">
            <v>8.3822232631575698E-3</v>
          </cell>
          <cell r="F736">
            <v>6.7248995920868096E-3</v>
          </cell>
          <cell r="G736">
            <v>1.810338568997388E-2</v>
          </cell>
          <cell r="H736">
            <v>8.2338094975933807E-2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E737">
            <v>1.0411007081888499E-3</v>
          </cell>
          <cell r="F737">
            <v>1.66296502630644E-6</v>
          </cell>
          <cell r="G737">
            <v>3.1663788352277499E-3</v>
          </cell>
          <cell r="H737">
            <v>6.2400389833274601E-3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E738">
            <v>1.0411007081888499E-3</v>
          </cell>
          <cell r="F738">
            <v>1.042215438916965E-3</v>
          </cell>
          <cell r="G738">
            <v>4.2078481813258841E-3</v>
          </cell>
          <cell r="H738">
            <v>1.0168087160850872E-2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E739">
            <v>2.3324186651116161E-3</v>
          </cell>
          <cell r="F739">
            <v>2.3208129887735641E-3</v>
          </cell>
          <cell r="G739">
            <v>2.6132735317083537E-2</v>
          </cell>
          <cell r="H739">
            <v>4.7880543593599653E-2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E740">
            <v>2.3324186651116183E-3</v>
          </cell>
          <cell r="F740">
            <v>2.3208129887735663E-3</v>
          </cell>
          <cell r="G740">
            <v>2.6132735317083544E-2</v>
          </cell>
          <cell r="H740">
            <v>4.7880543593599709E-2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E741">
            <v>2.5887590848267931E-3</v>
          </cell>
          <cell r="F741">
            <v>2.5754151720634609E-3</v>
          </cell>
          <cell r="G741">
            <v>2.8900445934103805E-2</v>
          </cell>
          <cell r="H741">
            <v>5.2950537621003352E-2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E742">
            <v>2.5887590848267931E-3</v>
          </cell>
          <cell r="F742">
            <v>2.5754151720634609E-3</v>
          </cell>
          <cell r="G742">
            <v>2.8900445934103805E-2</v>
          </cell>
          <cell r="H742">
            <v>5.2950537621003352E-2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E743">
            <v>9.5178913726668096E-4</v>
          </cell>
          <cell r="F743">
            <v>1.5556056076507101E-6</v>
          </cell>
          <cell r="G743">
            <v>1.8268895055913101E-2</v>
          </cell>
          <cell r="H743">
            <v>6.9327043962451903E-4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E744">
            <v>9.5445269016247128E-4</v>
          </cell>
          <cell r="F744">
            <v>9.5547193586152093E-4</v>
          </cell>
          <cell r="G744">
            <v>1.9223311061420497E-2</v>
          </cell>
          <cell r="H744">
            <v>1.9658441198823248E-2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3.0131261750445414E-3</v>
          </cell>
          <cell r="G745">
            <v>3.0492244424761223E-3</v>
          </cell>
          <cell r="H745">
            <v>4.4691170918040044E-3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3.0131261750445414E-3</v>
          </cell>
          <cell r="G746">
            <v>3.0492244424761223E-3</v>
          </cell>
          <cell r="H746">
            <v>4.4691170918040044E-3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3.7686558629272376E-3</v>
          </cell>
          <cell r="G747">
            <v>3.8130723881581773E-3</v>
          </cell>
          <cell r="H747">
            <v>5.5865950550739165E-3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3.7686558629272376E-3</v>
          </cell>
          <cell r="G748">
            <v>3.8130723881581773E-3</v>
          </cell>
          <cell r="H748">
            <v>5.5865950550739165E-3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3.5774572505640399E-4</v>
          </cell>
          <cell r="G749">
            <v>5.5513809150840102E-8</v>
          </cell>
          <cell r="H749">
            <v>8.3129358173521506E-8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3.5774572505640399E-4</v>
          </cell>
          <cell r="G750">
            <v>3.5774572505640399E-4</v>
          </cell>
          <cell r="H750">
            <v>3.5774572505640399E-4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2266.27524106793</v>
          </cell>
          <cell r="F751">
            <v>2235.4032770869298</v>
          </cell>
          <cell r="G751">
            <v>2268.7773376305499</v>
          </cell>
          <cell r="H751">
            <v>2238.5113138414499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48.842138816119345</v>
          </cell>
          <cell r="F752">
            <v>48.176797541960681</v>
          </cell>
          <cell r="G752">
            <v>48.896064468349039</v>
          </cell>
          <cell r="H752">
            <v>48.243775639300381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24.421069408059665</v>
          </cell>
          <cell r="F753">
            <v>24.088397382402249</v>
          </cell>
          <cell r="G753">
            <v>24.448031655501616</v>
          </cell>
          <cell r="H753">
            <v>24.121889157774284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24.421069408059665</v>
          </cell>
          <cell r="F754">
            <v>24.088397382402249</v>
          </cell>
          <cell r="G754">
            <v>24.448031655501616</v>
          </cell>
          <cell r="H754">
            <v>24.121889157774284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5.05929320393229</v>
          </cell>
        </row>
        <row r="5">
          <cell r="A5" t="str">
            <v>EXPELC_DE</v>
          </cell>
          <cell r="C5" t="str">
            <v>ELC_E-DE</v>
          </cell>
          <cell r="D5">
            <v>26.492981160111754</v>
          </cell>
          <cell r="E5">
            <v>9.8058207334531119E-4</v>
          </cell>
          <cell r="F5">
            <v>1.2206636978015952E-3</v>
          </cell>
          <cell r="G5">
            <v>7.3517465583475706E-4</v>
          </cell>
        </row>
        <row r="6">
          <cell r="A6" t="str">
            <v>IMPDSL</v>
          </cell>
          <cell r="C6" t="str">
            <v>DSL</v>
          </cell>
          <cell r="D6">
            <v>122.16104762033362</v>
          </cell>
          <cell r="E6">
            <v>112.68604527998711</v>
          </cell>
          <cell r="F6">
            <v>97.37049135531646</v>
          </cell>
          <cell r="G6">
            <v>69.421194260625285</v>
          </cell>
        </row>
        <row r="7">
          <cell r="A7" t="str">
            <v>IMPELC_AT</v>
          </cell>
          <cell r="C7" t="str">
            <v>ELC_I-AT</v>
          </cell>
          <cell r="D7">
            <v>15.013813524265686</v>
          </cell>
          <cell r="E7">
            <v>6.7542711417497427</v>
          </cell>
          <cell r="F7">
            <v>4.0856243113272521</v>
          </cell>
          <cell r="G7">
            <v>4.9740521969389491</v>
          </cell>
        </row>
        <row r="8">
          <cell r="A8" t="str">
            <v>IMPELC_AT</v>
          </cell>
          <cell r="C8" t="str">
            <v>ELCS</v>
          </cell>
          <cell r="D8">
            <v>15.013813524265686</v>
          </cell>
          <cell r="E8">
            <v>6.7542711417497427</v>
          </cell>
          <cell r="F8">
            <v>4.0856243113272521</v>
          </cell>
          <cell r="G8">
            <v>4.9740521969389491</v>
          </cell>
        </row>
        <row r="9">
          <cell r="A9" t="str">
            <v>IMPELC_FR</v>
          </cell>
          <cell r="C9" t="str">
            <v>ELC_I-FR</v>
          </cell>
          <cell r="D9">
            <v>28.948628668426434</v>
          </cell>
          <cell r="E9">
            <v>20.158518745120439</v>
          </cell>
          <cell r="F9">
            <v>25.525986122735212</v>
          </cell>
          <cell r="G9">
            <v>17.719733799112877</v>
          </cell>
        </row>
        <row r="10">
          <cell r="A10" t="str">
            <v>IMPELC_FR</v>
          </cell>
          <cell r="C10" t="str">
            <v>ELCS</v>
          </cell>
          <cell r="D10">
            <v>28.948628668426434</v>
          </cell>
          <cell r="E10">
            <v>20.158518745120439</v>
          </cell>
          <cell r="F10">
            <v>25.525986122735212</v>
          </cell>
          <cell r="G10">
            <v>17.719733799112877</v>
          </cell>
        </row>
        <row r="11">
          <cell r="A11" t="str">
            <v>RNWHYDR1</v>
          </cell>
          <cell r="C11" t="str">
            <v>HYDR</v>
          </cell>
          <cell r="D11">
            <v>66.632402849791276</v>
          </cell>
          <cell r="E11">
            <v>55.763999829976285</v>
          </cell>
          <cell r="F11">
            <v>65.56163759729597</v>
          </cell>
          <cell r="G11">
            <v>64.930930936670251</v>
          </cell>
        </row>
        <row r="12">
          <cell r="A12" t="str">
            <v>EXPELC_IT</v>
          </cell>
          <cell r="C12" t="str">
            <v>ELC_E-IT</v>
          </cell>
          <cell r="D12">
            <v>71.694113763115169</v>
          </cell>
          <cell r="E12">
            <v>36.642140306504153</v>
          </cell>
          <cell r="F12">
            <v>75.716679598697041</v>
          </cell>
          <cell r="G12">
            <v>50.744732761981908</v>
          </cell>
        </row>
        <row r="13">
          <cell r="A13" t="str">
            <v>IMPLNG</v>
          </cell>
          <cell r="C13" t="str">
            <v>LBIO</v>
          </cell>
          <cell r="G13">
            <v>2.13476480762293</v>
          </cell>
        </row>
        <row r="14">
          <cell r="A14" t="str">
            <v>IMPLNG</v>
          </cell>
          <cell r="C14" t="str">
            <v>LNGA</v>
          </cell>
          <cell r="G14">
            <v>9.3653399905918903E-4</v>
          </cell>
        </row>
        <row r="15">
          <cell r="A15" t="str">
            <v>IMPURN1</v>
          </cell>
          <cell r="C15" t="str">
            <v>URN</v>
          </cell>
          <cell r="D15">
            <v>250.94820421254295</v>
          </cell>
          <cell r="E15">
            <v>253.29988923882391</v>
          </cell>
          <cell r="F15">
            <v>233.1760463712923</v>
          </cell>
          <cell r="G15">
            <v>187.17906433080435</v>
          </cell>
        </row>
        <row r="16">
          <cell r="A16" t="str">
            <v>EXPELC_AT</v>
          </cell>
          <cell r="C16" t="str">
            <v>ELC_E-AT</v>
          </cell>
          <cell r="D16">
            <v>6.229562760659074</v>
          </cell>
          <cell r="E16">
            <v>1.4971965951389448E-3</v>
          </cell>
          <cell r="F16">
            <v>2.2076983982626829E-3</v>
          </cell>
          <cell r="G16">
            <v>3.4654900922581567E-4</v>
          </cell>
        </row>
        <row r="17">
          <cell r="A17" t="str">
            <v>EXPELC_FR</v>
          </cell>
          <cell r="C17" t="str">
            <v>ELC_E-FR</v>
          </cell>
          <cell r="D17">
            <v>12.753363555310623</v>
          </cell>
          <cell r="E17">
            <v>1.342766871958142E-3</v>
          </cell>
          <cell r="F17">
            <v>1.4573505727703464E-3</v>
          </cell>
          <cell r="G17">
            <v>6.3724491979097074E-4</v>
          </cell>
        </row>
        <row r="18">
          <cell r="A18" t="str">
            <v>RNWWND1</v>
          </cell>
          <cell r="C18" t="str">
            <v>WND</v>
          </cell>
          <cell r="D18">
            <v>0.51757938143322668</v>
          </cell>
          <cell r="E18">
            <v>0.53883816472958068</v>
          </cell>
          <cell r="F18">
            <v>0.49667311247101747</v>
          </cell>
          <cell r="G18">
            <v>0.87512426669575549</v>
          </cell>
        </row>
        <row r="19">
          <cell r="A19" t="str">
            <v>RNWWND2</v>
          </cell>
          <cell r="C19" t="str">
            <v>WND</v>
          </cell>
          <cell r="D19">
            <v>2.2854202908290668E-3</v>
          </cell>
          <cell r="E19">
            <v>2.292807677907092E-3</v>
          </cell>
          <cell r="F19">
            <v>2.3069064861529149E-3</v>
          </cell>
          <cell r="G19">
            <v>0.76365450065001494</v>
          </cell>
        </row>
        <row r="20">
          <cell r="A20" t="str">
            <v>RNWMNR1</v>
          </cell>
          <cell r="C20" t="str">
            <v>MNR</v>
          </cell>
          <cell r="D20">
            <v>3.7980976375255682</v>
          </cell>
          <cell r="E20">
            <v>12.540437081035764</v>
          </cell>
          <cell r="F20">
            <v>12.540437578469644</v>
          </cell>
          <cell r="G20">
            <v>12.540432358427442</v>
          </cell>
        </row>
        <row r="21">
          <cell r="A21" t="str">
            <v>RNWWND3</v>
          </cell>
          <cell r="C21" t="str">
            <v>WND</v>
          </cell>
          <cell r="D21">
            <v>1.8942223707338975E-3</v>
          </cell>
          <cell r="E21">
            <v>1.8998737029436194E-3</v>
          </cell>
          <cell r="F21">
            <v>1.9116556017792596E-3</v>
          </cell>
          <cell r="G21">
            <v>4.10532989909665E-3</v>
          </cell>
        </row>
        <row r="22">
          <cell r="A22" t="str">
            <v>RNWMNR2</v>
          </cell>
          <cell r="C22" t="str">
            <v>MNR</v>
          </cell>
        </row>
        <row r="23">
          <cell r="A23" t="str">
            <v>RNWWND4</v>
          </cell>
          <cell r="C23" t="str">
            <v>WND</v>
          </cell>
          <cell r="D23">
            <v>1.3331549020445348E-3</v>
          </cell>
          <cell r="E23">
            <v>1.3364263190765269E-3</v>
          </cell>
          <cell r="F23">
            <v>1.3446034502837185E-3</v>
          </cell>
          <cell r="G23">
            <v>1.499883720600259E-3</v>
          </cell>
        </row>
        <row r="24">
          <cell r="A24" t="str">
            <v>RNWMNR3</v>
          </cell>
          <cell r="C24" t="str">
            <v>MNR</v>
          </cell>
        </row>
        <row r="25">
          <cell r="A25" t="str">
            <v>IMPLFO1</v>
          </cell>
          <cell r="C25" t="str">
            <v>LFO</v>
          </cell>
          <cell r="D25">
            <v>101.77479041962813</v>
          </cell>
          <cell r="E25">
            <v>88.214731466403308</v>
          </cell>
          <cell r="F25">
            <v>85.424661713999356</v>
          </cell>
          <cell r="G25">
            <v>41.482708882093839</v>
          </cell>
        </row>
        <row r="26">
          <cell r="A26" t="str">
            <v>RNWWND5</v>
          </cell>
          <cell r="C26" t="str">
            <v>WND</v>
          </cell>
          <cell r="D26">
            <v>9.2617347678912432E-4</v>
          </cell>
          <cell r="E26">
            <v>9.2772602515680039E-4</v>
          </cell>
          <cell r="F26">
            <v>9.3132001242484709E-4</v>
          </cell>
          <cell r="G26">
            <v>9.6823153580578229E-4</v>
          </cell>
        </row>
        <row r="27">
          <cell r="A27" t="str">
            <v>IMPBNGA</v>
          </cell>
          <cell r="C27" t="str">
            <v>BIO</v>
          </cell>
          <cell r="E27">
            <v>0.51650243140238616</v>
          </cell>
          <cell r="F27">
            <v>0.38864106075147814</v>
          </cell>
          <cell r="G27">
            <v>1.0874471905911756</v>
          </cell>
        </row>
        <row r="28">
          <cell r="A28" t="str">
            <v>IMPKERintl</v>
          </cell>
          <cell r="C28" t="str">
            <v>KERintl</v>
          </cell>
          <cell r="D28">
            <v>29.5369183009729</v>
          </cell>
          <cell r="E28">
            <v>58.4954363179924</v>
          </cell>
          <cell r="F28">
            <v>80.687925102900095</v>
          </cell>
          <cell r="G28">
            <v>79.2622476438288</v>
          </cell>
        </row>
        <row r="29">
          <cell r="A29" t="str">
            <v>IMPGSL</v>
          </cell>
          <cell r="C29" t="str">
            <v>GSL</v>
          </cell>
          <cell r="D29">
            <v>77.512763226318825</v>
          </cell>
          <cell r="E29">
            <v>76.813041715937189</v>
          </cell>
          <cell r="F29">
            <v>69.938593008278062</v>
          </cell>
          <cell r="G29">
            <v>58.353187665012669</v>
          </cell>
        </row>
        <row r="30">
          <cell r="A30" t="str">
            <v>RNWWOD1</v>
          </cell>
          <cell r="C30" t="str">
            <v>WOD</v>
          </cell>
          <cell r="D30">
            <v>11.111883612464171</v>
          </cell>
          <cell r="E30">
            <v>11.952883870571489</v>
          </cell>
          <cell r="F30">
            <v>13.214391579020344</v>
          </cell>
          <cell r="G30">
            <v>15.316909749719466</v>
          </cell>
        </row>
        <row r="31">
          <cell r="A31" t="str">
            <v>RNWWOD2</v>
          </cell>
          <cell r="C31" t="str">
            <v>WOD</v>
          </cell>
          <cell r="D31">
            <v>7.5116767340058983</v>
          </cell>
          <cell r="E31">
            <v>7.5431417483062084</v>
          </cell>
          <cell r="F31">
            <v>7.5903467656905947</v>
          </cell>
          <cell r="G31">
            <v>7.6690270709706336</v>
          </cell>
        </row>
        <row r="32">
          <cell r="A32" t="str">
            <v>RNWWOD3</v>
          </cell>
          <cell r="C32" t="str">
            <v>WOD</v>
          </cell>
          <cell r="D32">
            <v>3.1682506306825062</v>
          </cell>
          <cell r="E32">
            <v>3.4956722364813468</v>
          </cell>
          <cell r="F32">
            <v>3.9868128606010207</v>
          </cell>
          <cell r="G32">
            <v>4.8053859017374396</v>
          </cell>
        </row>
        <row r="33">
          <cell r="A33" t="str">
            <v>RNWWOD4</v>
          </cell>
          <cell r="C33" t="str">
            <v>WOD</v>
          </cell>
          <cell r="D33">
            <v>13.656500545455691</v>
          </cell>
          <cell r="E33">
            <v>14.899038050745121</v>
          </cell>
          <cell r="F33">
            <v>16.76285369531378</v>
          </cell>
          <cell r="G33">
            <v>19.869224771242042</v>
          </cell>
        </row>
        <row r="34">
          <cell r="A34" t="str">
            <v>RNWWOD5</v>
          </cell>
          <cell r="C34" t="str">
            <v>WOD</v>
          </cell>
          <cell r="D34">
            <v>9.5241500692561125</v>
          </cell>
          <cell r="E34">
            <v>9.8192790243862014</v>
          </cell>
          <cell r="F34">
            <v>6.1556037040760554</v>
          </cell>
          <cell r="G34">
            <v>4.9459080895720306E-2</v>
          </cell>
        </row>
        <row r="35">
          <cell r="A35" t="str">
            <v>RNNWWST1</v>
          </cell>
          <cell r="C35" t="str">
            <v>WSTNREN</v>
          </cell>
          <cell r="D35">
            <v>35.931102390996308</v>
          </cell>
          <cell r="E35">
            <v>35.882392031879647</v>
          </cell>
          <cell r="F35">
            <v>35.489435266881891</v>
          </cell>
          <cell r="G35">
            <v>35.039963709971552</v>
          </cell>
        </row>
        <row r="36">
          <cell r="A36" t="str">
            <v>RNWSOL1</v>
          </cell>
          <cell r="C36" t="str">
            <v>SOL</v>
          </cell>
          <cell r="D36">
            <v>12.556480224862469</v>
          </cell>
          <cell r="E36">
            <v>16.522288790907528</v>
          </cell>
          <cell r="F36">
            <v>30.505487253586391</v>
          </cell>
          <cell r="G36">
            <v>33.952978007595654</v>
          </cell>
        </row>
        <row r="37">
          <cell r="A37" t="str">
            <v>IMPHFO1</v>
          </cell>
          <cell r="C37" t="str">
            <v>HFO</v>
          </cell>
          <cell r="D37">
            <v>2.7763812609812386</v>
          </cell>
          <cell r="E37">
            <v>2.7644141004072029</v>
          </cell>
          <cell r="F37">
            <v>6.1040016997173426E-3</v>
          </cell>
          <cell r="G37">
            <v>5.7215508914488719E-4</v>
          </cell>
        </row>
        <row r="38">
          <cell r="A38" t="str">
            <v>RNWHYDD1</v>
          </cell>
          <cell r="C38" t="str">
            <v>HYDD</v>
          </cell>
          <cell r="D38">
            <v>66.745680187895957</v>
          </cell>
          <cell r="E38">
            <v>49.79879795853374</v>
          </cell>
          <cell r="F38">
            <v>69.082959718964659</v>
          </cell>
          <cell r="G38">
            <v>69.713682638439238</v>
          </cell>
        </row>
        <row r="39">
          <cell r="A39" t="str">
            <v>IMPKER</v>
          </cell>
          <cell r="C39" t="str">
            <v>KER</v>
          </cell>
          <cell r="D39">
            <v>1.1068654600332086</v>
          </cell>
          <cell r="E39">
            <v>1.4052044387908236</v>
          </cell>
          <cell r="F39">
            <v>1.8485819204365332</v>
          </cell>
          <cell r="G39">
            <v>2.3983283384729965</v>
          </cell>
        </row>
        <row r="40">
          <cell r="A40" t="str">
            <v>IMPBDS</v>
          </cell>
          <cell r="C40" t="str">
            <v>BDS</v>
          </cell>
          <cell r="D40">
            <v>2.1591511123784586</v>
          </cell>
          <cell r="E40">
            <v>2.3780129388207243</v>
          </cell>
          <cell r="F40">
            <v>1.9629411088612803</v>
          </cell>
          <cell r="G40">
            <v>4.0375710340768247</v>
          </cell>
        </row>
        <row r="41">
          <cell r="A41" t="str">
            <v>IMPCOA1</v>
          </cell>
          <cell r="C41" t="str">
            <v>COA</v>
          </cell>
          <cell r="D41">
            <v>3.6600301925056655</v>
          </cell>
          <cell r="E41">
            <v>3.5647245036537694</v>
          </cell>
          <cell r="F41">
            <v>1.015348537801664</v>
          </cell>
          <cell r="G41">
            <v>4.4505442796075246E-4</v>
          </cell>
        </row>
        <row r="42">
          <cell r="A42" t="str">
            <v>IMPETH</v>
          </cell>
          <cell r="C42" t="str">
            <v>ETH</v>
          </cell>
          <cell r="D42">
            <v>4.4341521069386314</v>
          </cell>
          <cell r="E42">
            <v>4.3986159584710576</v>
          </cell>
          <cell r="F42">
            <v>4.9442003537906754</v>
          </cell>
          <cell r="G42">
            <v>3.3548132441385157</v>
          </cell>
        </row>
        <row r="43">
          <cell r="A43" t="str">
            <v>IMPELC_DE</v>
          </cell>
          <cell r="C43" t="str">
            <v>ELC_I-DE</v>
          </cell>
          <cell r="D43">
            <v>46.398482677349214</v>
          </cell>
          <cell r="E43">
            <v>23.362271727129965</v>
          </cell>
          <cell r="F43">
            <v>20.838007818545432</v>
          </cell>
          <cell r="G43">
            <v>28.052291534166443</v>
          </cell>
        </row>
        <row r="44">
          <cell r="A44" t="str">
            <v>IMPELC_DE</v>
          </cell>
          <cell r="C44" t="str">
            <v>ELCS</v>
          </cell>
          <cell r="D44">
            <v>46.398482677349214</v>
          </cell>
          <cell r="E44">
            <v>23.362271727129965</v>
          </cell>
          <cell r="F44">
            <v>20.838007818545432</v>
          </cell>
          <cell r="G44">
            <v>28.052291534166443</v>
          </cell>
        </row>
        <row r="45">
          <cell r="A45" t="str">
            <v>RNWWST1</v>
          </cell>
          <cell r="C45" t="str">
            <v>WSTREN</v>
          </cell>
          <cell r="D45">
            <v>34.100447765486386</v>
          </cell>
          <cell r="E45">
            <v>34.814601345464617</v>
          </cell>
          <cell r="F45">
            <v>34.814615861347086</v>
          </cell>
          <cell r="G45">
            <v>35.721703378352721</v>
          </cell>
        </row>
        <row r="46">
          <cell r="A46" t="str">
            <v>IMPNGA1</v>
          </cell>
          <cell r="C46" t="str">
            <v>NGA</v>
          </cell>
          <cell r="D46">
            <v>117.19647199814379</v>
          </cell>
          <cell r="E46">
            <v>106.72000712196059</v>
          </cell>
          <cell r="F46">
            <v>104.68092671429676</v>
          </cell>
          <cell r="G46">
            <v>80.85366590750165</v>
          </cell>
        </row>
        <row r="47">
          <cell r="A47" t="str">
            <v>IMPELC_IT</v>
          </cell>
          <cell r="C47" t="str">
            <v>ELC_I-IT</v>
          </cell>
          <cell r="D47">
            <v>6.7991000733317817</v>
          </cell>
          <cell r="E47">
            <v>9.2342002894526339E-4</v>
          </cell>
          <cell r="F47">
            <v>7.8876384854330859E-4</v>
          </cell>
          <cell r="G47">
            <v>3.7447151087189202E-4</v>
          </cell>
        </row>
        <row r="48">
          <cell r="A48" t="str">
            <v>IMPELC_IT</v>
          </cell>
          <cell r="C48" t="str">
            <v>ELCS</v>
          </cell>
          <cell r="D48">
            <v>6.7991000733317817</v>
          </cell>
          <cell r="E48">
            <v>9.2342002894526339E-4</v>
          </cell>
          <cell r="F48">
            <v>7.8876384854330859E-4</v>
          </cell>
          <cell r="G48">
            <v>3.7447151087189202E-4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3.2682368591828381</v>
          </cell>
          <cell r="E4">
            <v>3.8319960552868402</v>
          </cell>
          <cell r="F4">
            <v>0.30768276463054328</v>
          </cell>
          <cell r="G4">
            <v>0.26820077425479188</v>
          </cell>
          <cell r="H4">
            <v>0.21508941265257792</v>
          </cell>
          <cell r="I4">
            <v>0.15760328710567301</v>
          </cell>
          <cell r="J4">
            <v>5.3744258693765062E-2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3.2682368591828381</v>
          </cell>
          <cell r="E5">
            <v>3.8319960552868402</v>
          </cell>
          <cell r="F5">
            <v>0.30768276463054328</v>
          </cell>
          <cell r="G5">
            <v>0.26820077425479188</v>
          </cell>
          <cell r="H5">
            <v>0.21508941265257792</v>
          </cell>
          <cell r="I5">
            <v>0.15760328710567301</v>
          </cell>
          <cell r="J5">
            <v>5.3744258693765062E-2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1.0921772128429151E-3</v>
          </cell>
          <cell r="F6">
            <v>4.1017621075969785E-5</v>
          </cell>
          <cell r="G6">
            <v>3.0372945863113939E-4</v>
          </cell>
          <cell r="H6">
            <v>3.506259276153177E-4</v>
          </cell>
          <cell r="I6">
            <v>2.4047032133758323E-4</v>
          </cell>
          <cell r="J6">
            <v>2.9548223912063699E-4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1.0932693900557588E-3</v>
          </cell>
          <cell r="F7">
            <v>4.1058638697045758E-5</v>
          </cell>
          <cell r="G7">
            <v>3.0403318808977015E-4</v>
          </cell>
          <cell r="H7">
            <v>3.5097655354293287E-4</v>
          </cell>
          <cell r="I7">
            <v>2.4071079165892073E-4</v>
          </cell>
          <cell r="J7">
            <v>2.9577772135975779E-4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1.0673188467885456E-3</v>
          </cell>
          <cell r="F8">
            <v>3.1866828243338018E-5</v>
          </cell>
          <cell r="G8">
            <v>2.9501284093089619E-4</v>
          </cell>
          <cell r="H8">
            <v>3.4926361115117924E-4</v>
          </cell>
          <cell r="I8">
            <v>2.4066165275189375E-4</v>
          </cell>
          <cell r="J8">
            <v>2.9958758576438874E-4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2.0510257282457201E-4</v>
          </cell>
          <cell r="E9">
            <v>7.9777517145315895E-6</v>
          </cell>
          <cell r="F9">
            <v>1.39605480493829E-4</v>
          </cell>
          <cell r="G9">
            <v>5.3612841626388803E-6</v>
          </cell>
          <cell r="H9">
            <v>1.98276477341184E-6</v>
          </cell>
          <cell r="I9">
            <v>3.6220411026352902E-5</v>
          </cell>
          <cell r="J9">
            <v>4.7470762055159303E-5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2.0510257282457201E-4</v>
          </cell>
          <cell r="E10">
            <v>2.1308032453910399E-4</v>
          </cell>
          <cell r="F10">
            <v>3.5268580503293201E-4</v>
          </cell>
          <cell r="G10">
            <v>3.5804708919557102E-4</v>
          </cell>
          <cell r="H10">
            <v>2.0422705739316801E-4</v>
          </cell>
          <cell r="I10">
            <v>6.6592050687874202E-5</v>
          </cell>
          <cell r="J10">
            <v>7.4595827479567099E-5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1.28273475749754E-3</v>
          </cell>
          <cell r="F11">
            <v>9.0352350681409508</v>
          </cell>
          <cell r="G11">
            <v>9.7482048167733399</v>
          </cell>
          <cell r="H11">
            <v>9.1435633134340399</v>
          </cell>
          <cell r="I11">
            <v>4.7407004015891898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1.559181212471573E-5</v>
          </cell>
          <cell r="F12">
            <v>0.1164433722546766</v>
          </cell>
          <cell r="G12">
            <v>0.12563191037462693</v>
          </cell>
          <cell r="H12">
            <v>0.11783947386102402</v>
          </cell>
          <cell r="I12">
            <v>6.1096710539012652E-2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1.7404813534566391E-5</v>
          </cell>
          <cell r="F13">
            <v>0.12259477704397503</v>
          </cell>
          <cell r="G13">
            <v>0.13226872207290841</v>
          </cell>
          <cell r="H13">
            <v>0.12406463111850786</v>
          </cell>
          <cell r="I13">
            <v>6.4324293101617178E-2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5.05177880791617E-5</v>
          </cell>
          <cell r="F14">
            <v>2.6826663757522799E-2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5.05177880791617E-5</v>
          </cell>
          <cell r="F15">
            <v>2.6866487195938912E-2</v>
          </cell>
          <cell r="G15">
            <v>2.6858057667568533E-2</v>
          </cell>
          <cell r="H15">
            <v>2.6839098931955678E-2</v>
          </cell>
          <cell r="I15">
            <v>4.7515269037130669E-3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5.5499392649233599</v>
          </cell>
          <cell r="G16">
            <v>14.129417319808701</v>
          </cell>
          <cell r="H16">
            <v>19.610871420802699</v>
          </cell>
          <cell r="I16">
            <v>23.1705975854399</v>
          </cell>
          <cell r="J16">
            <v>24.8289991610933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0.1892801881522552</v>
          </cell>
          <cell r="G17">
            <v>0.50015931401600977</v>
          </cell>
          <cell r="H17">
            <v>0.70543463395207417</v>
          </cell>
          <cell r="I17">
            <v>0.84654188538920561</v>
          </cell>
          <cell r="J17">
            <v>0.94317854166954085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9.8403178456087967E-2</v>
          </cell>
          <cell r="G18">
            <v>0.25052158368455185</v>
          </cell>
          <cell r="H18">
            <v>0.34771048618444511</v>
          </cell>
          <cell r="I18">
            <v>0.41082619832340134</v>
          </cell>
          <cell r="J18">
            <v>0.44023048157966932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0.1892801881522552</v>
          </cell>
          <cell r="G19">
            <v>0.50015931401600977</v>
          </cell>
          <cell r="H19">
            <v>0.70543463395207417</v>
          </cell>
          <cell r="I19">
            <v>0.84654188538920561</v>
          </cell>
          <cell r="J19">
            <v>0.94317854166954085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1.1822541182041501E-6</v>
          </cell>
          <cell r="F20">
            <v>1.38912084029181E-2</v>
          </cell>
          <cell r="G20">
            <v>2.2575123899888701E-2</v>
          </cell>
          <cell r="H20">
            <v>1.5000553813367099E-2</v>
          </cell>
          <cell r="I20">
            <v>2.9672210767897399E-2</v>
          </cell>
          <cell r="J20">
            <v>4.1062196415254597E-2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1.1822541182041501E-6</v>
          </cell>
          <cell r="F21">
            <v>1.3892227765886028E-2</v>
          </cell>
          <cell r="G21">
            <v>3.6467284154619327E-2</v>
          </cell>
          <cell r="H21">
            <v>5.1466799713448447E-2</v>
          </cell>
          <cell r="I21">
            <v>6.2551124462259078E-2</v>
          </cell>
          <cell r="J21">
            <v>6.8941247568629266E-2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0.46152620871717753</v>
          </cell>
          <cell r="E22">
            <v>0.54457806783791973</v>
          </cell>
          <cell r="F22">
            <v>0.54458508726295862</v>
          </cell>
          <cell r="G22">
            <v>0.54460992139374098</v>
          </cell>
          <cell r="H22">
            <v>0.54500189300149815</v>
          </cell>
          <cell r="I22">
            <v>0.54500631178396242</v>
          </cell>
          <cell r="J22">
            <v>0.54501847831632111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0.46152620871717753</v>
          </cell>
          <cell r="E23">
            <v>0.54457806783791973</v>
          </cell>
          <cell r="F23">
            <v>0.54458508726295862</v>
          </cell>
          <cell r="G23">
            <v>0.54460992139374098</v>
          </cell>
          <cell r="H23">
            <v>0.54500189300149815</v>
          </cell>
          <cell r="I23">
            <v>0.54500631178396242</v>
          </cell>
          <cell r="J23">
            <v>0.54501847831632111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0.62579824910803716</v>
          </cell>
          <cell r="E24">
            <v>0.73757751851636921</v>
          </cell>
          <cell r="F24">
            <v>0.73634039967949361</v>
          </cell>
          <cell r="G24">
            <v>0.73430551199156069</v>
          </cell>
          <cell r="H24">
            <v>0.73277565445579596</v>
          </cell>
          <cell r="I24">
            <v>0.73073471971034043</v>
          </cell>
          <cell r="J24">
            <v>0.72669130442176155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8.1800199808040302E-3</v>
          </cell>
          <cell r="F25">
            <v>5.3469323997206701E-5</v>
          </cell>
          <cell r="G25">
            <v>1.7970751817863101E-5</v>
          </cell>
          <cell r="H25">
            <v>1.9459963884966201E-2</v>
          </cell>
          <cell r="I25">
            <v>1.8820242356356098E-2</v>
          </cell>
          <cell r="J25">
            <v>1.2760334388498201E-2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3.8038457207903387E-2</v>
          </cell>
          <cell r="F26">
            <v>3.8071170053019805E-2</v>
          </cell>
          <cell r="G26">
            <v>3.8050179719926282E-2</v>
          </cell>
          <cell r="H26">
            <v>3.1424783873258193E-2</v>
          </cell>
          <cell r="I26">
            <v>3.8280040996538749E-2</v>
          </cell>
          <cell r="J26">
            <v>3.4621617364369368E-2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D27"/>
          <cell r="E27"/>
          <cell r="F27"/>
          <cell r="G27">
            <v>4.5939386234551395E-4</v>
          </cell>
          <cell r="H27">
            <v>1.1051620141214358E-3</v>
          </cell>
          <cell r="I27">
            <v>9.9347747740686663E-4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D28"/>
          <cell r="E28"/>
          <cell r="F28"/>
          <cell r="G28">
            <v>3.4239178710321051E-4</v>
          </cell>
          <cell r="H28">
            <v>7.5702723106600006E-4</v>
          </cell>
          <cell r="I28">
            <v>6.5626278784741655E-4</v>
          </cell>
          <cell r="J28"/>
          <cell r="K28"/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D29"/>
          <cell r="E29"/>
          <cell r="F29"/>
          <cell r="G29">
            <v>7.9229585594819691E-4</v>
          </cell>
          <cell r="H29">
            <v>1.8498491186667583E-3</v>
          </cell>
          <cell r="I29">
            <v>1.6424166693490066E-3</v>
          </cell>
          <cell r="J29"/>
          <cell r="K29"/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D30">
            <v>0.52047786963655229</v>
          </cell>
          <cell r="E30">
            <v>0.59724721008108839</v>
          </cell>
          <cell r="F30">
            <v>1.015390795068478</v>
          </cell>
          <cell r="G30">
            <v>0.86068834829869045</v>
          </cell>
          <cell r="H30">
            <v>0.70786483046414717</v>
          </cell>
          <cell r="I30">
            <v>0.54819034495352059</v>
          </cell>
          <cell r="J30">
            <v>0.25105959691366081</v>
          </cell>
          <cell r="K30"/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D31">
            <v>1.0409557392731046</v>
          </cell>
          <cell r="E31">
            <v>1.1944944201621766</v>
          </cell>
          <cell r="F31">
            <v>2.3452071968774555</v>
          </cell>
          <cell r="G31">
            <v>1.9343172094043732</v>
          </cell>
          <cell r="H31">
            <v>1.5613856693105888</v>
          </cell>
          <cell r="I31">
            <v>1.1832813996604898</v>
          </cell>
          <cell r="J31">
            <v>0.50685959758572563</v>
          </cell>
          <cell r="K31"/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D32"/>
          <cell r="E32">
            <v>5.1366973849955597E-3</v>
          </cell>
          <cell r="F32">
            <v>2.6801681145520399E-2</v>
          </cell>
          <cell r="G32">
            <v>1.24682596332852E-6</v>
          </cell>
          <cell r="H32">
            <v>1.06428540007589E-2</v>
          </cell>
          <cell r="I32">
            <v>2.2093836404027699E-2</v>
          </cell>
          <cell r="J32">
            <v>3.45758401036285E-7</v>
          </cell>
          <cell r="K32"/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D33">
            <v>3.5322010722483803E-2</v>
          </cell>
          <cell r="E33">
            <v>4.0458476663416551E-2</v>
          </cell>
          <cell r="F33">
            <v>6.7259928834266222E-2</v>
          </cell>
          <cell r="G33">
            <v>6.6036571218456699E-2</v>
          </cell>
          <cell r="H33">
            <v>4.8908781514040649E-2</v>
          </cell>
          <cell r="I33">
            <v>3.7483924208979516E-2</v>
          </cell>
          <cell r="J33">
            <v>2.026342148149899E-2</v>
          </cell>
          <cell r="K33"/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D34">
            <v>4.3871606885923482</v>
          </cell>
          <cell r="E34">
            <v>5.0319223079427351</v>
          </cell>
          <cell r="F34">
            <v>5.0318138090105009</v>
          </cell>
          <cell r="G34">
            <v>3.8199854764864982</v>
          </cell>
          <cell r="H34">
            <v>2.866050785757003</v>
          </cell>
          <cell r="I34">
            <v>2.0471279774254372</v>
          </cell>
          <cell r="J34">
            <v>0.87451143852040647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D35">
            <v>6.0932787341560344</v>
          </cell>
          <cell r="E35">
            <v>6.9887809832538013</v>
          </cell>
          <cell r="F35">
            <v>7.033371434088898</v>
          </cell>
          <cell r="G35">
            <v>5.2737547827053985</v>
          </cell>
          <cell r="H35">
            <v>3.9448980975267065</v>
          </cell>
          <cell r="I35">
            <v>2.7972846524256982</v>
          </cell>
          <cell r="J35">
            <v>1.1533454801013627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D36"/>
          <cell r="E36">
            <v>5.2114173596147201E-2</v>
          </cell>
          <cell r="F36">
            <v>1.7989120684869201E-6</v>
          </cell>
          <cell r="G36">
            <v>6.7542177124429099E-7</v>
          </cell>
          <cell r="H36">
            <v>0.113794309289628</v>
          </cell>
          <cell r="I36">
            <v>5.1618998029545497E-2</v>
          </cell>
          <cell r="J36">
            <v>1.9713329672099999E-7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D37">
            <v>0.354428052062076</v>
          </cell>
          <cell r="E37">
            <v>0.40654212954694058</v>
          </cell>
          <cell r="F37">
            <v>0.40654365385678393</v>
          </cell>
          <cell r="G37">
            <v>0.40647761394625787</v>
          </cell>
          <cell r="H37">
            <v>0.23238814251504539</v>
          </cell>
          <cell r="I37">
            <v>0.16541376730901394</v>
          </cell>
          <cell r="J37">
            <v>8.5581697104224058E-2</v>
          </cell>
          <cell r="K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D38"/>
          <cell r="E38"/>
          <cell r="F38"/>
          <cell r="G38"/>
          <cell r="H38"/>
          <cell r="I38">
            <v>0.27070943698467531</v>
          </cell>
          <cell r="J38">
            <v>0.32608876658903835</v>
          </cell>
          <cell r="K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D39"/>
          <cell r="E39"/>
          <cell r="F39"/>
          <cell r="G39"/>
          <cell r="H39"/>
          <cell r="I39">
            <v>0.27344387574209605</v>
          </cell>
          <cell r="J39">
            <v>0.32938259251418017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D40"/>
          <cell r="E40"/>
          <cell r="F40"/>
          <cell r="G40">
            <v>1.4573013630055099E-6</v>
          </cell>
          <cell r="H40">
            <v>4.3457838781509202E-6</v>
          </cell>
          <cell r="I40">
            <v>3.81184840231387E-2</v>
          </cell>
          <cell r="J40">
            <v>1.0596908644402001E-5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D41"/>
          <cell r="E41"/>
          <cell r="F41"/>
          <cell r="G41">
            <v>1.4573013630055099E-6</v>
          </cell>
          <cell r="H41">
            <v>5.8030852411564297E-6</v>
          </cell>
          <cell r="I41">
            <v>3.8124287108379902E-2</v>
          </cell>
          <cell r="J41">
            <v>3.8134884017024299E-2</v>
          </cell>
          <cell r="K41"/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D42">
            <v>6.1735475072154617</v>
          </cell>
          <cell r="E42">
            <v>7.1868602459871767</v>
          </cell>
          <cell r="F42">
            <v>6.3614425200668494</v>
          </cell>
          <cell r="G42">
            <v>5.4085797266386244</v>
          </cell>
          <cell r="H42">
            <v>4.1296955288928725</v>
          </cell>
          <cell r="I42">
            <v>2.6557029308394422</v>
          </cell>
          <cell r="J42">
            <v>1.0354321404931017</v>
          </cell>
          <cell r="K42"/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D43">
            <v>8.5743715377992569</v>
          </cell>
          <cell r="E43">
            <v>9.981750341648862</v>
          </cell>
          <cell r="F43">
            <v>9.4433689030370243</v>
          </cell>
          <cell r="G43">
            <v>8.0288729229292599</v>
          </cell>
          <cell r="H43">
            <v>6.1304080345833398</v>
          </cell>
          <cell r="I43">
            <v>3.9423106305973303</v>
          </cell>
          <cell r="J43">
            <v>1.4496216206822075</v>
          </cell>
          <cell r="K43"/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D44">
            <v>2.60520127497197E-5</v>
          </cell>
          <cell r="E44">
            <v>7.7137754269244296E-2</v>
          </cell>
          <cell r="F44">
            <v>1.58610599839601E-6</v>
          </cell>
          <cell r="G44">
            <v>2.4223013300442198E-6</v>
          </cell>
          <cell r="H44">
            <v>0.20204294945596701</v>
          </cell>
          <cell r="I44">
            <v>1.18549116555533E-2</v>
          </cell>
          <cell r="J44">
            <v>1.02516347674218E-6</v>
          </cell>
          <cell r="K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D45">
            <v>0.47844632982986174</v>
          </cell>
          <cell r="E45">
            <v>0.55558380824055642</v>
          </cell>
          <cell r="F45">
            <v>0.4952321508968866</v>
          </cell>
          <cell r="G45">
            <v>0.49517426367652456</v>
          </cell>
          <cell r="H45">
            <v>0.34996832777921222</v>
          </cell>
          <cell r="I45">
            <v>0.21389836152734112</v>
          </cell>
          <cell r="J45">
            <v>9.4065689246147333E-2</v>
          </cell>
          <cell r="K45"/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D46">
            <v>5.1850612463740919</v>
          </cell>
          <cell r="E46">
            <v>5.5675610504759092</v>
          </cell>
          <cell r="F46">
            <v>5.695565229072109</v>
          </cell>
          <cell r="G46">
            <v>7.5027381396626138</v>
          </cell>
          <cell r="H46">
            <v>8.4709579546897125</v>
          </cell>
          <cell r="I46">
            <v>8.4605519761989409</v>
          </cell>
          <cell r="J46">
            <v>10.751765496317784</v>
          </cell>
          <cell r="K46"/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D47">
            <v>5.1850612463740919</v>
          </cell>
          <cell r="E47">
            <v>5.5675610504759092</v>
          </cell>
          <cell r="F47">
            <v>5.695565229072109</v>
          </cell>
          <cell r="G47">
            <v>7.5027381396626138</v>
          </cell>
          <cell r="H47">
            <v>8.4709579546897125</v>
          </cell>
          <cell r="I47">
            <v>8.4605519761989409</v>
          </cell>
          <cell r="J47">
            <v>10.751765496317784</v>
          </cell>
          <cell r="K47"/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D48">
            <v>5.6086472497470368</v>
          </cell>
          <cell r="E48">
            <v>6.0095232393536175</v>
          </cell>
          <cell r="F48">
            <v>6.1280425362223347</v>
          </cell>
          <cell r="G48">
            <v>8.0296710824700739</v>
          </cell>
          <cell r="H48">
            <v>9.0181137388410306</v>
          </cell>
          <cell r="I48">
            <v>8.9598173708890769</v>
          </cell>
          <cell r="J48">
            <v>11.317647890860824</v>
          </cell>
          <cell r="K48"/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D49"/>
          <cell r="E49">
            <v>6.18762056615157E-2</v>
          </cell>
          <cell r="F49">
            <v>0.11556647187558899</v>
          </cell>
          <cell r="G49">
            <v>0.17077602599046299</v>
          </cell>
          <cell r="H49">
            <v>0.24148895500203699</v>
          </cell>
          <cell r="I49">
            <v>0.197438706372453</v>
          </cell>
          <cell r="J49">
            <v>0.54386163640677598</v>
          </cell>
          <cell r="K49"/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D50">
            <v>0.62661755442165901</v>
          </cell>
          <cell r="E50">
            <v>0.31998653735554178</v>
          </cell>
          <cell r="F50">
            <v>0.37047599887171695</v>
          </cell>
          <cell r="G50">
            <v>0.47966890295944503</v>
          </cell>
          <cell r="H50">
            <v>0.48837191771055</v>
          </cell>
          <cell r="I50">
            <v>0.47054599657778201</v>
          </cell>
          <cell r="J50">
            <v>0.73521048667539302</v>
          </cell>
          <cell r="K50"/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D51"/>
          <cell r="E51"/>
          <cell r="F51">
            <v>5.6908786690206596E-2</v>
          </cell>
          <cell r="G51">
            <v>0.11910189579804172</v>
          </cell>
          <cell r="H51">
            <v>0.17512258222260299</v>
          </cell>
          <cell r="I51">
            <v>0.21794134513507873</v>
          </cell>
          <cell r="J51">
            <v>0.25174574855198467</v>
          </cell>
          <cell r="K51"/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D52"/>
          <cell r="E52"/>
          <cell r="F52">
            <v>5.6965695476896783E-2</v>
          </cell>
          <cell r="G52">
            <v>0.11922099769383977</v>
          </cell>
          <cell r="H52">
            <v>0.17529770480482559</v>
          </cell>
          <cell r="I52">
            <v>0.21815928648021382</v>
          </cell>
          <cell r="J52">
            <v>0.25199749430053664</v>
          </cell>
          <cell r="K52"/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D53"/>
          <cell r="E53"/>
          <cell r="F53">
            <v>5.6916756379080759E-2</v>
          </cell>
          <cell r="G53">
            <v>0.11910924733655226</v>
          </cell>
          <cell r="H53">
            <v>0.17512690925160246</v>
          </cell>
          <cell r="I53">
            <v>0.21794329801041146</v>
          </cell>
          <cell r="J53">
            <v>0.25174933784804798</v>
          </cell>
          <cell r="K53"/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D54">
            <v>2.5717382479544501E-5</v>
          </cell>
          <cell r="E54">
            <v>1.5943932242341201E-5</v>
          </cell>
          <cell r="F54">
            <v>1.5330691669224201E-2</v>
          </cell>
          <cell r="G54">
            <v>1.6672294408203701E-2</v>
          </cell>
          <cell r="H54">
            <v>1.2516566848596601E-2</v>
          </cell>
          <cell r="I54">
            <v>2.9380342772500199E-2</v>
          </cell>
          <cell r="J54">
            <v>3.1656787403307601E-2</v>
          </cell>
          <cell r="K54"/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D55">
            <v>2.5721722319605004E-5</v>
          </cell>
          <cell r="E55">
            <v>6.2991779771040714E-7</v>
          </cell>
          <cell r="F55">
            <v>1.5323296616822687E-2</v>
          </cell>
          <cell r="G55">
            <v>3.1979686478209923E-2</v>
          </cell>
          <cell r="H55">
            <v>4.4425917270132932E-2</v>
          </cell>
          <cell r="I55">
            <v>5.5865147347312238E-2</v>
          </cell>
          <cell r="J55">
            <v>5.8186185371031061E-2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D56"/>
          <cell r="E56">
            <v>5.4466715126198308E-2</v>
          </cell>
          <cell r="F56">
            <v>3.5711495836613133E-3</v>
          </cell>
          <cell r="G56">
            <v>0.23385493386082948</v>
          </cell>
          <cell r="H56">
            <v>0.26706857905136189</v>
          </cell>
          <cell r="I56">
            <v>0.28786613754790208</v>
          </cell>
          <cell r="J56">
            <v>0.30974994124949889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D57">
            <v>3.4074405922365978</v>
          </cell>
          <cell r="E57">
            <v>3.8270029590154051</v>
          </cell>
          <cell r="F57">
            <v>4.9764932432237199</v>
          </cell>
          <cell r="G57">
            <v>7.677571038456442</v>
          </cell>
          <cell r="H57">
            <v>8.2507432969101586</v>
          </cell>
          <cell r="I57">
            <v>8.665056172495051</v>
          </cell>
          <cell r="J57">
            <v>7.0759448761845603</v>
          </cell>
          <cell r="K57"/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D58">
            <v>3.1778993984305051</v>
          </cell>
          <cell r="E58">
            <v>3.5391925463488261</v>
          </cell>
          <cell r="F58">
            <v>1.6103467066989563</v>
          </cell>
          <cell r="G58">
            <v>3.4789195902504368</v>
          </cell>
          <cell r="H58">
            <v>3.8862331670653694</v>
          </cell>
          <cell r="I58">
            <v>4.1156980004261152</v>
          </cell>
          <cell r="J58">
            <v>3.4993805332680212</v>
          </cell>
          <cell r="K58"/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D59">
            <v>1.7546676820982634</v>
          </cell>
          <cell r="E59">
            <v>1.8956393098480724</v>
          </cell>
          <cell r="F59">
            <v>1.7334741286510529</v>
          </cell>
          <cell r="G59">
            <v>0.44271225407685155</v>
          </cell>
          <cell r="H59">
            <v>0.51837951985550812</v>
          </cell>
          <cell r="I59">
            <v>0.46558992742299943</v>
          </cell>
          <cell r="J59">
            <v>4.8064176259147455</v>
          </cell>
          <cell r="K59"/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D60"/>
          <cell r="E60">
            <v>0.35009787701331513</v>
          </cell>
          <cell r="F60">
            <v>6.0672042515624705E-2</v>
          </cell>
          <cell r="G60">
            <v>0.34396031958785461</v>
          </cell>
          <cell r="H60">
            <v>0.42656916534610678</v>
          </cell>
          <cell r="I60">
            <v>0.49624351179127935</v>
          </cell>
          <cell r="J60">
            <v>0.55534833401108263</v>
          </cell>
          <cell r="K60"/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D61">
            <v>9.2187365305507978</v>
          </cell>
          <cell r="E61">
            <v>10.684817876687006</v>
          </cell>
          <cell r="F61">
            <v>9.2473229586531289</v>
          </cell>
          <cell r="G61">
            <v>13.380504964942718</v>
          </cell>
          <cell r="H61">
            <v>14.614401386244809</v>
          </cell>
          <cell r="I61">
            <v>15.304203602584222</v>
          </cell>
          <cell r="J61">
            <v>17.592916714441944</v>
          </cell>
          <cell r="K61"/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D62">
            <v>0.62767383332504401</v>
          </cell>
          <cell r="E62">
            <v>3.39853960901903E-6</v>
          </cell>
          <cell r="F62">
            <v>7.9665228475390904E-7</v>
          </cell>
          <cell r="G62">
            <v>0.154291214714672</v>
          </cell>
          <cell r="H62">
            <v>7.5898800553933596E-2</v>
          </cell>
          <cell r="I62">
            <v>4.94101089632916E-2</v>
          </cell>
          <cell r="J62">
            <v>2.5314679878506697E-7</v>
          </cell>
          <cell r="K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D63">
            <v>0.62767383332504401</v>
          </cell>
          <cell r="E63">
            <v>0.62767723186465396</v>
          </cell>
          <cell r="F63">
            <v>0.62767802851693799</v>
          </cell>
          <cell r="G63">
            <v>0.78196924323161099</v>
          </cell>
          <cell r="H63">
            <v>0.85786804378554404</v>
          </cell>
          <cell r="I63">
            <v>0.90727815274883605</v>
          </cell>
          <cell r="J63">
            <v>0.90727840589563502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D64">
            <v>3.6694466191317804E-3</v>
          </cell>
          <cell r="E64">
            <v>2.3047260487600333E-4</v>
          </cell>
          <cell r="F64">
            <v>1.4870636320584781E-3</v>
          </cell>
          <cell r="G64">
            <v>1.1125068897699238E-3</v>
          </cell>
          <cell r="H64">
            <v>2.2110944236059023E-3</v>
          </cell>
          <cell r="I64">
            <v>1.6161926164186416E-3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D65">
            <v>2.5046777313169861E-2</v>
          </cell>
          <cell r="E65">
            <v>2.8427436991928042E-4</v>
          </cell>
          <cell r="F65">
            <v>8.4392916161310904E-3</v>
          </cell>
          <cell r="G65">
            <v>1.8495014082188243E-2</v>
          </cell>
          <cell r="H65">
            <v>2.4024212464682879E-2</v>
          </cell>
          <cell r="I65">
            <v>2.4060517475024797E-2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D66">
            <v>2.8716223932301638E-2</v>
          </cell>
          <cell r="E66">
            <v>5.1474697479528427E-4</v>
          </cell>
          <cell r="F66">
            <v>9.9174713230731088E-3</v>
          </cell>
          <cell r="G66">
            <v>1.9607520971958187E-2</v>
          </cell>
          <cell r="H66">
            <v>2.6235306888288755E-2</v>
          </cell>
          <cell r="I66">
            <v>2.5676710091443452E-2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D67">
            <v>73.238351069899565</v>
          </cell>
          <cell r="E67">
            <v>78.574113826514449</v>
          </cell>
          <cell r="F67">
            <v>62.4173861353486</v>
          </cell>
          <cell r="G67">
            <v>60.386701057132001</v>
          </cell>
          <cell r="H67">
            <v>58.730514158225901</v>
          </cell>
          <cell r="I67">
            <v>57.580005714289527</v>
          </cell>
          <cell r="J67">
            <v>54.750970002312265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D68"/>
          <cell r="E68">
            <v>9.1172863356586937</v>
          </cell>
          <cell r="F68">
            <v>2.3586237764484426</v>
          </cell>
          <cell r="G68">
            <v>5.289049021883641</v>
          </cell>
          <cell r="H68">
            <v>7.8317744872939077</v>
          </cell>
          <cell r="I68">
            <v>10.030477419830982</v>
          </cell>
          <cell r="J68">
            <v>15.118156820437926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D69">
            <v>6.1735475072154617</v>
          </cell>
          <cell r="E69">
            <v>7.1868602459871767</v>
          </cell>
          <cell r="F69">
            <v>6.3614425200668494</v>
          </cell>
          <cell r="G69">
            <v>5.4085797266386244</v>
          </cell>
          <cell r="H69">
            <v>4.1296955288928725</v>
          </cell>
          <cell r="I69">
            <v>2.6557029308394422</v>
          </cell>
          <cell r="J69">
            <v>1.0354321404931017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D70">
            <v>5.553904510426551</v>
          </cell>
          <cell r="E70">
            <v>6.0159373710783726</v>
          </cell>
          <cell r="F70">
            <v>4.9433260101213223</v>
          </cell>
          <cell r="G70">
            <v>8.1862861341505599</v>
          </cell>
          <cell r="H70">
            <v>9.1781661621739072</v>
          </cell>
          <cell r="I70">
            <v>10.027412985820982</v>
          </cell>
          <cell r="J70">
            <v>8.5342916531260329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D71">
            <v>2.3940372431347825</v>
          </cell>
          <cell r="E71">
            <v>0.59037811846449861</v>
          </cell>
          <cell r="F71">
            <v>0.52633755621001643</v>
          </cell>
          <cell r="G71">
            <v>0.300345444973739</v>
          </cell>
          <cell r="H71">
            <v>0.25567762692821894</v>
          </cell>
          <cell r="I71">
            <v>0.20420808540097063</v>
          </cell>
          <cell r="J71">
            <v>0.13687178797000621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D72">
            <v>1.2230696044865601</v>
          </cell>
          <cell r="E72">
            <v>1.3407709085938346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D73">
            <v>4.2612086441627586</v>
          </cell>
          <cell r="E73">
            <v>4.6176509993549359</v>
          </cell>
          <cell r="F73">
            <v>6.4744069945041423</v>
          </cell>
          <cell r="G73">
            <v>14.125194152894899</v>
          </cell>
          <cell r="H73">
            <v>18.083616810297634</v>
          </cell>
          <cell r="I73">
            <v>23.450229014359948</v>
          </cell>
          <cell r="J73">
            <v>22.624950730094604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D74">
            <v>1.8770738948288272</v>
          </cell>
          <cell r="E74">
            <v>2.1600847201955409</v>
          </cell>
          <cell r="F74">
            <v>0.18522841638653448</v>
          </cell>
          <cell r="G74">
            <v>0.16229183628954039</v>
          </cell>
          <cell r="H74">
            <v>0.12983617990710486</v>
          </cell>
          <cell r="I74">
            <v>8.300229284373116E-2</v>
          </cell>
          <cell r="J74">
            <v>2.7828734409430331E-2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D75">
            <v>0.6856528577853942</v>
          </cell>
          <cell r="E75">
            <v>0.74269348152904147</v>
          </cell>
          <cell r="F75"/>
          <cell r="G75"/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D76">
            <v>0.62700004713165469</v>
          </cell>
          <cell r="E76">
            <v>0.68733566885020847</v>
          </cell>
          <cell r="F76">
            <v>0.56979328695876597</v>
          </cell>
          <cell r="G76">
            <v>0.81010411989269815</v>
          </cell>
          <cell r="H76">
            <v>0.95698514508945742</v>
          </cell>
          <cell r="I76">
            <v>1.1346638132368745</v>
          </cell>
          <cell r="J76">
            <v>1.2448587814265626</v>
          </cell>
          <cell r="K76"/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D77">
            <v>24.189717333773334</v>
          </cell>
          <cell r="E77">
            <v>25.326925645546122</v>
          </cell>
          <cell r="F77">
            <v>18.417033718591746</v>
          </cell>
          <cell r="G77">
            <v>11.48011012618792</v>
          </cell>
          <cell r="H77">
            <v>6.2551492287845933</v>
          </cell>
          <cell r="I77">
            <v>1.9251330004847238</v>
          </cell>
          <cell r="J77">
            <v>0.76530766439308628</v>
          </cell>
          <cell r="K77"/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D78"/>
          <cell r="E78"/>
          <cell r="F78">
            <v>2.2745924571727452</v>
          </cell>
          <cell r="G78">
            <v>3.9620679119928575</v>
          </cell>
          <cell r="H78">
            <v>4.9017570024630999</v>
          </cell>
          <cell r="I78">
            <v>5.8224155643173878</v>
          </cell>
          <cell r="J78">
            <v>5.1203211135046374</v>
          </cell>
          <cell r="K78"/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D79">
            <v>1.4100685123584065</v>
          </cell>
          <cell r="E79">
            <v>1.5273725270812104</v>
          </cell>
          <cell r="F79"/>
          <cell r="G79"/>
          <cell r="H79"/>
          <cell r="I79"/>
          <cell r="J79"/>
          <cell r="K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D80">
            <v>24.843070914595856</v>
          </cell>
          <cell r="E80">
            <v>19.260817804174788</v>
          </cell>
          <cell r="F80">
            <v>20.306601398888024</v>
          </cell>
          <cell r="G80">
            <v>10.66267258222752</v>
          </cell>
          <cell r="H80">
            <v>7.0078559863951133</v>
          </cell>
          <cell r="I80">
            <v>2.2467606071545001</v>
          </cell>
          <cell r="J80">
            <v>0.14295057645691076</v>
          </cell>
          <cell r="K80"/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D81">
            <v>4.0600287191168004E-4</v>
          </cell>
          <cell r="E81">
            <v>8.246479010003561E-4</v>
          </cell>
          <cell r="F81">
            <v>2.0141227206470219E-4</v>
          </cell>
          <cell r="G81">
            <v>1.341383062079731E-4</v>
          </cell>
          <cell r="H81">
            <v>9.7732518988212979E-4</v>
          </cell>
          <cell r="I81">
            <v>4.729700717192401E-4</v>
          </cell>
          <cell r="J81">
            <v>5.0190250435982282E-3</v>
          </cell>
          <cell r="K81"/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D82">
            <v>4.0600287191168004E-4</v>
          </cell>
          <cell r="E82">
            <v>8.246479010003561E-4</v>
          </cell>
          <cell r="F82">
            <v>1.5927093176132005E-4</v>
          </cell>
          <cell r="G82">
            <v>9.9401270269370678E-5</v>
          </cell>
          <cell r="H82">
            <v>1.1438528705031493E-3</v>
          </cell>
          <cell r="I82">
            <v>5.4786523831009E-4</v>
          </cell>
          <cell r="J82">
            <v>5.579664191735367E-3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D83">
            <v>4.3818222783906903E-3</v>
          </cell>
          <cell r="E83">
            <v>1.1887335825668401E-5</v>
          </cell>
          <cell r="F83">
            <v>2.1341622290882599E-5</v>
          </cell>
          <cell r="G83">
            <v>4.1833429882247303E-5</v>
          </cell>
          <cell r="H83">
            <v>1.02175369458119E-4</v>
          </cell>
          <cell r="I83">
            <v>5.3418696075568098E-5</v>
          </cell>
          <cell r="J83">
            <v>6.7056979048792896E-3</v>
          </cell>
          <cell r="K83"/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D84">
            <v>4.3818222783906903E-3</v>
          </cell>
          <cell r="E84">
            <v>1.8619255493849962E-4</v>
          </cell>
          <cell r="F84">
            <v>1.3220171337429993E-4</v>
          </cell>
          <cell r="G84">
            <v>1.4818112476158978E-4</v>
          </cell>
          <cell r="H84">
            <v>1.3818862165398006E-4</v>
          </cell>
          <cell r="I84">
            <v>3.9807747360654015E-5</v>
          </cell>
          <cell r="J84">
            <v>6.7087932948795715E-3</v>
          </cell>
          <cell r="K84"/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D85"/>
          <cell r="E85">
            <v>3.553945824367076E-2</v>
          </cell>
          <cell r="F85">
            <v>3.6127787739289971E-2</v>
          </cell>
          <cell r="G85">
            <v>3.6312875673185516E-2</v>
          </cell>
          <cell r="H85">
            <v>4.3316196989337349E-2</v>
          </cell>
          <cell r="I85">
            <v>6.0125543818571756E-2</v>
          </cell>
          <cell r="J85">
            <v>9.6514847784243032E-2</v>
          </cell>
          <cell r="K85"/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D86"/>
          <cell r="E86">
            <v>3.5541581286479135E-2</v>
          </cell>
          <cell r="F86">
            <v>3.61298592697945E-2</v>
          </cell>
          <cell r="G86">
            <v>3.6314288582090938E-2</v>
          </cell>
          <cell r="H86">
            <v>4.3318729370988775E-2</v>
          </cell>
          <cell r="I86">
            <v>6.0127519683368255E-2</v>
          </cell>
          <cell r="J86">
            <v>9.6516894768895009E-2</v>
          </cell>
          <cell r="K86"/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D87"/>
          <cell r="E87">
            <v>1.35047870858746E-3</v>
          </cell>
          <cell r="F87">
            <v>1.4027944570260301E-5</v>
          </cell>
          <cell r="G87">
            <v>6.9027795692031E-6</v>
          </cell>
          <cell r="H87">
            <v>2.7314729373545301E-4</v>
          </cell>
          <cell r="I87">
            <v>1.2317803431004101E-3</v>
          </cell>
          <cell r="J87">
            <v>2.07447519551763E-3</v>
          </cell>
          <cell r="K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D88"/>
          <cell r="E88">
            <v>1.35047870858746E-3</v>
          </cell>
          <cell r="F88">
            <v>1.3634938058604443E-3</v>
          </cell>
          <cell r="G88">
            <v>1.368152296969424E-3</v>
          </cell>
          <cell r="H88">
            <v>1.6372868810599604E-3</v>
          </cell>
          <cell r="I88">
            <v>2.2165028604901023E-3</v>
          </cell>
          <cell r="J88">
            <v>3.5226168773083524E-3</v>
          </cell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D89">
            <v>4.467541919013069E-3</v>
          </cell>
          <cell r="E89">
            <v>2.7256882564869871E-5</v>
          </cell>
          <cell r="F89">
            <v>4.7208496902282756E-3</v>
          </cell>
          <cell r="G89">
            <v>7.4186933567411658E-3</v>
          </cell>
          <cell r="H89">
            <v>5.9968019778777184E-3</v>
          </cell>
          <cell r="I89">
            <v>2.6168910644343958E-3</v>
          </cell>
          <cell r="J89">
            <v>3.2864641066969687E-5</v>
          </cell>
          <cell r="K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D90"/>
          <cell r="E90"/>
          <cell r="F90">
            <v>1.4625049200865867E-6</v>
          </cell>
          <cell r="G90">
            <v>4.5124693486949547E-6</v>
          </cell>
          <cell r="H90">
            <v>5.4423794492325403E-6</v>
          </cell>
          <cell r="I90">
            <v>3.3589722832581658E-6</v>
          </cell>
          <cell r="J90">
            <v>1.7692118374313443E-5</v>
          </cell>
          <cell r="K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D91">
            <v>3.3565968614448688E-2</v>
          </cell>
          <cell r="E91">
            <v>3.0631742796289382E-3</v>
          </cell>
          <cell r="F91">
            <v>3.3860111249092335E-3</v>
          </cell>
          <cell r="G91"/>
          <cell r="H91"/>
          <cell r="I91"/>
          <cell r="J91">
            <v>1.1852816022913815E-5</v>
          </cell>
          <cell r="K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D92">
            <v>3.8033510533461753E-2</v>
          </cell>
          <cell r="E92">
            <v>3.0909087744199525E-3</v>
          </cell>
          <cell r="F92">
            <v>8.109477302057801E-3</v>
          </cell>
          <cell r="G92">
            <v>7.4235862199659441E-3</v>
          </cell>
          <cell r="H92">
            <v>6.0027270585691992E-3</v>
          </cell>
          <cell r="I92">
            <v>2.6208353888112343E-3</v>
          </cell>
          <cell r="J92">
            <v>6.2409575464196916E-5</v>
          </cell>
          <cell r="K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D93">
            <v>3.5600254872178341</v>
          </cell>
          <cell r="E93">
            <v>3.4647226795167949</v>
          </cell>
          <cell r="F93">
            <v>0.98900736887270957</v>
          </cell>
          <cell r="G93">
            <v>4.4505442796075246E-4</v>
          </cell>
          <cell r="H93">
            <v>1.1535659190434952E-3</v>
          </cell>
          <cell r="I93">
            <v>3.3862827112816783E-5</v>
          </cell>
          <cell r="J93">
            <v>4.4640298456509399E-4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D94">
            <v>330.01436266509302</v>
          </cell>
          <cell r="E94">
            <v>321.179792391207</v>
          </cell>
          <cell r="F94">
            <v>91.680983094500206</v>
          </cell>
          <cell r="G94">
            <v>4.1256545471961698E-2</v>
          </cell>
          <cell r="H94">
            <v>0.106935560695332</v>
          </cell>
          <cell r="I94">
            <v>3.1390840733581198E-3</v>
          </cell>
          <cell r="J94">
            <v>4.1381556669184201E-2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D95">
            <v>3.5600254872178341</v>
          </cell>
          <cell r="E95">
            <v>3.4647226795167949</v>
          </cell>
          <cell r="F95">
            <v>0.98900736887270957</v>
          </cell>
          <cell r="G95">
            <v>4.4505442796075246E-4</v>
          </cell>
          <cell r="H95">
            <v>1.1535659190434952E-3</v>
          </cell>
          <cell r="I95">
            <v>3.3862827112816783E-5</v>
          </cell>
          <cell r="J95">
            <v>4.4640298456509399E-4</v>
          </cell>
          <cell r="K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D96">
            <v>9.7326053753574865E-3</v>
          </cell>
          <cell r="E96">
            <v>0.78042001930449612</v>
          </cell>
          <cell r="F96">
            <v>0.45600106809382246</v>
          </cell>
          <cell r="G96">
            <v>2.7092074086736613</v>
          </cell>
          <cell r="H96">
            <v>3.686020388528064</v>
          </cell>
          <cell r="I96">
            <v>3.6860736148310655</v>
          </cell>
          <cell r="J96">
            <v>4.2470471502415084</v>
          </cell>
          <cell r="K96"/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D97">
            <v>9.7326053753574865E-3</v>
          </cell>
          <cell r="E97">
            <v>0.78042001930449612</v>
          </cell>
          <cell r="F97">
            <v>0.45600106809382246</v>
          </cell>
          <cell r="G97">
            <v>2.7092074086736613</v>
          </cell>
          <cell r="H97">
            <v>3.686020388528064</v>
          </cell>
          <cell r="I97">
            <v>3.6860736148310655</v>
          </cell>
          <cell r="J97">
            <v>4.2470471502415084</v>
          </cell>
          <cell r="K97"/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D98">
            <v>2.7551898137813498E-2</v>
          </cell>
          <cell r="E98">
            <v>2.7551894814766699E-2</v>
          </cell>
          <cell r="F98">
            <v>4.9314562017981905E-7</v>
          </cell>
          <cell r="G98">
            <v>0.13623069451220499</v>
          </cell>
          <cell r="H98">
            <v>6.8974254339844096E-2</v>
          </cell>
          <cell r="I98">
            <v>6.0000526984332697E-6</v>
          </cell>
          <cell r="J98">
            <v>6.4954939514558399E-2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D99">
            <v>2.7551898137813498E-2</v>
          </cell>
          <cell r="E99">
            <v>5.5103778852748822E-2</v>
          </cell>
          <cell r="F99">
            <v>5.5103270255213645E-2</v>
          </cell>
          <cell r="G99">
            <v>0.19133457994534381</v>
          </cell>
          <cell r="H99">
            <v>0.26030871794821897</v>
          </cell>
          <cell r="I99">
            <v>0.26031477379505258</v>
          </cell>
          <cell r="J99">
            <v>0.29991115349586295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D100">
            <v>4.6280446480478572</v>
          </cell>
          <cell r="E100">
            <v>3.1706290941862916</v>
          </cell>
          <cell r="F100">
            <v>3.5686745260800228E-2</v>
          </cell>
          <cell r="G100">
            <v>9.3353218962294992E-3</v>
          </cell>
          <cell r="H100">
            <v>4.287166745823771E-3</v>
          </cell>
          <cell r="I100">
            <v>3.4857184468006603E-3</v>
          </cell>
          <cell r="J100">
            <v>1.9400816542540682E-3</v>
          </cell>
          <cell r="K100"/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D101">
            <v>4.8716259453135393</v>
          </cell>
          <cell r="E101">
            <v>3.3375043096697801</v>
          </cell>
          <cell r="F101">
            <v>3.8782354778888188E-2</v>
          </cell>
          <cell r="G101">
            <v>1.0071963246660841E-2</v>
          </cell>
          <cell r="H101">
            <v>4.5735969957004666E-3</v>
          </cell>
          <cell r="I101">
            <v>3.7186030684892082E-3</v>
          </cell>
          <cell r="J101">
            <v>2.0617177768943911E-3</v>
          </cell>
          <cell r="K101"/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D102">
            <v>1.67213985236139E-6</v>
          </cell>
          <cell r="E102">
            <v>1.0022566721768301E-6</v>
          </cell>
          <cell r="F102">
            <v>6.8256919010564997E-7</v>
          </cell>
          <cell r="G102">
            <v>1.2499628102956201E-6</v>
          </cell>
          <cell r="H102">
            <v>1.7309137667384901E-4</v>
          </cell>
          <cell r="I102">
            <v>2.19560800727707E-4</v>
          </cell>
          <cell r="J102">
            <v>4.6227107709870201E-6</v>
          </cell>
          <cell r="K102"/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D103">
            <v>0.32680281608819134</v>
          </cell>
          <cell r="E103">
            <v>0.32679589391023911</v>
          </cell>
          <cell r="F103">
            <v>4.587579808258635E-3</v>
          </cell>
          <cell r="G103">
            <v>1.2392750090909344E-3</v>
          </cell>
          <cell r="H103">
            <v>4.9298240952469485E-4</v>
          </cell>
          <cell r="I103">
            <v>3.9179583079315547E-4</v>
          </cell>
          <cell r="J103">
            <v>2.356807249977287E-4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D104"/>
          <cell r="E104">
            <v>2.5596457038922376E-3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D105"/>
          <cell r="E105">
            <v>2.5596457038922376E-3</v>
          </cell>
          <cell r="F105"/>
          <cell r="G105"/>
          <cell r="H105"/>
          <cell r="I105"/>
          <cell r="J105"/>
          <cell r="K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D106"/>
          <cell r="E106">
            <v>2.5855007110022585E-3</v>
          </cell>
          <cell r="F106"/>
          <cell r="G106"/>
          <cell r="H106"/>
          <cell r="I106"/>
          <cell r="J106"/>
          <cell r="K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D107"/>
          <cell r="E107">
            <v>4.4618920672162701E-4</v>
          </cell>
          <cell r="F107">
            <v>1.53470575867173E-3</v>
          </cell>
          <cell r="G107">
            <v>7.2338253554329601E-2</v>
          </cell>
          <cell r="H107">
            <v>5.73397062401221E-2</v>
          </cell>
          <cell r="I107">
            <v>2.2257217172947999E-2</v>
          </cell>
          <cell r="J107">
            <v>4.58038099155069E-4</v>
          </cell>
          <cell r="K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D108"/>
          <cell r="E108">
            <v>4.4618920672162701E-4</v>
          </cell>
          <cell r="F108">
            <v>1.7934102187289098E-3</v>
          </cell>
          <cell r="G108">
            <v>7.3613330837058732E-2</v>
          </cell>
          <cell r="H108">
            <v>0.1122507334564474</v>
          </cell>
          <cell r="I108">
            <v>7.9900833344661498E-2</v>
          </cell>
          <cell r="J108">
            <v>1.0986671756438998E-3</v>
          </cell>
          <cell r="K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D109">
            <v>1.0753666084278154E-2</v>
          </cell>
          <cell r="E109">
            <v>1.2154786453572819</v>
          </cell>
          <cell r="F109">
            <v>0.77289021984070483</v>
          </cell>
          <cell r="G109">
            <v>1.215309120616509</v>
          </cell>
          <cell r="H109">
            <v>3.299141094487918</v>
          </cell>
          <cell r="I109">
            <v>4.0244498804895787</v>
          </cell>
          <cell r="J109">
            <v>6.614850640001932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D110">
            <v>1.0753666084278154E-2</v>
          </cell>
          <cell r="E110">
            <v>1.2154786453572819</v>
          </cell>
          <cell r="F110">
            <v>0.77289021984070483</v>
          </cell>
          <cell r="G110">
            <v>1.215309120616509</v>
          </cell>
          <cell r="H110">
            <v>3.299141094487918</v>
          </cell>
          <cell r="I110">
            <v>4.0244498804895787</v>
          </cell>
          <cell r="J110">
            <v>6.614850640001932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D111">
            <v>4.2912437130630997E-2</v>
          </cell>
          <cell r="E111">
            <v>4.2912431901961402E-2</v>
          </cell>
          <cell r="F111">
            <v>4.3024423876901702E-7</v>
          </cell>
          <cell r="G111">
            <v>1.95370767861967E-5</v>
          </cell>
          <cell r="H111">
            <v>0.14714525600115699</v>
          </cell>
          <cell r="I111">
            <v>5.12190117477399E-2</v>
          </cell>
          <cell r="J111">
            <v>0.22239612357144101</v>
          </cell>
          <cell r="K111"/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D112">
            <v>4.2912437130630997E-2</v>
          </cell>
          <cell r="E112">
            <v>8.5824854487680013E-2</v>
          </cell>
          <cell r="F112">
            <v>8.5824267181995179E-2</v>
          </cell>
          <cell r="G112">
            <v>8.5844439946679937E-2</v>
          </cell>
          <cell r="H112">
            <v>0.23298957875335394</v>
          </cell>
          <cell r="I112">
            <v>0.28420864508834531</v>
          </cell>
          <cell r="J112">
            <v>0.46710849661379172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D113">
            <v>3.1603772565125879E-3</v>
          </cell>
          <cell r="E113">
            <v>1.6770592440182986E-4</v>
          </cell>
          <cell r="F113">
            <v>2.3177575116664427E-2</v>
          </cell>
          <cell r="G113">
            <v>1.2569408659032798E-2</v>
          </cell>
          <cell r="H113">
            <v>8.5472413635099571E-3</v>
          </cell>
          <cell r="I113">
            <v>8.7524935410571957E-3</v>
          </cell>
          <cell r="J113">
            <v>1.2179615785943204E-4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D114">
            <v>4.1239194923571637E-5</v>
          </cell>
          <cell r="E114">
            <v>3.0889893107772391E-5</v>
          </cell>
          <cell r="F114">
            <v>5.4620951943350057E-6</v>
          </cell>
          <cell r="G114"/>
          <cell r="H114">
            <v>3.1753180115075843E-3</v>
          </cell>
          <cell r="I114">
            <v>6.9642496103325922E-3</v>
          </cell>
          <cell r="J114">
            <v>2.2374975386247912E-5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D115">
            <v>3.6983568741098611E-5</v>
          </cell>
          <cell r="E115">
            <v>2.7316268296175845E-5</v>
          </cell>
          <cell r="F115">
            <v>3.9745680935380957E-6</v>
          </cell>
          <cell r="G115"/>
          <cell r="H115">
            <v>4.4200502689626664E-3</v>
          </cell>
          <cell r="I115"/>
          <cell r="J115">
            <v>3.6671677646508357E-6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D116">
            <v>3.7229717227095605E-5</v>
          </cell>
          <cell r="E116">
            <v>2.5206753427536257E-5</v>
          </cell>
          <cell r="F116">
            <v>3.3500449892706941E-6</v>
          </cell>
          <cell r="G116"/>
          <cell r="H116"/>
          <cell r="I116">
            <v>9.9108196843784337E-4</v>
          </cell>
          <cell r="J116">
            <v>1.0815245659704105E-5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D117">
            <v>4.0182424990013588E-5</v>
          </cell>
          <cell r="E117">
            <v>1.5530527891033934E-5</v>
          </cell>
          <cell r="F117">
            <v>5.7085176337819363E-6</v>
          </cell>
          <cell r="G117"/>
          <cell r="H117"/>
          <cell r="I117">
            <v>4.4473042785741758E-4</v>
          </cell>
          <cell r="J117">
            <v>8.8291313274736707E-6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D118">
            <v>1.1827924004486001E-3</v>
          </cell>
          <cell r="E118">
            <v>9.0981293778630981E-6</v>
          </cell>
          <cell r="F118">
            <v>8.0773923260476343E-3</v>
          </cell>
          <cell r="G118">
            <v>1.2569408659032798E-2</v>
          </cell>
          <cell r="H118">
            <v>9.5187308303970803E-4</v>
          </cell>
          <cell r="I118">
            <v>3.5243153442933531E-4</v>
          </cell>
          <cell r="J118">
            <v>2.4612385831118022E-5</v>
          </cell>
          <cell r="K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D119">
            <v>3.0707708428916769E-5</v>
          </cell>
          <cell r="E119">
            <v>2.1651145188992891E-5</v>
          </cell>
          <cell r="F119">
            <v>8.6849294461822952E-3</v>
          </cell>
          <cell r="G119"/>
          <cell r="H119"/>
          <cell r="I119"/>
          <cell r="J119">
            <v>2.6489940318853279E-5</v>
          </cell>
          <cell r="K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D120">
            <v>1.7540557035116483E-3</v>
          </cell>
          <cell r="E120">
            <v>7.7119292043374735E-6</v>
          </cell>
          <cell r="F120">
            <v>3.3860111249092335E-3</v>
          </cell>
          <cell r="G120"/>
          <cell r="H120"/>
          <cell r="I120"/>
          <cell r="J120">
            <v>1.1852816022913815E-5</v>
          </cell>
          <cell r="K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D121">
            <v>3.7186538241641306E-5</v>
          </cell>
          <cell r="E121">
            <v>3.030127790811799E-5</v>
          </cell>
          <cell r="F121">
            <v>3.0107469936143261E-3</v>
          </cell>
          <cell r="G121"/>
          <cell r="H121"/>
          <cell r="I121"/>
          <cell r="J121">
            <v>1.3154495548470407E-5</v>
          </cell>
          <cell r="K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D122"/>
          <cell r="E122"/>
          <cell r="F122"/>
          <cell r="G122">
            <v>1.8318395338318499E-4</v>
          </cell>
          <cell r="H122">
            <v>4.7362875460186599E-4</v>
          </cell>
          <cell r="I122">
            <v>4.5800040761081301E-4</v>
          </cell>
          <cell r="J122">
            <v>1.96601229633275E-5</v>
          </cell>
          <cell r="K122"/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D123"/>
          <cell r="E123"/>
          <cell r="F123"/>
          <cell r="G123">
            <v>1.8318395338318499E-4</v>
          </cell>
          <cell r="H123">
            <v>5.7736472411360992E-4</v>
          </cell>
          <cell r="I123">
            <v>6.8906620901559596E-4</v>
          </cell>
          <cell r="J123">
            <v>5.139934213201601E-5</v>
          </cell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D124">
            <v>4.1239194923571637E-5</v>
          </cell>
          <cell r="E124">
            <v>3.0889893107772391E-5</v>
          </cell>
          <cell r="F124">
            <v>5.4620951943350057E-6</v>
          </cell>
          <cell r="G124"/>
          <cell r="H124">
            <v>3.1753180115075843E-3</v>
          </cell>
          <cell r="I124">
            <v>6.9642496103325922E-3</v>
          </cell>
          <cell r="J124">
            <v>2.2374975386247912E-5</v>
          </cell>
          <cell r="K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D125">
            <v>3.12408605621276E-5</v>
          </cell>
          <cell r="E125">
            <v>4.3522337368969039E-5</v>
          </cell>
          <cell r="F125">
            <v>2.1362160003130777E-5</v>
          </cell>
          <cell r="G125">
            <v>1.9917299732960352E-3</v>
          </cell>
          <cell r="H125">
            <v>1.4163427742746152E-3</v>
          </cell>
          <cell r="I125">
            <v>3.7371276941884405E-3</v>
          </cell>
          <cell r="J125">
            <v>4.7719709623084315E-5</v>
          </cell>
          <cell r="K125"/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D126"/>
          <cell r="E126"/>
          <cell r="F126"/>
          <cell r="G126">
            <v>3.33893868368781E-8</v>
          </cell>
          <cell r="H126">
            <v>4.4908081586762639E-6</v>
          </cell>
          <cell r="I126">
            <v>1.5993758830740524E-5</v>
          </cell>
          <cell r="J126">
            <v>1.9820377931330525E-5</v>
          </cell>
          <cell r="K126"/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D127">
            <v>7.2480055485699244E-5</v>
          </cell>
          <cell r="E127">
            <v>7.5767822547935846E-5</v>
          </cell>
          <cell r="F127">
            <v>2.7613838670538824E-5</v>
          </cell>
          <cell r="G127">
            <v>1.9931112292649834E-3</v>
          </cell>
          <cell r="H127">
            <v>4.5961515939408728E-3</v>
          </cell>
          <cell r="I127">
            <v>1.071737106335178E-2</v>
          </cell>
          <cell r="J127">
            <v>8.9915062940662701E-5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D128">
            <v>3.1461204044462003</v>
          </cell>
          <cell r="E128">
            <v>3.5038006208853365</v>
          </cell>
          <cell r="F128">
            <v>1.4376017909567194</v>
          </cell>
          <cell r="G128">
            <v>3.1279844384725957</v>
          </cell>
          <cell r="H128">
            <v>3.4887082272704384</v>
          </cell>
          <cell r="I128">
            <v>3.6903908557915468</v>
          </cell>
          <cell r="J128">
            <v>3.1290786630899801</v>
          </cell>
          <cell r="K128"/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D129">
            <v>3.1461204044462003</v>
          </cell>
          <cell r="E129">
            <v>3.5038006208853365</v>
          </cell>
          <cell r="F129">
            <v>1.4376017909567194</v>
          </cell>
          <cell r="G129">
            <v>3.1279844384725957</v>
          </cell>
          <cell r="H129">
            <v>3.4887082272704384</v>
          </cell>
          <cell r="I129">
            <v>3.6903908557915468</v>
          </cell>
          <cell r="J129">
            <v>3.1290786630899801</v>
          </cell>
          <cell r="K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D130">
            <v>3.1778993984305051</v>
          </cell>
          <cell r="E130">
            <v>3.5391925463488261</v>
          </cell>
          <cell r="F130">
            <v>1.6103467066989563</v>
          </cell>
          <cell r="G130">
            <v>3.4789195902504368</v>
          </cell>
          <cell r="H130">
            <v>3.8862331670653694</v>
          </cell>
          <cell r="I130">
            <v>4.1156980004261152</v>
          </cell>
          <cell r="J130">
            <v>3.4993805332680212</v>
          </cell>
          <cell r="K130"/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D131"/>
          <cell r="E131">
            <v>5.7967056194974602E-2</v>
          </cell>
          <cell r="F131">
            <v>4.5021192285770603E-2</v>
          </cell>
          <cell r="G131">
            <v>0.12075798834349701</v>
          </cell>
          <cell r="H131">
            <v>8.2988849691299493E-2</v>
          </cell>
          <cell r="I131">
            <v>8.4886458806241502E-2</v>
          </cell>
          <cell r="J131">
            <v>8.1623637896238596E-2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D132">
            <v>0.31204626794151202</v>
          </cell>
          <cell r="E132">
            <v>0.30685707063718243</v>
          </cell>
          <cell r="F132">
            <v>0.15601726279354305</v>
          </cell>
          <cell r="G132">
            <v>0.25277055152066102</v>
          </cell>
          <cell r="H132">
            <v>0.28437682472639197</v>
          </cell>
          <cell r="I132">
            <v>0.29985967077738496</v>
          </cell>
          <cell r="J132">
            <v>0.30768905981798</v>
          </cell>
          <cell r="K132"/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D133">
            <v>1.0222124630283108E-2</v>
          </cell>
          <cell r="E133">
            <v>0.97669555267904873</v>
          </cell>
          <cell r="F133">
            <v>0.6149077359332179</v>
          </cell>
          <cell r="G133">
            <v>0.97628535825372786</v>
          </cell>
          <cell r="H133">
            <v>0.97632963826872543</v>
          </cell>
          <cell r="I133">
            <v>2.7610611340074698</v>
          </cell>
          <cell r="J133">
            <v>4.8426968246480726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D134">
            <v>1.0222124630283108E-2</v>
          </cell>
          <cell r="E134">
            <v>0.97669555267904873</v>
          </cell>
          <cell r="F134">
            <v>0.6149077359332179</v>
          </cell>
          <cell r="G134">
            <v>0.97628535825372786</v>
          </cell>
          <cell r="H134">
            <v>0.97632963826872543</v>
          </cell>
          <cell r="I134">
            <v>2.7610611340074698</v>
          </cell>
          <cell r="J134">
            <v>4.8426968246480726</v>
          </cell>
          <cell r="K134"/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D135">
            <v>3.4481758386585598E-2</v>
          </cell>
          <cell r="E135">
            <v>3.4481766552616401E-2</v>
          </cell>
          <cell r="F135">
            <v>1.5077973181663199E-7</v>
          </cell>
          <cell r="G135">
            <v>5.07538234348191E-7</v>
          </cell>
          <cell r="H135">
            <v>1.29830360593125E-6</v>
          </cell>
          <cell r="I135">
            <v>0.126029296818815</v>
          </cell>
          <cell r="J135">
            <v>0.17870590282433901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D136">
            <v>3.4481758386585598E-2</v>
          </cell>
          <cell r="E136">
            <v>6.8963510741931452E-2</v>
          </cell>
          <cell r="F136">
            <v>6.8962658272468072E-2</v>
          </cell>
          <cell r="G136">
            <v>6.8963815030333511E-2</v>
          </cell>
          <cell r="H136">
            <v>6.8965009391969118E-2</v>
          </cell>
          <cell r="I136">
            <v>0.19499435956627495</v>
          </cell>
          <cell r="J136">
            <v>0.34196365862509637</v>
          </cell>
          <cell r="K136"/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D137">
            <v>54.195305173526073</v>
          </cell>
          <cell r="E137">
            <v>54.948866087017748</v>
          </cell>
          <cell r="F137">
            <v>58.376398571962888</v>
          </cell>
          <cell r="G137">
            <v>54.497929175003563</v>
          </cell>
          <cell r="H137">
            <v>52.273823095980106</v>
          </cell>
          <cell r="I137">
            <v>49.673318866388264</v>
          </cell>
          <cell r="J137">
            <v>42.827489523955187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D138">
            <v>11.609148773230384</v>
          </cell>
          <cell r="E138">
            <v>14.469628591324801</v>
          </cell>
          <cell r="F138">
            <v>14.656534921386282</v>
          </cell>
          <cell r="G138">
            <v>13.467970900871023</v>
          </cell>
          <cell r="H138">
            <v>12.754158936971114</v>
          </cell>
          <cell r="I138">
            <v>11.938004092099323</v>
          </cell>
          <cell r="J138">
            <v>10.236803142099475</v>
          </cell>
          <cell r="K138"/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D139">
            <v>15.855759295158448</v>
          </cell>
          <cell r="E139">
            <v>13.361625772194134</v>
          </cell>
          <cell r="F139">
            <v>13.908438741225746</v>
          </cell>
          <cell r="G139">
            <v>12.90997552634758</v>
          </cell>
          <cell r="H139">
            <v>12.492512708611857</v>
          </cell>
          <cell r="I139">
            <v>12.052928962751205</v>
          </cell>
          <cell r="J139">
            <v>11.24811443596862</v>
          </cell>
          <cell r="K139"/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D140">
            <v>11.59862153149005</v>
          </cell>
          <cell r="E140">
            <v>14.450380699796378</v>
          </cell>
          <cell r="F140">
            <v>15.64208192169651</v>
          </cell>
          <cell r="G140">
            <v>15.607736181307255</v>
          </cell>
          <cell r="H140">
            <v>15.27692120922522</v>
          </cell>
          <cell r="I140">
            <v>14.783421868836257</v>
          </cell>
          <cell r="J140">
            <v>11.704074084169577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D141">
            <v>15.131848683950079</v>
          </cell>
          <cell r="E141">
            <v>12.667260956082389</v>
          </cell>
          <cell r="F141">
            <v>14.169375756725955</v>
          </cell>
          <cell r="G141">
            <v>12.512246566477698</v>
          </cell>
          <cell r="H141">
            <v>11.75023024117189</v>
          </cell>
          <cell r="I141">
            <v>10.898963942701538</v>
          </cell>
          <cell r="J141">
            <v>9.638497861717493</v>
          </cell>
          <cell r="K141"/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D142">
            <v>5.553904510426551</v>
          </cell>
          <cell r="E142">
            <v>6.0159373710783726</v>
          </cell>
          <cell r="F142">
            <v>4.9433260101213223</v>
          </cell>
          <cell r="G142">
            <v>8.1862861341505599</v>
          </cell>
          <cell r="H142">
            <v>9.1781661621739072</v>
          </cell>
          <cell r="I142">
            <v>10.027412985820982</v>
          </cell>
          <cell r="J142">
            <v>8.5342916531260329</v>
          </cell>
          <cell r="K142"/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D143">
            <v>5.553904510426551</v>
          </cell>
          <cell r="E143">
            <v>6.0159373710783726</v>
          </cell>
          <cell r="F143">
            <v>4.9433260101213223</v>
          </cell>
          <cell r="G143">
            <v>8.1862861341505599</v>
          </cell>
          <cell r="H143">
            <v>9.1781661621739072</v>
          </cell>
          <cell r="I143">
            <v>10.027412985820982</v>
          </cell>
          <cell r="J143">
            <v>8.5342916531260329</v>
          </cell>
          <cell r="K143"/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D144">
            <v>5.610004555986424</v>
          </cell>
          <cell r="E144">
            <v>6.0767044152306786</v>
          </cell>
          <cell r="F144">
            <v>6.020905176280162</v>
          </cell>
          <cell r="G144">
            <v>9.8742396885031454</v>
          </cell>
          <cell r="H144">
            <v>11.070638272481794</v>
          </cell>
          <cell r="I144">
            <v>12.09499370716526</v>
          </cell>
          <cell r="J144">
            <v>10.294001452381703</v>
          </cell>
          <cell r="K144"/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D145">
            <v>4.6768186888058901E-8</v>
          </cell>
          <cell r="E145">
            <v>7.2487620691674207E-2</v>
          </cell>
          <cell r="F145">
            <v>8.7758107183960099E-2</v>
          </cell>
          <cell r="G145">
            <v>0.264953068574595</v>
          </cell>
          <cell r="H145">
            <v>0.47572956403639399</v>
          </cell>
          <cell r="I145">
            <v>0.27704446376839098</v>
          </cell>
          <cell r="J145">
            <v>0.49949769621784801</v>
          </cell>
          <cell r="K145"/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D146">
            <v>0.84970029969839189</v>
          </cell>
          <cell r="E146">
            <v>0.84941839936094254</v>
          </cell>
          <cell r="F146">
            <v>0.64294280126356995</v>
          </cell>
          <cell r="G146">
            <v>0.84968189620669499</v>
          </cell>
          <cell r="H146">
            <v>0.84969829486967607</v>
          </cell>
          <cell r="I146">
            <v>0.84970104557337955</v>
          </cell>
          <cell r="J146">
            <v>0.84970010681718011</v>
          </cell>
          <cell r="K146"/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D147">
            <v>3.8782384534604919E-5</v>
          </cell>
          <cell r="E147">
            <v>1.7589145701494947E-5</v>
          </cell>
          <cell r="F147">
            <v>0.24164637956199278</v>
          </cell>
          <cell r="G147">
            <v>7.3759233658812859E-4</v>
          </cell>
          <cell r="H147">
            <v>2.3825608809193528E-3</v>
          </cell>
          <cell r="I147">
            <v>0.2095349310638408</v>
          </cell>
          <cell r="J147">
            <v>0.53077019279906279</v>
          </cell>
          <cell r="K147"/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D148">
            <v>4.1608208065523881E-5</v>
          </cell>
          <cell r="E148">
            <v>1.7199488331915923E-5</v>
          </cell>
          <cell r="F148">
            <v>0.31185931836276093</v>
          </cell>
          <cell r="G148">
            <v>9.5023028023481304E-4</v>
          </cell>
          <cell r="H148">
            <v>2.9427218199819523E-3</v>
          </cell>
          <cell r="I148">
            <v>0.24656872179938141</v>
          </cell>
          <cell r="J148">
            <v>0.58980083908210945</v>
          </cell>
          <cell r="K148"/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D149">
            <v>3.3771413851221102E-3</v>
          </cell>
          <cell r="E149">
            <v>0.17429578865466999</v>
          </cell>
          <cell r="F149">
            <v>7.2695363633520005E-5</v>
          </cell>
          <cell r="G149">
            <v>7.1971256089727406E-5</v>
          </cell>
          <cell r="H149">
            <v>0.10942458279807001</v>
          </cell>
          <cell r="I149">
            <v>8.1215207397791603E-2</v>
          </cell>
          <cell r="J149">
            <v>0.10184501067827501</v>
          </cell>
          <cell r="K149"/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D150">
            <v>3.3771413851221102E-3</v>
          </cell>
          <cell r="E150">
            <v>0.17766833554211872</v>
          </cell>
          <cell r="F150">
            <v>0.17773671422990578</v>
          </cell>
          <cell r="G150">
            <v>0.17780817194459392</v>
          </cell>
          <cell r="H150">
            <v>0.19972556146536968</v>
          </cell>
          <cell r="I150">
            <v>0.19069305127487063</v>
          </cell>
          <cell r="J150">
            <v>0.20706434971967427</v>
          </cell>
          <cell r="K150"/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D151">
            <v>4.3764128942218369E-3</v>
          </cell>
          <cell r="E151">
            <v>1.6583040650712591E-3</v>
          </cell>
          <cell r="F151">
            <v>1.865338143676536E-3</v>
          </cell>
          <cell r="G151">
            <v>9.418059692792339E-4</v>
          </cell>
          <cell r="H151">
            <v>1.1819622600275083E-2</v>
          </cell>
          <cell r="I151">
            <v>5.076816626412025E-2</v>
          </cell>
          <cell r="J151">
            <v>7.0719861103441792E-2</v>
          </cell>
          <cell r="K151"/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D152">
            <v>2.8352472728777425</v>
          </cell>
          <cell r="E152">
            <v>3.2927994510780199</v>
          </cell>
          <cell r="F152">
            <v>9.9641462356623833</v>
          </cell>
          <cell r="G152">
            <v>10.735841358577687</v>
          </cell>
          <cell r="H152">
            <v>11.273183686040873</v>
          </cell>
          <cell r="I152">
            <v>12.527923477139058</v>
          </cell>
          <cell r="J152">
            <v>13.749561012553775</v>
          </cell>
          <cell r="K152"/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D153">
            <v>2.8396236857719668</v>
          </cell>
          <cell r="E153">
            <v>3.294455230325338</v>
          </cell>
          <cell r="F153">
            <v>9.9660115738060568</v>
          </cell>
          <cell r="G153">
            <v>10.736783164546971</v>
          </cell>
          <cell r="H153">
            <v>11.285003308641146</v>
          </cell>
          <cell r="I153">
            <v>12.578691643403182</v>
          </cell>
          <cell r="J153">
            <v>13.820280873657218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D154">
            <v>689.99897056549298</v>
          </cell>
          <cell r="E154">
            <v>659.57605228325201</v>
          </cell>
          <cell r="F154">
            <v>623.10286063849503</v>
          </cell>
          <cell r="G154">
            <v>416.70060381181202</v>
          </cell>
          <cell r="H154">
            <v>291.22362415382702</v>
          </cell>
          <cell r="I154">
            <v>115.638219243192</v>
          </cell>
          <cell r="J154">
            <v>1.16028159661467E-3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D155">
            <v>9.2059047983095557</v>
          </cell>
          <cell r="E155">
            <v>8.8000049327437644</v>
          </cell>
          <cell r="F155">
            <v>8.3138011649478472</v>
          </cell>
          <cell r="G155">
            <v>6.5642485088642974</v>
          </cell>
          <cell r="H155">
            <v>4.9139943776349417</v>
          </cell>
          <cell r="I155">
            <v>2.5713516449036646</v>
          </cell>
          <cell r="J155">
            <v>1.0285220478847314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D156">
            <v>9.362265543629487</v>
          </cell>
          <cell r="E156">
            <v>8.949471537086179</v>
          </cell>
          <cell r="F156">
            <v>8.4545842691790298</v>
          </cell>
          <cell r="G156">
            <v>5.6540109065374669</v>
          </cell>
          <cell r="H156">
            <v>3.9514738691156968</v>
          </cell>
          <cell r="I156">
            <v>1.5690396098126402</v>
          </cell>
          <cell r="J156">
            <v>1.5743305245789353E-5</v>
          </cell>
          <cell r="K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D157"/>
          <cell r="E157"/>
          <cell r="F157">
            <v>4.2541085463651979E-4</v>
          </cell>
          <cell r="G157">
            <v>1.0217302596808999</v>
          </cell>
          <cell r="H157">
            <v>1.0459838768919019</v>
          </cell>
          <cell r="I157">
            <v>1.0459860104888576</v>
          </cell>
          <cell r="J157">
            <v>1.0459863741375195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D158"/>
          <cell r="E158"/>
          <cell r="F158">
            <v>0.18861542957502594</v>
          </cell>
          <cell r="G158">
            <v>0.35035153980157624</v>
          </cell>
          <cell r="H158">
            <v>0.40260210797128831</v>
          </cell>
          <cell r="I158">
            <v>0.46287280931750896</v>
          </cell>
          <cell r="J158">
            <v>0.34149582761227348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D159"/>
          <cell r="E159"/>
          <cell r="F159">
            <v>0.18842700257245362</v>
          </cell>
          <cell r="G159">
            <v>0.35000153826331287</v>
          </cell>
          <cell r="H159">
            <v>0.40219990806322486</v>
          </cell>
          <cell r="I159">
            <v>0.46241039891859065</v>
          </cell>
          <cell r="J159">
            <v>0.34115467293933421</v>
          </cell>
          <cell r="K159"/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D160"/>
          <cell r="E160"/>
          <cell r="F160">
            <v>0.18846457712539866</v>
          </cell>
          <cell r="G160">
            <v>0.35003564124668018</v>
          </cell>
          <cell r="H160">
            <v>0.40222041273052084</v>
          </cell>
          <cell r="I160">
            <v>0.46242258254794827</v>
          </cell>
          <cell r="J160">
            <v>0.34117206766078401</v>
          </cell>
          <cell r="K160"/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D161">
            <v>2.97234040844366E-5</v>
          </cell>
          <cell r="E161">
            <v>1.64839017298572E-5</v>
          </cell>
          <cell r="F161">
            <v>3.4816791088801202E-2</v>
          </cell>
          <cell r="G161">
            <v>2.6688394424542301E-2</v>
          </cell>
          <cell r="H161">
            <v>1.14136298526335E-2</v>
          </cell>
          <cell r="I161">
            <v>4.8877468622718197E-2</v>
          </cell>
          <cell r="J161">
            <v>2.60386579248118E-2</v>
          </cell>
          <cell r="K161"/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D162">
            <v>2.97234040844366E-5</v>
          </cell>
          <cell r="E162">
            <v>5.6297202705179756E-7</v>
          </cell>
          <cell r="F162">
            <v>3.4809153214172224E-2</v>
          </cell>
          <cell r="G162">
            <v>6.147965969130334E-2</v>
          </cell>
          <cell r="H162">
            <v>7.2805272133729157E-2</v>
          </cell>
          <cell r="I162">
            <v>8.4527869846715176E-2</v>
          </cell>
          <cell r="J162">
            <v>6.6238647580995541E-2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D163">
            <v>1.1902106783777481E-2</v>
          </cell>
          <cell r="E163">
            <v>1.072982789657531</v>
          </cell>
          <cell r="F163">
            <v>0.67222320141638747</v>
          </cell>
          <cell r="G163">
            <v>1.0725782841481075</v>
          </cell>
          <cell r="H163">
            <v>1.0726066990532741</v>
          </cell>
          <cell r="I163">
            <v>1.072568204387915</v>
          </cell>
          <cell r="J163">
            <v>1.8295908689023572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D164">
            <v>1.1902106783777481E-2</v>
          </cell>
          <cell r="E164">
            <v>1.072982789657531</v>
          </cell>
          <cell r="F164">
            <v>0.67222320141638747</v>
          </cell>
          <cell r="G164">
            <v>1.0725782841481075</v>
          </cell>
          <cell r="H164">
            <v>1.0726066990532741</v>
          </cell>
          <cell r="I164">
            <v>1.072568204387915</v>
          </cell>
          <cell r="J164">
            <v>1.8295908689023572</v>
          </cell>
          <cell r="K164"/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D165">
            <v>3.7846540189386199E-2</v>
          </cell>
          <cell r="E165">
            <v>3.7916169397986497E-2</v>
          </cell>
          <cell r="F165">
            <v>7.8464541583320394E-8</v>
          </cell>
          <cell r="G165">
            <v>1.3383368398425501E-7</v>
          </cell>
          <cell r="H165">
            <v>1.951325758558E-7</v>
          </cell>
          <cell r="I165">
            <v>1.5233704403520001E-7</v>
          </cell>
          <cell r="J165">
            <v>8.8297077931549395E-2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D166">
            <v>3.7846540189386199E-2</v>
          </cell>
          <cell r="E166">
            <v>7.5762695388216686E-2</v>
          </cell>
          <cell r="F166">
            <v>7.5761783185221032E-2</v>
          </cell>
          <cell r="G166">
            <v>7.5762561789416788E-2</v>
          </cell>
          <cell r="H166">
            <v>7.576265732070625E-2</v>
          </cell>
          <cell r="I166">
            <v>7.5762866979768237E-2</v>
          </cell>
          <cell r="J166">
            <v>0.12919706069287085</v>
          </cell>
          <cell r="K166"/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D167"/>
          <cell r="E167"/>
          <cell r="F167">
            <v>2.1723798109391417E-3</v>
          </cell>
          <cell r="G167">
            <v>2.1613808661357244E-3</v>
          </cell>
          <cell r="H167">
            <v>2.8124146467962494E-3</v>
          </cell>
          <cell r="I167">
            <v>9.2500726179830517E-3</v>
          </cell>
          <cell r="J167">
            <v>9.1380417480063612E-3</v>
          </cell>
          <cell r="K167"/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D168"/>
          <cell r="E168"/>
          <cell r="F168">
            <v>2.1723798109391417E-3</v>
          </cell>
          <cell r="G168">
            <v>2.1613808661357244E-3</v>
          </cell>
          <cell r="H168">
            <v>2.8124146467962494E-3</v>
          </cell>
          <cell r="I168">
            <v>9.2500726179830517E-3</v>
          </cell>
          <cell r="J168">
            <v>9.1380417480063612E-3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D169"/>
          <cell r="E169">
            <v>6.4475022121889603E-8</v>
          </cell>
          <cell r="F169">
            <v>1.6873897668670201E-4</v>
          </cell>
          <cell r="G169">
            <v>3.5648595805033201E-7</v>
          </cell>
          <cell r="H169">
            <v>5.1688443391714102E-5</v>
          </cell>
          <cell r="I169">
            <v>4.9449218331812795E-4</v>
          </cell>
          <cell r="J169">
            <v>5.7512344774609602E-8</v>
          </cell>
          <cell r="K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D170"/>
          <cell r="E170">
            <v>6.4475022121889603E-8</v>
          </cell>
          <cell r="F170">
            <v>1.6875914923007558E-4</v>
          </cell>
          <cell r="G170">
            <v>1.6908947498047534E-4</v>
          </cell>
          <cell r="H170">
            <v>2.2068271771044973E-4</v>
          </cell>
          <cell r="I170">
            <v>7.1522232230788541E-4</v>
          </cell>
          <cell r="J170">
            <v>7.1533912066138979E-4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D171">
            <v>8.5207642389434075E-4</v>
          </cell>
          <cell r="E171">
            <v>0.59728849354965108</v>
          </cell>
          <cell r="F171">
            <v>0.3467153025605218</v>
          </cell>
          <cell r="G171">
            <v>0.59689022205896503</v>
          </cell>
          <cell r="H171">
            <v>0.59691756902552728</v>
          </cell>
          <cell r="I171">
            <v>0.59687784713041181</v>
          </cell>
          <cell r="J171">
            <v>0.34512599065841959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D172">
            <v>8.5207642389434075E-4</v>
          </cell>
          <cell r="E172">
            <v>0.59728849354965108</v>
          </cell>
          <cell r="F172">
            <v>0.3467153025605218</v>
          </cell>
          <cell r="G172">
            <v>0.59689022205896503</v>
          </cell>
          <cell r="H172">
            <v>0.59691756902552728</v>
          </cell>
          <cell r="I172">
            <v>0.59687784713041181</v>
          </cell>
          <cell r="J172">
            <v>0.34512599065841959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D173">
            <v>1.07085599900988E-4</v>
          </cell>
          <cell r="E173">
            <v>4.20651561120036E-2</v>
          </cell>
          <cell r="F173">
            <v>6.96007638399753E-8</v>
          </cell>
          <cell r="G173">
            <v>1.11718466258617E-7</v>
          </cell>
          <cell r="H173">
            <v>1.5809864976764901E-7</v>
          </cell>
          <cell r="I173">
            <v>1.33267874768122E-7</v>
          </cell>
          <cell r="J173">
            <v>1.5871731468931501E-6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D174">
            <v>1.07085599900988E-4</v>
          </cell>
          <cell r="E174">
            <v>4.2172227551786005E-2</v>
          </cell>
          <cell r="F174">
            <v>4.2171318300279918E-2</v>
          </cell>
          <cell r="G174">
            <v>4.2172068552787823E-2</v>
          </cell>
          <cell r="H174">
            <v>4.2172128365288886E-2</v>
          </cell>
          <cell r="I174">
            <v>4.2172318031679992E-2</v>
          </cell>
          <cell r="J174">
            <v>2.4373487418921976E-2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D175">
            <v>28.619772006167388</v>
          </cell>
          <cell r="E175">
            <v>23.417148894376577</v>
          </cell>
          <cell r="F175">
            <v>27.563173582134166</v>
          </cell>
          <cell r="G175">
            <v>20.524249139525519</v>
          </cell>
          <cell r="H175">
            <v>9.5592502410766436</v>
          </cell>
          <cell r="I175">
            <v>3.2233014589363749</v>
          </cell>
          <cell r="J175">
            <v>1.4297197562513158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D176">
            <v>2005.1533686858099</v>
          </cell>
          <cell r="E176">
            <v>1639.2133025739899</v>
          </cell>
          <cell r="F176">
            <v>1926.9095720272501</v>
          </cell>
          <cell r="G176">
            <v>1431.7004117531999</v>
          </cell>
          <cell r="H176">
            <v>665.37046981301796</v>
          </cell>
          <cell r="I176">
            <v>223.87081924156399</v>
          </cell>
          <cell r="J176">
            <v>98.870640764359507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D177">
            <v>35.552364693010873</v>
          </cell>
          <cell r="E177">
            <v>29.064065648474916</v>
          </cell>
          <cell r="F177">
            <v>34.165063333816427</v>
          </cell>
          <cell r="G177">
            <v>25.384759073638293</v>
          </cell>
          <cell r="H177">
            <v>11.797348755549976</v>
          </cell>
          <cell r="I177">
            <v>3.9693407666943998</v>
          </cell>
          <cell r="J177">
            <v>1.7530255454673676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D178"/>
          <cell r="E178">
            <v>5.4967396519694003E-5</v>
          </cell>
          <cell r="F178">
            <v>9.1410532516734803E-5</v>
          </cell>
          <cell r="G178">
            <v>3.8144516044905497E-5</v>
          </cell>
          <cell r="H178">
            <v>0.14565994181078901</v>
          </cell>
          <cell r="I178">
            <v>4.1882691586187001E-2</v>
          </cell>
          <cell r="J178">
            <v>6.9706257114636103E-4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D179">
            <v>1.556581895256</v>
          </cell>
          <cell r="E179">
            <v>1.5565902775612379</v>
          </cell>
          <cell r="F179">
            <v>1.5566294532708074</v>
          </cell>
          <cell r="G179">
            <v>1.5475550439044423</v>
          </cell>
          <cell r="H179">
            <v>0.54702358127323369</v>
          </cell>
          <cell r="I179">
            <v>0.18750335278482336</v>
          </cell>
          <cell r="J179">
            <v>9.2522616988217288E-2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D180"/>
          <cell r="E180">
            <v>2.1544714931053068E-2</v>
          </cell>
          <cell r="F180">
            <v>4.1538933061303122E-5</v>
          </cell>
          <cell r="G180">
            <v>1.8116041957190639E-4</v>
          </cell>
          <cell r="H180">
            <v>2.4202939528842211E-4</v>
          </cell>
          <cell r="I180">
            <v>3.0273929800140231E-4</v>
          </cell>
          <cell r="J180">
            <v>5.1049848676828656E-4</v>
          </cell>
          <cell r="K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D181"/>
          <cell r="E181">
            <v>2.1544714931053068E-2</v>
          </cell>
          <cell r="F181">
            <v>4.1538933061303122E-5</v>
          </cell>
          <cell r="G181">
            <v>1.8116041957190639E-4</v>
          </cell>
          <cell r="H181">
            <v>2.4202939528842211E-4</v>
          </cell>
          <cell r="I181">
            <v>3.0273929800140231E-4</v>
          </cell>
          <cell r="J181">
            <v>5.1049848676828656E-4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D182"/>
          <cell r="E182">
            <v>3.1911971468354099E-3</v>
          </cell>
          <cell r="F182">
            <v>1.2837615564278801E-5</v>
          </cell>
          <cell r="G182">
            <v>2.2338277364259702E-5</v>
          </cell>
          <cell r="H182">
            <v>1.49782638317367E-4</v>
          </cell>
          <cell r="I182">
            <v>2.1348450843877801E-4</v>
          </cell>
          <cell r="J182">
            <v>4.4209556045265499E-5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D183"/>
          <cell r="E183">
            <v>3.1911971468354099E-3</v>
          </cell>
          <cell r="F183">
            <v>2.6770531028889547E-3</v>
          </cell>
          <cell r="G183">
            <v>2.6980182754675333E-3</v>
          </cell>
          <cell r="H183">
            <v>1.548933945528981E-3</v>
          </cell>
          <cell r="I183">
            <v>3.7952621382091105E-4</v>
          </cell>
          <cell r="J183">
            <v>2.6195156515452692E-4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D184">
            <v>1.4011316272724859</v>
          </cell>
          <cell r="E184">
            <v>1.6078005821545727</v>
          </cell>
          <cell r="F184">
            <v>0.14761100998607152</v>
          </cell>
          <cell r="G184">
            <v>0.12759573414778272</v>
          </cell>
          <cell r="H184">
            <v>0.10114647426537092</v>
          </cell>
          <cell r="I184">
            <v>7.2342803415378798E-2</v>
          </cell>
          <cell r="J184">
            <v>2.4226812922380186E-2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D185">
            <v>1.4011316272724859</v>
          </cell>
          <cell r="E185">
            <v>1.6078005821545727</v>
          </cell>
          <cell r="F185">
            <v>0.14761100998607152</v>
          </cell>
          <cell r="G185">
            <v>0.12759573414778272</v>
          </cell>
          <cell r="H185">
            <v>0.10114647426537092</v>
          </cell>
          <cell r="I185">
            <v>7.2342803415378798E-2</v>
          </cell>
          <cell r="J185">
            <v>2.4226812922380186E-2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D186">
            <v>1.5568129191916518</v>
          </cell>
          <cell r="E186">
            <v>1.7864450912828593</v>
          </cell>
          <cell r="F186">
            <v>0.20286483423593582</v>
          </cell>
          <cell r="G186">
            <v>0.17535743071973381</v>
          </cell>
          <cell r="H186">
            <v>0.1390076711576595</v>
          </cell>
          <cell r="I186">
            <v>9.9422196382292508E-2</v>
          </cell>
          <cell r="J186">
            <v>3.2599803774152267E-2</v>
          </cell>
          <cell r="K186"/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D187">
            <v>1.0087048691343301E-5</v>
          </cell>
          <cell r="E187">
            <v>1.4713573664071901E-2</v>
          </cell>
          <cell r="F187">
            <v>2.2840167089342399E-7</v>
          </cell>
          <cell r="G187">
            <v>9.0496140901830396E-7</v>
          </cell>
          <cell r="H187">
            <v>1.08038698405577E-3</v>
          </cell>
          <cell r="I187">
            <v>4.0583067937187203E-3</v>
          </cell>
          <cell r="J187">
            <v>1.25718413115108E-7</v>
          </cell>
          <cell r="K187"/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D188">
            <v>9.9709143168971948E-2</v>
          </cell>
          <cell r="E188">
            <v>0.11442263024334338</v>
          </cell>
          <cell r="F188">
            <v>1.3715239818762701E-2</v>
          </cell>
          <cell r="G188">
            <v>1.3552842786031694E-2</v>
          </cell>
          <cell r="H188">
            <v>8.0108016994481016E-3</v>
          </cell>
          <cell r="I188">
            <v>5.1389713431892366E-3</v>
          </cell>
          <cell r="J188">
            <v>2.7842679991573567E-3</v>
          </cell>
          <cell r="K188"/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D189"/>
          <cell r="E189">
            <v>7.8496590755160935E-3</v>
          </cell>
          <cell r="F189">
            <v>3.917364983598016E-3</v>
          </cell>
          <cell r="G189">
            <v>7.5143558107495434E-3</v>
          </cell>
          <cell r="H189">
            <v>7.5395220571375984E-3</v>
          </cell>
          <cell r="I189">
            <v>7.5205363124355752E-3</v>
          </cell>
          <cell r="J189">
            <v>4.4769570394714124E-3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D190"/>
          <cell r="E190">
            <v>7.8496590755160935E-3</v>
          </cell>
          <cell r="F190">
            <v>3.917364983598016E-3</v>
          </cell>
          <cell r="G190">
            <v>7.5143558107495434E-3</v>
          </cell>
          <cell r="H190">
            <v>7.5395220571375984E-3</v>
          </cell>
          <cell r="I190">
            <v>7.5205363124355752E-3</v>
          </cell>
          <cell r="J190">
            <v>4.4769570394714124E-3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D191"/>
          <cell r="E191">
            <v>5.4991972479675197E-4</v>
          </cell>
          <cell r="F191">
            <v>6.2966536274184997E-8</v>
          </cell>
          <cell r="G191">
            <v>7.9003700602813795E-8</v>
          </cell>
          <cell r="H191">
            <v>1.0623163111053E-7</v>
          </cell>
          <cell r="I191">
            <v>9.1355771007546604E-8</v>
          </cell>
          <cell r="J191">
            <v>4.23611770139825E-7</v>
          </cell>
          <cell r="K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D192"/>
          <cell r="E192">
            <v>5.4991972479675197E-4</v>
          </cell>
          <cell r="F192">
            <v>5.4960800846623036E-4</v>
          </cell>
          <cell r="G192">
            <v>5.4988897164218848E-4</v>
          </cell>
          <cell r="H192">
            <v>5.4985735765129612E-4</v>
          </cell>
          <cell r="I192">
            <v>5.499449847346608E-4</v>
          </cell>
          <cell r="J192">
            <v>3.1852840048443766E-4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D193"/>
          <cell r="E193">
            <v>7.265737564882053E-4</v>
          </cell>
          <cell r="F193">
            <v>3.834424580525874E-4</v>
          </cell>
          <cell r="G193">
            <v>5.5028839597005645E-4</v>
          </cell>
          <cell r="H193">
            <v>5.7739056551995606E-4</v>
          </cell>
          <cell r="I193">
            <v>5.745128379492651E-4</v>
          </cell>
          <cell r="J193">
            <v>3.83612693091664E-4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D194"/>
          <cell r="E194">
            <v>7.265737564882053E-4</v>
          </cell>
          <cell r="F194">
            <v>3.834424580525874E-4</v>
          </cell>
          <cell r="G194">
            <v>5.5028839597005645E-4</v>
          </cell>
          <cell r="H194">
            <v>5.7739056551995606E-4</v>
          </cell>
          <cell r="I194">
            <v>5.745128379492651E-4</v>
          </cell>
          <cell r="J194">
            <v>3.83612693091664E-4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D195"/>
          <cell r="E195">
            <v>4.6887772717303202E-5</v>
          </cell>
          <cell r="F195">
            <v>6.1300736833051897E-8</v>
          </cell>
          <cell r="G195">
            <v>7.8635936977194101E-8</v>
          </cell>
          <cell r="H195">
            <v>9.8170971682322798E-8</v>
          </cell>
          <cell r="I195">
            <v>6.5375100852025803E-8</v>
          </cell>
          <cell r="J195">
            <v>3.08177642544689E-7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D196"/>
          <cell r="E196">
            <v>4.6887772717303202E-5</v>
          </cell>
          <cell r="F196">
            <v>4.6844915538013214E-5</v>
          </cell>
          <cell r="G196">
            <v>4.6912673381697056E-5</v>
          </cell>
          <cell r="H196">
            <v>4.6921267649000829E-5</v>
          </cell>
          <cell r="I196">
            <v>4.6964086884051162E-5</v>
          </cell>
          <cell r="J196">
            <v>2.7595391016196407E-5</v>
          </cell>
          <cell r="K196"/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D197"/>
          <cell r="E197">
            <v>1.3640090268014836E-4</v>
          </cell>
          <cell r="F197">
            <v>9.5020328361353172E-5</v>
          </cell>
          <cell r="G197">
            <v>8.4220564752707426E-5</v>
          </cell>
          <cell r="H197">
            <v>1.0673680415938179E-4</v>
          </cell>
          <cell r="I197">
            <v>9.7512382956461394E-5</v>
          </cell>
          <cell r="J197">
            <v>7.0566240065281363E-5</v>
          </cell>
          <cell r="K197"/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D198"/>
          <cell r="E198">
            <v>1.3640090268014836E-4</v>
          </cell>
          <cell r="F198">
            <v>9.5020328361353172E-5</v>
          </cell>
          <cell r="G198">
            <v>8.4220564752707426E-5</v>
          </cell>
          <cell r="H198">
            <v>1.0673680415938179E-4</v>
          </cell>
          <cell r="I198">
            <v>9.7512382956461394E-5</v>
          </cell>
          <cell r="J198">
            <v>7.0566240065281363E-5</v>
          </cell>
          <cell r="K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D199"/>
          <cell r="E199">
            <v>5.1656944283929098E-6</v>
          </cell>
          <cell r="F199">
            <v>9.2330444195743097E-8</v>
          </cell>
          <cell r="G199">
            <v>9.9470113190698393E-8</v>
          </cell>
          <cell r="H199">
            <v>4.1982742392067897E-8</v>
          </cell>
          <cell r="I199">
            <v>3.29170938798013E-8</v>
          </cell>
          <cell r="J199">
            <v>5.1277547701011001E-8</v>
          </cell>
          <cell r="K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D200"/>
          <cell r="E200">
            <v>5.1656944283929098E-6</v>
          </cell>
          <cell r="F200">
            <v>5.2237270452260826E-6</v>
          </cell>
          <cell r="G200">
            <v>5.3095592994356382E-6</v>
          </cell>
          <cell r="H200">
            <v>5.3083248699986332E-6</v>
          </cell>
          <cell r="I200">
            <v>5.3252583274902404E-6</v>
          </cell>
          <cell r="J200">
            <v>3.2284325300716022E-6</v>
          </cell>
          <cell r="K200"/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D201">
            <v>9.1578262544868707</v>
          </cell>
          <cell r="E201">
            <v>10.275916857584146</v>
          </cell>
          <cell r="F201">
            <v>20.778512480532388</v>
          </cell>
          <cell r="G201">
            <v>27.478130447825617</v>
          </cell>
          <cell r="H201">
            <v>29.228330807182683</v>
          </cell>
          <cell r="I201">
            <v>31.209877888779253</v>
          </cell>
          <cell r="J201">
            <v>27.691935005942184</v>
          </cell>
          <cell r="K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D202">
            <v>2.8618207045271475</v>
          </cell>
          <cell r="E202">
            <v>3.1585810013066045</v>
          </cell>
          <cell r="F202">
            <v>7.1732216525706223</v>
          </cell>
          <cell r="G202">
            <v>8.5491659205197497</v>
          </cell>
          <cell r="H202">
            <v>8.5845123645766144</v>
          </cell>
          <cell r="I202">
            <v>8.6552242638740182</v>
          </cell>
          <cell r="J202">
            <v>6.851973406021334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D203">
            <v>9.1578262544868707</v>
          </cell>
          <cell r="E203">
            <v>10.275916857584146</v>
          </cell>
          <cell r="F203">
            <v>20.778512480532388</v>
          </cell>
          <cell r="G203">
            <v>27.478130447825617</v>
          </cell>
          <cell r="H203">
            <v>29.228330807182683</v>
          </cell>
          <cell r="I203">
            <v>31.209877888779253</v>
          </cell>
          <cell r="J203">
            <v>27.691935005942184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D204">
            <v>1.4290012302835801E-7</v>
          </cell>
          <cell r="E204">
            <v>9.0328932405269693E-2</v>
          </cell>
          <cell r="F204">
            <v>0.848504544136923</v>
          </cell>
          <cell r="G204">
            <v>0.54123812610722799</v>
          </cell>
          <cell r="H204">
            <v>0.73342619156153799</v>
          </cell>
          <cell r="I204">
            <v>1.2682079995798401</v>
          </cell>
          <cell r="J204">
            <v>1.00655565155897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D205">
            <v>0.73983807082548803</v>
          </cell>
          <cell r="E205">
            <v>0.83016691057845515</v>
          </cell>
          <cell r="F205">
            <v>1.6786709344793158</v>
          </cell>
          <cell r="G205">
            <v>2.2199088619472702</v>
          </cell>
          <cell r="H205">
            <v>2.3613126307472445</v>
          </cell>
          <cell r="I205">
            <v>2.5215807002489927</v>
          </cell>
          <cell r="J205">
            <v>2.2371718822460362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D206">
            <v>3.239912468013745</v>
          </cell>
          <cell r="E206">
            <v>3.6354642162141491</v>
          </cell>
          <cell r="F206">
            <v>5.3082783094348107</v>
          </cell>
          <cell r="G206">
            <v>8.9922073919553878</v>
          </cell>
          <cell r="H206">
            <v>11.403665445430034</v>
          </cell>
          <cell r="I206">
            <v>14.224770016759321</v>
          </cell>
          <cell r="J206">
            <v>15.741883890564591</v>
          </cell>
          <cell r="K206"/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D207">
            <v>1.148905130501328</v>
          </cell>
          <cell r="E207">
            <v>1.2864346129561752</v>
          </cell>
          <cell r="F207">
            <v>2.8040124663146546</v>
          </cell>
          <cell r="G207">
            <v>4.1929930886562907</v>
          </cell>
          <cell r="H207">
            <v>4.9546412631557439</v>
          </cell>
          <cell r="I207">
            <v>5.799917621155191</v>
          </cell>
          <cell r="J207">
            <v>5.6864378445749004</v>
          </cell>
          <cell r="K207"/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D208">
            <v>2.7753555556466499E-6</v>
          </cell>
          <cell r="E208">
            <v>3.2777245990607003E-2</v>
          </cell>
          <cell r="F208">
            <v>0.105366653388898</v>
          </cell>
          <cell r="G208">
            <v>0.26313889657622103</v>
          </cell>
          <cell r="H208">
            <v>0.338835331198931</v>
          </cell>
          <cell r="I208">
            <v>0.43505427598387197</v>
          </cell>
          <cell r="J208">
            <v>0.60666432099776102</v>
          </cell>
          <cell r="K208"/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D209">
            <v>0.21335543777479665</v>
          </cell>
          <cell r="E209">
            <v>0.24613239801826442</v>
          </cell>
          <cell r="F209">
            <v>0.35149856840198879</v>
          </cell>
          <cell r="G209">
            <v>0.61463708186571009</v>
          </cell>
          <cell r="H209">
            <v>0.7794626287703128</v>
          </cell>
          <cell r="I209">
            <v>0.9722718486509343</v>
          </cell>
          <cell r="J209">
            <v>1.0657230107738878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D210">
            <v>5.6086472497470368</v>
          </cell>
          <cell r="E210">
            <v>6.0095232393536175</v>
          </cell>
          <cell r="F210">
            <v>6.1280425362223347</v>
          </cell>
          <cell r="G210">
            <v>8.0296710824700739</v>
          </cell>
          <cell r="H210">
            <v>9.0181137388410306</v>
          </cell>
          <cell r="I210">
            <v>8.9598173708890769</v>
          </cell>
          <cell r="J210">
            <v>11.317647890860824</v>
          </cell>
          <cell r="K210"/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D211"/>
          <cell r="E211">
            <v>2.4888934926199652E-4</v>
          </cell>
          <cell r="F211">
            <v>9.3712073502596885E-4</v>
          </cell>
          <cell r="G211">
            <v>6.2915783342905047E-4</v>
          </cell>
          <cell r="H211">
            <v>1.6372512125837645E-2</v>
          </cell>
          <cell r="I211">
            <v>2.2420700248046037E-2</v>
          </cell>
          <cell r="J211">
            <v>3.5645145772241045E-2</v>
          </cell>
          <cell r="K211"/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D212">
            <v>5.6086472497470368</v>
          </cell>
          <cell r="E212">
            <v>6.0097721287028776</v>
          </cell>
          <cell r="F212">
            <v>6.1289796569573669</v>
          </cell>
          <cell r="G212">
            <v>8.030300240303502</v>
          </cell>
          <cell r="H212">
            <v>9.0344862509668662</v>
          </cell>
          <cell r="I212">
            <v>8.9822380711371004</v>
          </cell>
          <cell r="J212">
            <v>11.353293036633062</v>
          </cell>
          <cell r="K212"/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D213"/>
          <cell r="E213">
            <v>6.3525872202871693E-5</v>
          </cell>
          <cell r="F213">
            <v>6.0049590226762478E-5</v>
          </cell>
          <cell r="G213">
            <v>3.9515193203378165E-5</v>
          </cell>
          <cell r="H213">
            <v>6.030092814350889E-5</v>
          </cell>
          <cell r="I213">
            <v>4.7876703180814975E-5</v>
          </cell>
          <cell r="J213">
            <v>3.5076026181168745E-5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D214"/>
          <cell r="E214">
            <v>6.3525872202871693E-5</v>
          </cell>
          <cell r="F214">
            <v>6.0049590226762478E-5</v>
          </cell>
          <cell r="G214">
            <v>3.9515193203378165E-5</v>
          </cell>
          <cell r="H214">
            <v>6.030092814350889E-5</v>
          </cell>
          <cell r="I214">
            <v>4.7876703180814975E-5</v>
          </cell>
          <cell r="J214">
            <v>3.5076026181168745E-5</v>
          </cell>
          <cell r="K214"/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D215"/>
          <cell r="E215"/>
          <cell r="F215">
            <v>2.1548816068683401E-8</v>
          </cell>
          <cell r="G215">
            <v>1.09259137578715E-8</v>
          </cell>
          <cell r="H215">
            <v>1.04785235036852E-8</v>
          </cell>
          <cell r="I215"/>
          <cell r="J215">
            <v>1.31348316331681E-8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D216"/>
          <cell r="E216"/>
          <cell r="F216">
            <v>-5.3658564967109765E-10</v>
          </cell>
          <cell r="G216">
            <v>5.3199246207863008E-9</v>
          </cell>
          <cell r="H216">
            <v>-1.6962813668818904E-8</v>
          </cell>
          <cell r="I216">
            <v>-2.3398032637545803E-8</v>
          </cell>
          <cell r="J216">
            <v>3.1817129462304903E-8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D217">
            <v>4.2612451332688268</v>
          </cell>
          <cell r="E217">
            <v>4.6176590004979472</v>
          </cell>
          <cell r="F217">
            <v>6.4744139731942845</v>
          </cell>
          <cell r="G217">
            <v>14.125206509207349</v>
          </cell>
          <cell r="H217">
            <v>18.083634430942045</v>
          </cell>
          <cell r="I217">
            <v>23.45024893492355</v>
          </cell>
          <cell r="J217">
            <v>22.624966781022238</v>
          </cell>
          <cell r="K217"/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D218">
            <v>4.2612451332688268</v>
          </cell>
          <cell r="E218">
            <v>4.6176590004979472</v>
          </cell>
          <cell r="F218">
            <v>6.4744139731942845</v>
          </cell>
          <cell r="G218">
            <v>14.125206509207349</v>
          </cell>
          <cell r="H218">
            <v>18.083634430942045</v>
          </cell>
          <cell r="I218">
            <v>23.45024893492355</v>
          </cell>
          <cell r="J218">
            <v>22.624966781022238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D219">
            <v>1.3316391041465085</v>
          </cell>
          <cell r="E219">
            <v>1.4252033952154148</v>
          </cell>
          <cell r="F219">
            <v>2.2376529436071633</v>
          </cell>
          <cell r="G219">
            <v>4.3352350382749743</v>
          </cell>
          <cell r="H219">
            <v>5.2915835730385217</v>
          </cell>
          <cell r="I219">
            <v>6.5253896696658575</v>
          </cell>
          <cell r="J219">
            <v>5.8878544146192064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D220">
            <v>3.9616752771880201E-7</v>
          </cell>
          <cell r="E220">
            <v>9.3932844268038895E-7</v>
          </cell>
          <cell r="F220">
            <v>6.9929600405920306E-2</v>
          </cell>
          <cell r="G220">
            <v>0.59194140419088903</v>
          </cell>
          <cell r="H220">
            <v>0.624396711461497</v>
          </cell>
          <cell r="I220">
            <v>0.77255853538979302</v>
          </cell>
          <cell r="J220">
            <v>0.92598092073042604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D221">
            <v>0.43061770962131574</v>
          </cell>
          <cell r="E221">
            <v>0.4306175303368745</v>
          </cell>
          <cell r="F221">
            <v>0.50054717067154397</v>
          </cell>
          <cell r="G221">
            <v>1.0924881677747651</v>
          </cell>
          <cell r="H221">
            <v>1.3979398582491707</v>
          </cell>
          <cell r="I221">
            <v>1.8136280954199535</v>
          </cell>
          <cell r="J221">
            <v>1.7507685856356532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D222">
            <v>6.1678577299606595E-2</v>
          </cell>
          <cell r="E222">
            <v>0.16784704407694109</v>
          </cell>
          <cell r="F222">
            <v>7.6223211049120193E-2</v>
          </cell>
          <cell r="G222">
            <v>0.1695261129236984</v>
          </cell>
          <cell r="H222">
            <v>0.16298485975514543</v>
          </cell>
          <cell r="I222">
            <v>2.7878478093382441E-4</v>
          </cell>
          <cell r="J222">
            <v>0.16533419148377212</v>
          </cell>
          <cell r="K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D223">
            <v>8.828783038883287E-3</v>
          </cell>
          <cell r="E223">
            <v>3.4670364444674708E-3</v>
          </cell>
          <cell r="F223">
            <v>2.902132309264692E-3</v>
          </cell>
          <cell r="G223">
            <v>1.4079988663407122E-3</v>
          </cell>
          <cell r="H223">
            <v>6.3425882037063839E-3</v>
          </cell>
          <cell r="I223">
            <v>2.6036338938582832E-4</v>
          </cell>
          <cell r="J223">
            <v>6.1238597849451589E-3</v>
          </cell>
          <cell r="K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D224">
            <v>7.0507360338489838E-2</v>
          </cell>
          <cell r="E224">
            <v>0.17131408052140842</v>
          </cell>
          <cell r="F224">
            <v>7.9110489637926301E-2</v>
          </cell>
          <cell r="G224">
            <v>0.17092271110088245</v>
          </cell>
          <cell r="H224">
            <v>0.16930640122076621</v>
          </cell>
          <cell r="I224">
            <v>5.1594939462923763E-4</v>
          </cell>
          <cell r="J224">
            <v>0.17144551631564017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D225"/>
          <cell r="E225"/>
          <cell r="F225">
            <v>375</v>
          </cell>
          <cell r="G225">
            <v>2.0497129073434501</v>
          </cell>
          <cell r="H225">
            <v>1.87274395592756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D226"/>
          <cell r="E226"/>
          <cell r="F226">
            <v>375</v>
          </cell>
          <cell r="G226">
            <v>5.0174976329810193</v>
          </cell>
          <cell r="H226">
            <v>4.7182939530849808</v>
          </cell>
          <cell r="I226">
            <v>2.7313547071349831</v>
          </cell>
          <cell r="J226">
            <v>1.2262918919290087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D227"/>
          <cell r="E227">
            <v>6.9063673626100192E-2</v>
          </cell>
          <cell r="F227">
            <v>7.2220839792458604E-3</v>
          </cell>
          <cell r="G227">
            <v>1.1919361932807414E-2</v>
          </cell>
          <cell r="H227">
            <v>1.1905843383314968E-2</v>
          </cell>
          <cell r="I227">
            <v>1.1583111045403056E-2</v>
          </cell>
          <cell r="J227">
            <v>6.9009308603593987E-3</v>
          </cell>
          <cell r="K227"/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D228"/>
          <cell r="E228">
            <v>7.2698603816947552E-2</v>
          </cell>
          <cell r="F228">
            <v>7.6021936623640726E-3</v>
          </cell>
          <cell r="G228">
            <v>1.2546696771376225E-2</v>
          </cell>
          <cell r="H228">
            <v>1.253246671927891E-2</v>
          </cell>
          <cell r="I228">
            <v>1.219274846884532E-2</v>
          </cell>
          <cell r="J228">
            <v>7.2641377477467321E-3</v>
          </cell>
          <cell r="K228"/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D229"/>
          <cell r="E229">
            <v>5.2656079280878404E-3</v>
          </cell>
          <cell r="F229"/>
          <cell r="G229"/>
          <cell r="H229">
            <v>2.01868754566024E-3</v>
          </cell>
          <cell r="I229"/>
          <cell r="J229"/>
          <cell r="K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D230"/>
          <cell r="E230">
            <v>5.2656079280878404E-3</v>
          </cell>
          <cell r="F230">
            <v>5.2598826161144308E-3</v>
          </cell>
          <cell r="G230">
            <v>5.2485802530926814E-3</v>
          </cell>
          <cell r="H230">
            <v>4.6959243485179209E-3</v>
          </cell>
          <cell r="I230">
            <v>2.0183559390314874E-3</v>
          </cell>
          <cell r="J230">
            <v>8.5277335756430903E-4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D231"/>
          <cell r="E231"/>
          <cell r="F231">
            <v>375</v>
          </cell>
          <cell r="G231">
            <v>2.0497129073435398</v>
          </cell>
          <cell r="H231">
            <v>1.8727439559277399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D232"/>
          <cell r="E232"/>
          <cell r="F232">
            <v>375</v>
          </cell>
          <cell r="G232">
            <v>5.0174976329839751</v>
          </cell>
          <cell r="H232">
            <v>4.718293953086004</v>
          </cell>
          <cell r="I232">
            <v>2.7313547071370294</v>
          </cell>
          <cell r="J232">
            <v>1.2262918919309982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D233">
            <v>2.0955304063631559E-4</v>
          </cell>
          <cell r="E233">
            <v>1.896515558358066E-4</v>
          </cell>
          <cell r="F233">
            <v>6.3212193708691948E-4</v>
          </cell>
          <cell r="G233">
            <v>4.0700927001737863E-4</v>
          </cell>
          <cell r="H233">
            <v>9.9447599423604059E-4</v>
          </cell>
          <cell r="I233">
            <v>3.4059095276303183E-3</v>
          </cell>
          <cell r="J233">
            <v>7.9863991235414357E-3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D234">
            <v>1.8647552851414279E-4</v>
          </cell>
          <cell r="E234">
            <v>1.7034651049704477E-4</v>
          </cell>
          <cell r="F234">
            <v>7.4023906902708121E-4</v>
          </cell>
          <cell r="G234">
            <v>4.4402706717796425E-4</v>
          </cell>
          <cell r="H234">
            <v>1.1390491259720896E-3</v>
          </cell>
          <cell r="I234">
            <v>3.975815948639533E-3</v>
          </cell>
          <cell r="J234">
            <v>8.832073843529676E-3</v>
          </cell>
          <cell r="K234"/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D235">
            <v>2.6052604287594899E-5</v>
          </cell>
          <cell r="E235">
            <v>4.2375851039507897E-8</v>
          </cell>
          <cell r="F235">
            <v>3.78846334630295E-5</v>
          </cell>
          <cell r="G235">
            <v>1.28366850120087E-5</v>
          </cell>
          <cell r="H235">
            <v>1.21623398292035E-4</v>
          </cell>
          <cell r="I235">
            <v>1.5784067311260901E-2</v>
          </cell>
          <cell r="J235">
            <v>1.94651266597852E-7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D236">
            <v>2.6052604287594899E-5</v>
          </cell>
          <cell r="E236">
            <v>2.6094980138634399E-5</v>
          </cell>
          <cell r="F236">
            <v>6.3979613601663896E-5</v>
          </cell>
          <cell r="G236">
            <v>7.6816298613672693E-5</v>
          </cell>
          <cell r="H236">
            <v>1.79122767281044E-4</v>
          </cell>
          <cell r="I236">
            <v>1.5921168188818498E-2</v>
          </cell>
          <cell r="J236">
            <v>1.15066674891155E-2</v>
          </cell>
          <cell r="K236"/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D237">
            <v>3.1493793781827692E-2</v>
          </cell>
          <cell r="E237">
            <v>3.0249077269203558E-3</v>
          </cell>
          <cell r="F237"/>
          <cell r="G237"/>
          <cell r="H237"/>
          <cell r="I237"/>
          <cell r="J237"/>
          <cell r="K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D238">
            <v>3.1493793781827692E-2</v>
          </cell>
          <cell r="E238">
            <v>3.0249077269203558E-3</v>
          </cell>
          <cell r="F238"/>
          <cell r="G238"/>
          <cell r="H238"/>
          <cell r="I238"/>
          <cell r="J238"/>
          <cell r="K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D239">
            <v>3.1811912910937032E-2</v>
          </cell>
          <cell r="E239">
            <v>3.0554623504246E-3</v>
          </cell>
          <cell r="F239"/>
          <cell r="G239"/>
          <cell r="H239"/>
          <cell r="I239"/>
          <cell r="J239"/>
          <cell r="K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D240"/>
          <cell r="E240">
            <v>2.2987707197611099E-4</v>
          </cell>
          <cell r="F240">
            <v>5.8772921990805005E-4</v>
          </cell>
          <cell r="G240">
            <v>4.9475266594590399E-4</v>
          </cell>
          <cell r="H240">
            <v>5.5610854583336596E-4</v>
          </cell>
          <cell r="I240">
            <v>2.2512228393979799E-4</v>
          </cell>
          <cell r="J240">
            <v>4.0765136562911797E-5</v>
          </cell>
          <cell r="K240"/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D241">
            <v>5.3757649990155603E-3</v>
          </cell>
          <cell r="E241">
            <v>4.1071817279653058E-4</v>
          </cell>
          <cell r="F241">
            <v>8.4208307902427105E-4</v>
          </cell>
          <cell r="G241">
            <v>9.0579234321705015E-4</v>
          </cell>
          <cell r="H241">
            <v>9.416819689609E-4</v>
          </cell>
          <cell r="I241">
            <v>4.5811950895941194E-4</v>
          </cell>
          <cell r="J241">
            <v>8.8012904853207008E-5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D242">
            <v>1.2758013114844708</v>
          </cell>
          <cell r="E242">
            <v>1.2771705159250684</v>
          </cell>
          <cell r="F242">
            <v>0.82898861032305293</v>
          </cell>
          <cell r="G242">
            <v>0.5453848285373244</v>
          </cell>
          <cell r="H242">
            <v>0.30938949704496876</v>
          </cell>
          <cell r="I242">
            <v>0.27646502267270384</v>
          </cell>
          <cell r="J242">
            <v>0.20022192869435879</v>
          </cell>
          <cell r="K242"/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D243">
            <v>1.2770771127959557</v>
          </cell>
          <cell r="E243">
            <v>1.2784476864409919</v>
          </cell>
          <cell r="F243">
            <v>0.82981759893337581</v>
          </cell>
          <cell r="G243">
            <v>0.545930213365862</v>
          </cell>
          <cell r="H243">
            <v>0.30969888654201383</v>
          </cell>
          <cell r="I243">
            <v>0.27674148769537643</v>
          </cell>
          <cell r="J243">
            <v>0.20042215062305302</v>
          </cell>
          <cell r="K243"/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D244">
            <v>1.2758221261463172</v>
          </cell>
          <cell r="E244">
            <v>1.2771706888556467</v>
          </cell>
          <cell r="F244">
            <v>0.82898699792838693</v>
          </cell>
          <cell r="G244">
            <v>0.54538463721459918</v>
          </cell>
          <cell r="H244">
            <v>0.30939090599044072</v>
          </cell>
          <cell r="I244">
            <v>0.27646714449523929</v>
          </cell>
          <cell r="J244">
            <v>0.20022222727369754</v>
          </cell>
          <cell r="K244"/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D245">
            <v>0.111076736774539</v>
          </cell>
          <cell r="E245">
            <v>5.3680902307976702E-5</v>
          </cell>
          <cell r="F245">
            <v>3.2867536580634101E-5</v>
          </cell>
          <cell r="G245">
            <v>4.4684502365258402E-5</v>
          </cell>
          <cell r="H245">
            <v>1.46044780403553E-2</v>
          </cell>
          <cell r="I245">
            <v>1.15412039736728E-2</v>
          </cell>
          <cell r="J245">
            <v>8.3522116294631292E-3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D246">
            <v>0.11107764614342772</v>
          </cell>
          <cell r="E246">
            <v>0.11101437495648003</v>
          </cell>
          <cell r="F246">
            <v>8.196269773933651E-2</v>
          </cell>
          <cell r="G246">
            <v>5.6060493429585218E-2</v>
          </cell>
          <cell r="H246">
            <v>2.9127513125898834E-2</v>
          </cell>
          <cell r="I246">
            <v>2.6124618289076973E-2</v>
          </cell>
          <cell r="J246">
            <v>2.2817199607278005E-2</v>
          </cell>
          <cell r="K246"/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D247">
            <v>6.9177250408567614</v>
          </cell>
          <cell r="E247">
            <v>6.3117849134579203</v>
          </cell>
          <cell r="F247">
            <v>6.2439426213999063</v>
          </cell>
          <cell r="G247">
            <v>4.6360709647981979</v>
          </cell>
          <cell r="H247">
            <v>3.3596075803927636</v>
          </cell>
          <cell r="I247">
            <v>2.0295968247155303</v>
          </cell>
          <cell r="J247">
            <v>0.30032287788350537</v>
          </cell>
          <cell r="K247"/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D248">
            <v>655.76999106031701</v>
          </cell>
          <cell r="E248">
            <v>597.36312979084505</v>
          </cell>
          <cell r="F248">
            <v>589.51413024064595</v>
          </cell>
          <cell r="G248">
            <v>435.952839636889</v>
          </cell>
          <cell r="H248">
            <v>314.65823228500699</v>
          </cell>
          <cell r="I248">
            <v>189.33389342584701</v>
          </cell>
          <cell r="J248">
            <v>27.794808239467901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D249">
            <v>8.8978289153367243</v>
          </cell>
          <cell r="E249">
            <v>8.1053341898350748</v>
          </cell>
          <cell r="F249">
            <v>7.9988348743642579</v>
          </cell>
          <cell r="G249">
            <v>5.9152352732278013</v>
          </cell>
          <cell r="H249">
            <v>4.2694468424017167</v>
          </cell>
          <cell r="I249">
            <v>2.5689809148690275</v>
          </cell>
          <cell r="J249">
            <v>0.37713444015560221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D250"/>
          <cell r="E250">
            <v>1.2433276134912101E-2</v>
          </cell>
          <cell r="F250">
            <v>4.9944001974286398E-5</v>
          </cell>
          <cell r="G250">
            <v>6.0248759045245498E-5</v>
          </cell>
          <cell r="H250">
            <v>0.117351614284103</v>
          </cell>
          <cell r="I250">
            <v>3.4494096123524999E-3</v>
          </cell>
          <cell r="J250">
            <v>4.0533756124502901E-5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D251">
            <v>0.37633543963083199</v>
          </cell>
          <cell r="E251">
            <v>0.38876232007934369</v>
          </cell>
          <cell r="F251">
            <v>0.38872224767158253</v>
          </cell>
          <cell r="G251">
            <v>0.38759475298430413</v>
          </cell>
          <cell r="H251">
            <v>0.22064779476044463</v>
          </cell>
          <cell r="I251">
            <v>0.12038331895991039</v>
          </cell>
          <cell r="J251">
            <v>2.2269186793516003E-2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D252"/>
          <cell r="E252">
            <v>6.0828419043779088E-6</v>
          </cell>
          <cell r="F252"/>
          <cell r="G252"/>
          <cell r="H252"/>
          <cell r="I252"/>
          <cell r="J252"/>
          <cell r="K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D253">
            <v>0.69257864422767035</v>
          </cell>
          <cell r="E253">
            <v>0.7501954358879207</v>
          </cell>
          <cell r="F253"/>
          <cell r="G253"/>
          <cell r="H253"/>
          <cell r="I253"/>
          <cell r="J253"/>
          <cell r="K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D254">
            <v>0.69257864422767035</v>
          </cell>
          <cell r="E254">
            <v>0.75020151872982566</v>
          </cell>
          <cell r="F254"/>
          <cell r="G254"/>
          <cell r="H254"/>
          <cell r="I254"/>
          <cell r="J254"/>
          <cell r="K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2.0497129073434501</v>
          </cell>
          <cell r="H255">
            <v>1.87274395592756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5.0174976329810193</v>
          </cell>
          <cell r="H256">
            <v>4.7182939530849808</v>
          </cell>
          <cell r="I256">
            <v>2.7313547071349831</v>
          </cell>
          <cell r="J256">
            <v>1.2262918919290087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D257">
            <v>9.8746634137811906</v>
          </cell>
          <cell r="E257">
            <v>11.329483429291807</v>
          </cell>
          <cell r="F257">
            <v>15.201203481653556</v>
          </cell>
          <cell r="G257">
            <v>19.381928988973012</v>
          </cell>
          <cell r="H257">
            <v>22.196343666303125</v>
          </cell>
          <cell r="I257">
            <v>23.080228622761307</v>
          </cell>
          <cell r="J257">
            <v>25.336471471063028</v>
          </cell>
          <cell r="K257"/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D258">
            <v>9.8746634137811906</v>
          </cell>
          <cell r="E258">
            <v>11.329483429291807</v>
          </cell>
          <cell r="F258">
            <v>15.201203481653556</v>
          </cell>
          <cell r="G258">
            <v>19.381928988973012</v>
          </cell>
          <cell r="H258">
            <v>22.196343666303125</v>
          </cell>
          <cell r="I258">
            <v>23.080228622761307</v>
          </cell>
          <cell r="J258">
            <v>25.336471471063028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D259"/>
          <cell r="E259"/>
          <cell r="F259">
            <v>375</v>
          </cell>
          <cell r="G259">
            <v>2.0497129073435398</v>
          </cell>
          <cell r="H259">
            <v>1.8727439559277399</v>
          </cell>
          <cell r="I259"/>
          <cell r="J259"/>
          <cell r="K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D260"/>
          <cell r="E260"/>
          <cell r="F260">
            <v>375</v>
          </cell>
          <cell r="G260">
            <v>5.0174976329839751</v>
          </cell>
          <cell r="H260">
            <v>4.718293953086004</v>
          </cell>
          <cell r="I260">
            <v>2.7313547071370294</v>
          </cell>
          <cell r="J260">
            <v>1.2262918919309982</v>
          </cell>
          <cell r="K260"/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D261">
            <v>56.994774574912441</v>
          </cell>
          <cell r="E261">
            <v>58.701895651568755</v>
          </cell>
          <cell r="F261">
            <v>45.223601960877346</v>
          </cell>
          <cell r="G261">
            <v>35.37620547105108</v>
          </cell>
          <cell r="H261">
            <v>29.847654198621782</v>
          </cell>
          <cell r="I261">
            <v>23.461103544331021</v>
          </cell>
          <cell r="J261">
            <v>14.528378806234945</v>
          </cell>
          <cell r="K261"/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D262">
            <v>56.994774574912441</v>
          </cell>
          <cell r="E262">
            <v>58.701895651568755</v>
          </cell>
          <cell r="F262">
            <v>45.223601960877346</v>
          </cell>
          <cell r="G262">
            <v>35.37620547105108</v>
          </cell>
          <cell r="H262">
            <v>29.847654198621782</v>
          </cell>
          <cell r="I262">
            <v>23.461103544331021</v>
          </cell>
          <cell r="J262">
            <v>14.528378806234945</v>
          </cell>
          <cell r="K262"/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D263">
            <v>5.9667284356893498E-7</v>
          </cell>
          <cell r="E263">
            <v>4.1854045570610796E-6</v>
          </cell>
          <cell r="F263">
            <v>2.9594821097632601E-6</v>
          </cell>
          <cell r="G263">
            <v>2.80999647534561E-6</v>
          </cell>
          <cell r="H263">
            <v>3.87066840645202E-6</v>
          </cell>
          <cell r="I263">
            <v>3.76898059666486E-6</v>
          </cell>
          <cell r="J263">
            <v>1.31535925012114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D264">
            <v>6.6055318650267036</v>
          </cell>
          <cell r="E264">
            <v>6.2047551485645247</v>
          </cell>
          <cell r="F264">
            <v>4.7801105510886508</v>
          </cell>
          <cell r="G264">
            <v>3.7392438472167853</v>
          </cell>
          <cell r="H264">
            <v>3.1548839582617525</v>
          </cell>
          <cell r="I264">
            <v>2.4798303317882491</v>
          </cell>
          <cell r="J264">
            <v>1.5356406367123649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D265">
            <v>1.898757850722193E-3</v>
          </cell>
          <cell r="E265">
            <v>7.1689289355485728E-4</v>
          </cell>
          <cell r="F265">
            <v>6.6106942105405688E-4</v>
          </cell>
          <cell r="G265">
            <v>4.4619881711564335E-4</v>
          </cell>
          <cell r="H265">
            <v>8.5109307155979035E-4</v>
          </cell>
          <cell r="I265">
            <v>1.5931008984248511E-3</v>
          </cell>
          <cell r="J265">
            <v>0.23349703726196097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D266">
            <v>0.22814851336656997</v>
          </cell>
          <cell r="E266">
            <v>0.22944241731872025</v>
          </cell>
          <cell r="F266">
            <v>1.3736820453199357E-3</v>
          </cell>
          <cell r="G266">
            <v>4.0580859036956315E-4</v>
          </cell>
          <cell r="H266">
            <v>7.4534670044430838E-4</v>
          </cell>
          <cell r="I266">
            <v>1.2527698348329354E-3</v>
          </cell>
          <cell r="J266">
            <v>5.8308259058073193E-2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D267">
            <v>0.2300472712172921</v>
          </cell>
          <cell r="E267">
            <v>0.23015931021227523</v>
          </cell>
          <cell r="F267">
            <v>2.0200174167348183E-3</v>
          </cell>
          <cell r="G267">
            <v>8.4037019448282503E-4</v>
          </cell>
          <cell r="H267">
            <v>1.576095839231739E-3</v>
          </cell>
          <cell r="I267">
            <v>2.8206816082634208E-3</v>
          </cell>
          <cell r="J267">
            <v>0.29180529632003416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D268"/>
          <cell r="E268"/>
          <cell r="F268">
            <v>375</v>
          </cell>
          <cell r="G268">
            <v>2.0497129073434501</v>
          </cell>
          <cell r="H268">
            <v>1.87274395592756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D269"/>
          <cell r="E269"/>
          <cell r="F269">
            <v>375</v>
          </cell>
          <cell r="G269">
            <v>5.0174976329810193</v>
          </cell>
          <cell r="H269">
            <v>4.7182939530849808</v>
          </cell>
          <cell r="I269">
            <v>2.7313547071349831</v>
          </cell>
          <cell r="J269">
            <v>1.2262918919290087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D270"/>
          <cell r="E270">
            <v>2.3723487965140855E-5</v>
          </cell>
          <cell r="F270">
            <v>1.7004381547608375E-3</v>
          </cell>
          <cell r="G270">
            <v>8.7449851685293711E-4</v>
          </cell>
          <cell r="H270">
            <v>1.7487448130061622E-3</v>
          </cell>
          <cell r="I270">
            <v>1.3732554799903447E-3</v>
          </cell>
          <cell r="J270">
            <v>8.5677698482406698E-4</v>
          </cell>
          <cell r="K270"/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D271"/>
          <cell r="E271">
            <v>2.4536868665880862E-5</v>
          </cell>
          <cell r="F271">
            <v>1.6771743254494236</v>
          </cell>
          <cell r="G271">
            <v>1.8571731051416074</v>
          </cell>
          <cell r="H271">
            <v>1.951401022379686</v>
          </cell>
          <cell r="I271">
            <v>2.0517508221316167</v>
          </cell>
          <cell r="J271">
            <v>2.2670481352493863</v>
          </cell>
          <cell r="K271"/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D272"/>
          <cell r="E272">
            <v>4.5633681491900233E-5</v>
          </cell>
          <cell r="F272">
            <v>1.6788747636041841</v>
          </cell>
          <cell r="G272">
            <v>1.858047603658461</v>
          </cell>
          <cell r="H272">
            <v>1.953149767192693</v>
          </cell>
          <cell r="I272">
            <v>2.0531240776116064</v>
          </cell>
          <cell r="J272">
            <v>2.2679049122342101</v>
          </cell>
          <cell r="K272"/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D273"/>
          <cell r="E273">
            <v>2.6382737115002502E-5</v>
          </cell>
          <cell r="F273">
            <v>0.15686109722292582</v>
          </cell>
          <cell r="G273">
            <v>0.2189350968656473</v>
          </cell>
          <cell r="H273">
            <v>0.23640602043973039</v>
          </cell>
          <cell r="I273">
            <v>0.34734240091152002</v>
          </cell>
          <cell r="J273">
            <v>0.35172768196172233</v>
          </cell>
          <cell r="K273"/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D274"/>
          <cell r="E274">
            <v>2.6356380734268246E-5</v>
          </cell>
          <cell r="F274">
            <v>0.15670439283009582</v>
          </cell>
          <cell r="G274">
            <v>0.21871638048516223</v>
          </cell>
          <cell r="H274">
            <v>0.23616985058914131</v>
          </cell>
          <cell r="I274">
            <v>0.34699540550601382</v>
          </cell>
          <cell r="J274">
            <v>0.35137630565606665</v>
          </cell>
          <cell r="K274"/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D275"/>
          <cell r="E275">
            <v>2.9880929079321098E-5</v>
          </cell>
          <cell r="F275">
            <v>0.15670552065121851</v>
          </cell>
          <cell r="G275">
            <v>0.21872655422045753</v>
          </cell>
          <cell r="H275">
            <v>0.23618491985580406</v>
          </cell>
          <cell r="I275">
            <v>0.34701220090335089</v>
          </cell>
          <cell r="J275">
            <v>0.35139140015051684</v>
          </cell>
          <cell r="K275"/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D276">
            <v>4.350267879252E-5</v>
          </cell>
          <cell r="E276">
            <v>4.2325528090690201E-5</v>
          </cell>
          <cell r="F276">
            <v>1.8456126078946401E-2</v>
          </cell>
          <cell r="G276">
            <v>1.0662114651066401E-2</v>
          </cell>
          <cell r="H276">
            <v>7.24907983075921E-3</v>
          </cell>
          <cell r="I276">
            <v>2.54619596542296E-2</v>
          </cell>
          <cell r="J276">
            <v>2.6794080761659698E-2</v>
          </cell>
          <cell r="K276"/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D277">
            <v>4.350267879252E-5</v>
          </cell>
          <cell r="E277">
            <v>5.6183849156300594E-5</v>
          </cell>
          <cell r="F277">
            <v>1.8494794486427265E-2</v>
          </cell>
          <cell r="G277">
            <v>2.9126555322901357E-2</v>
          </cell>
          <cell r="H277">
            <v>3.625234944108164E-2</v>
          </cell>
          <cell r="I277">
            <v>4.3100541017059957E-2</v>
          </cell>
          <cell r="J277">
            <v>4.8241151880936042E-2</v>
          </cell>
          <cell r="K277"/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D278">
            <v>5.610004555986424</v>
          </cell>
          <cell r="E278">
            <v>6.0767044152306786</v>
          </cell>
          <cell r="F278">
            <v>6.020905176280162</v>
          </cell>
          <cell r="G278">
            <v>9.8742396885031454</v>
          </cell>
          <cell r="H278">
            <v>11.070638272481794</v>
          </cell>
          <cell r="I278">
            <v>12.09499370716526</v>
          </cell>
          <cell r="J278">
            <v>10.294001452381703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D279">
            <v>6.0987806866304934</v>
          </cell>
          <cell r="E279">
            <v>6.6044059700941125</v>
          </cell>
          <cell r="F279">
            <v>6.5411824674962435</v>
          </cell>
          <cell r="G279">
            <v>10.720449690985845</v>
          </cell>
          <cell r="H279">
            <v>12.01149451132336</v>
          </cell>
          <cell r="I279">
            <v>13.114304662082748</v>
          </cell>
          <cell r="J279">
            <v>11.146919825060253</v>
          </cell>
          <cell r="K279"/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D280">
            <v>0.84970034805205596</v>
          </cell>
          <cell r="E280">
            <v>1.5116050326655199E-7</v>
          </cell>
          <cell r="F280">
            <v>1.78502897685428E-7</v>
          </cell>
          <cell r="G280">
            <v>2.1372545471695801E-7</v>
          </cell>
          <cell r="H280">
            <v>5.8350344965514602E-7</v>
          </cell>
          <cell r="I280">
            <v>3.14471997816377E-7</v>
          </cell>
          <cell r="J280">
            <v>2.41290905725611E-7</v>
          </cell>
          <cell r="K280"/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D281">
            <v>0.84970034805205596</v>
          </cell>
          <cell r="E281">
            <v>0.84970049921255897</v>
          </cell>
          <cell r="F281">
            <v>0.84970067771545699</v>
          </cell>
          <cell r="G281">
            <v>0.84970089144091199</v>
          </cell>
          <cell r="H281">
            <v>0.84970147494436099</v>
          </cell>
          <cell r="I281">
            <v>0.84970178941635899</v>
          </cell>
          <cell r="J281">
            <v>0.84970203070726502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D282">
            <v>0.31052751127219724</v>
          </cell>
          <cell r="E282">
            <v>0.39252223820813392</v>
          </cell>
          <cell r="F282">
            <v>1.0420197471929695</v>
          </cell>
          <cell r="G282">
            <v>1.0420347826974214</v>
          </cell>
          <cell r="H282">
            <v>1.0420360046577777</v>
          </cell>
          <cell r="I282">
            <v>1.0420347715166616</v>
          </cell>
          <cell r="J282">
            <v>1.055224376698594</v>
          </cell>
          <cell r="K282"/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D283">
            <v>0.43674755453192288</v>
          </cell>
          <cell r="E283">
            <v>0.55207065852058268</v>
          </cell>
          <cell r="F283">
            <v>1.4655692646877225</v>
          </cell>
          <cell r="G283">
            <v>1.4655904116700709</v>
          </cell>
          <cell r="H283">
            <v>1.4655921303203623</v>
          </cell>
          <cell r="I283">
            <v>1.4655903959446728</v>
          </cell>
          <cell r="J283">
            <v>1.4655894120813804</v>
          </cell>
          <cell r="K283"/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D284"/>
          <cell r="E284">
            <v>1.5976592288144801E-2</v>
          </cell>
          <cell r="F284">
            <v>2.68600453448447E-2</v>
          </cell>
          <cell r="G284">
            <v>1.05925217381086E-4</v>
          </cell>
          <cell r="H284">
            <v>2.30465082282423E-2</v>
          </cell>
          <cell r="I284">
            <v>3.52862107118425E-2</v>
          </cell>
          <cell r="J284">
            <v>2.7433200542913899E-2</v>
          </cell>
          <cell r="K284"/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D285">
            <v>1.7013611085743299E-2</v>
          </cell>
          <cell r="E285">
            <v>3.298371173059788E-2</v>
          </cell>
          <cell r="F285">
            <v>5.9828044647177621E-2</v>
          </cell>
          <cell r="G285">
            <v>5.9896299855054326E-2</v>
          </cell>
          <cell r="H285">
            <v>6.2494471210127314E-2</v>
          </cell>
          <cell r="I285">
            <v>6.2980526139171308E-2</v>
          </cell>
          <cell r="J285">
            <v>6.2692929469806841E-2</v>
          </cell>
          <cell r="K285"/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D286"/>
          <cell r="E286">
            <v>1.4573635243687901E-7</v>
          </cell>
          <cell r="F286">
            <v>3.0641644180829302E-7</v>
          </cell>
          <cell r="G286">
            <v>3.1298366153849599E-7</v>
          </cell>
          <cell r="H286">
            <v>1.4463019546725801E-7</v>
          </cell>
          <cell r="I286">
            <v>1.47604026976407E-7</v>
          </cell>
          <cell r="J286">
            <v>1.3184763476050999E-7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D287"/>
          <cell r="E287">
            <v>1.4573635243687901E-7</v>
          </cell>
          <cell r="F287">
            <v>2.6895614923439302E-7</v>
          </cell>
          <cell r="G287">
            <v>-1.8709974830937297E-7</v>
          </cell>
          <cell r="H287">
            <v>-8.6849659692788496E-7</v>
          </cell>
          <cell r="I287">
            <v>-4.7808164077504798E-7</v>
          </cell>
          <cell r="J287">
            <v>-4.0462178489882302E-7</v>
          </cell>
          <cell r="K287"/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D288"/>
          <cell r="E288"/>
          <cell r="F288"/>
          <cell r="G288">
            <v>6.4309345160324218E-4</v>
          </cell>
          <cell r="H288">
            <v>1.0689034007380525E-3</v>
          </cell>
          <cell r="I288">
            <v>1.9392226708584189E-3</v>
          </cell>
          <cell r="J288"/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D289"/>
          <cell r="E289"/>
          <cell r="F289"/>
          <cell r="G289">
            <v>4.7557490860211226E-4</v>
          </cell>
          <cell r="H289">
            <v>1.7725155786122077E-3</v>
          </cell>
          <cell r="I289">
            <v>0.28204961548348473</v>
          </cell>
          <cell r="J289"/>
          <cell r="K289"/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D290"/>
          <cell r="E290"/>
          <cell r="F290"/>
          <cell r="G290">
            <v>1.1136511183378304E-3</v>
          </cell>
          <cell r="H290">
            <v>2.8259591971298574E-3</v>
          </cell>
          <cell r="I290">
            <v>0.2839802310113112</v>
          </cell>
          <cell r="J290"/>
          <cell r="K290"/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D291">
            <v>0.6856528577853942</v>
          </cell>
          <cell r="E291">
            <v>0.74269348152904147</v>
          </cell>
          <cell r="F291"/>
          <cell r="G291"/>
          <cell r="H291"/>
          <cell r="I291"/>
          <cell r="J291"/>
          <cell r="K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D292">
            <v>0.6856528577853942</v>
          </cell>
          <cell r="E292">
            <v>0.74269348152904147</v>
          </cell>
          <cell r="F292"/>
          <cell r="G292"/>
          <cell r="H292"/>
          <cell r="I292"/>
          <cell r="J292"/>
          <cell r="K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D293">
            <v>0.69257864422767035</v>
          </cell>
          <cell r="E293">
            <v>0.7501954358879207</v>
          </cell>
          <cell r="F293"/>
          <cell r="G293"/>
          <cell r="H293"/>
          <cell r="I293"/>
          <cell r="J293"/>
          <cell r="K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D294">
            <v>4.8963624013978499E-8</v>
          </cell>
          <cell r="E294">
            <v>3.4956274343567802E-2</v>
          </cell>
          <cell r="F294">
            <v>3.0732357570057E-3</v>
          </cell>
          <cell r="G294">
            <v>2.49876927271533E-3</v>
          </cell>
          <cell r="H294">
            <v>3.73231990377113E-3</v>
          </cell>
          <cell r="I294">
            <v>2.0090412551797398E-3</v>
          </cell>
          <cell r="J294">
            <v>5.3005955666403602E-5</v>
          </cell>
          <cell r="K294"/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D295">
            <v>7.596931792215092E-2</v>
          </cell>
          <cell r="E295">
            <v>5.7402432789902598E-2</v>
          </cell>
          <cell r="F295">
            <v>5.3369292486014075E-3</v>
          </cell>
          <cell r="G295">
            <v>4.6033862407637155E-3</v>
          </cell>
          <cell r="H295">
            <v>5.5082934495231037E-3</v>
          </cell>
          <cell r="I295">
            <v>3.1187422220645801E-3</v>
          </cell>
          <cell r="J295">
            <v>1.2561394373102009E-4</v>
          </cell>
          <cell r="K295"/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D296">
            <v>2089.34680048464</v>
          </cell>
          <cell r="E296">
            <v>2111.0131698740802</v>
          </cell>
          <cell r="F296">
            <v>2102.26947106126</v>
          </cell>
          <cell r="G296">
            <v>2093.6576319396099</v>
          </cell>
          <cell r="H296">
            <v>2085.53574796267</v>
          </cell>
          <cell r="I296">
            <v>2077.4140630017</v>
          </cell>
          <cell r="J296">
            <v>2063.7564520165702</v>
          </cell>
          <cell r="K296"/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D297">
            <v>2089.34680048464</v>
          </cell>
          <cell r="E297">
            <v>2111.0131698740802</v>
          </cell>
          <cell r="F297">
            <v>2102.26947106126</v>
          </cell>
          <cell r="G297">
            <v>2093.6576319396122</v>
          </cell>
          <cell r="H297">
            <v>2085.5357479626728</v>
          </cell>
          <cell r="I297">
            <v>2077.4140630017037</v>
          </cell>
          <cell r="J297">
            <v>2063.7564520165702</v>
          </cell>
          <cell r="K297"/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D298"/>
          <cell r="E298">
            <v>8.1143228995491201E-2</v>
          </cell>
          <cell r="F298"/>
          <cell r="G298">
            <v>1.3065939159118898E-4</v>
          </cell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D299"/>
          <cell r="E299">
            <v>8.1143228995491201E-2</v>
          </cell>
          <cell r="F299"/>
          <cell r="G299">
            <v>1.3065939159118898E-4</v>
          </cell>
          <cell r="H299"/>
          <cell r="I299"/>
          <cell r="J299"/>
          <cell r="K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D300"/>
          <cell r="E300">
            <v>0.1126989291604046</v>
          </cell>
          <cell r="F300"/>
          <cell r="G300">
            <v>1.5324455610450839E-4</v>
          </cell>
          <cell r="H300"/>
          <cell r="I300"/>
          <cell r="J300"/>
          <cell r="K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D301"/>
          <cell r="E301">
            <v>6.3413562767282404E-3</v>
          </cell>
          <cell r="F301">
            <v>8.21301401235588E-7</v>
          </cell>
          <cell r="G301"/>
          <cell r="H301">
            <v>6.2179014697512896E-7</v>
          </cell>
          <cell r="I301"/>
          <cell r="J301"/>
          <cell r="K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D302"/>
          <cell r="E302">
            <v>6.3413562767282404E-3</v>
          </cell>
          <cell r="F302">
            <v>2.3388048595329699E-3</v>
          </cell>
          <cell r="G302">
            <v>2.3088560772889701E-3</v>
          </cell>
          <cell r="H302">
            <v>5.6272533759819769E-5</v>
          </cell>
          <cell r="I302">
            <v>2.6269121700683508E-7</v>
          </cell>
          <cell r="J302">
            <v>1.3141280231731999E-7</v>
          </cell>
          <cell r="K302"/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D303"/>
          <cell r="E303">
            <v>0.40468474157116097</v>
          </cell>
          <cell r="F303">
            <v>1.3780073325804698</v>
          </cell>
          <cell r="G303">
            <v>2.6016040974122299</v>
          </cell>
          <cell r="H303">
            <v>3.2642158740451701</v>
          </cell>
          <cell r="I303">
            <v>3.765118064612321</v>
          </cell>
          <cell r="J303">
            <v>4.2615134400910248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D304"/>
          <cell r="E304">
            <v>5.8005783695140505E-6</v>
          </cell>
          <cell r="F304">
            <v>9.8159142996882286E-5</v>
          </cell>
          <cell r="G304">
            <v>5.118260197647267E-5</v>
          </cell>
          <cell r="H304">
            <v>2.920612108757686E-4</v>
          </cell>
          <cell r="I304"/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D305"/>
          <cell r="E305">
            <v>4.3334965552940005E-4</v>
          </cell>
          <cell r="F305">
            <v>2.9881133947176682E-2</v>
          </cell>
          <cell r="G305">
            <v>3.9735682690794943E-2</v>
          </cell>
          <cell r="H305">
            <v>3.8055353368710382E-2</v>
          </cell>
          <cell r="I305">
            <v>2.7807135976841601E-2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D306"/>
          <cell r="E306">
            <v>9.8786688577840806E-6</v>
          </cell>
          <cell r="F306">
            <v>0.18849461996978498</v>
          </cell>
          <cell r="G306">
            <v>0.49945858439111751</v>
          </cell>
          <cell r="H306">
            <v>0.70461949652616163</v>
          </cell>
          <cell r="I306">
            <v>0.84520407802288788</v>
          </cell>
          <cell r="J306">
            <v>0.9418070179652599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D307"/>
          <cell r="E307"/>
          <cell r="F307">
            <v>2.0757531853137401E-3</v>
          </cell>
          <cell r="G307">
            <v>2.0522354357847519E-3</v>
          </cell>
          <cell r="H307">
            <v>2.427383153422601E-3</v>
          </cell>
          <cell r="I307">
            <v>4.759065839678351E-3</v>
          </cell>
          <cell r="J307">
            <v>4.692543338728628E-3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D308"/>
          <cell r="E308">
            <v>2.632148681721605E-2</v>
          </cell>
          <cell r="F308">
            <v>5.0975740973242573E-4</v>
          </cell>
          <cell r="G308">
            <v>5.6215473780090429E-4</v>
          </cell>
          <cell r="H308">
            <v>2.7145362652785218E-5</v>
          </cell>
          <cell r="I308">
            <v>5.2741447817414809E-4</v>
          </cell>
          <cell r="J308">
            <v>1.5082955440540301E-6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D309"/>
          <cell r="E309">
            <v>1.2595792528828306E-5</v>
          </cell>
          <cell r="F309">
            <v>8.0440249039830989E-5</v>
          </cell>
          <cell r="G309">
            <v>5.8715789395788377E-5</v>
          </cell>
          <cell r="H309"/>
          <cell r="I309">
            <v>3.4849637206147344E-6</v>
          </cell>
          <cell r="J309">
            <v>1.7615262810280257E-4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D310"/>
          <cell r="E310">
            <v>2.2003668466953982E-4</v>
          </cell>
          <cell r="F310">
            <v>5.0318710854444869E-5</v>
          </cell>
          <cell r="G310">
            <v>4.6977304357391131E-5</v>
          </cell>
          <cell r="H310"/>
          <cell r="I310">
            <v>1.1768150589146877E-4</v>
          </cell>
          <cell r="J310">
            <v>4.5514543666673468E-4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D311"/>
          <cell r="E311">
            <v>5.3813752373779278E-2</v>
          </cell>
          <cell r="F311">
            <v>3.2236024800023251E-3</v>
          </cell>
          <cell r="G311">
            <v>0.21206364327492341</v>
          </cell>
          <cell r="H311">
            <v>0.2423246850655196</v>
          </cell>
          <cell r="I311">
            <v>0.26115177550736346</v>
          </cell>
          <cell r="J311">
            <v>0.28097780142746065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D312"/>
          <cell r="E312">
            <v>6.8627786184042805E-2</v>
          </cell>
          <cell r="F312">
            <v>7.0675602693188134E-3</v>
          </cell>
          <cell r="G312">
            <v>1.1777784565810514E-2</v>
          </cell>
          <cell r="H312">
            <v>1.1796735356462095E-2</v>
          </cell>
          <cell r="I312">
            <v>1.1715176639541807E-2</v>
          </cell>
          <cell r="J312">
            <v>7.2206160371251406E-3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D313"/>
          <cell r="E313">
            <v>0.13953020527747262</v>
          </cell>
          <cell r="F313">
            <v>1.1199196180404953</v>
          </cell>
          <cell r="G313">
            <v>1.7960868371185552</v>
          </cell>
          <cell r="H313">
            <v>2.2190906600047917</v>
          </cell>
          <cell r="I313">
            <v>2.5668438836989056</v>
          </cell>
          <cell r="J313">
            <v>2.9923355388669193</v>
          </cell>
          <cell r="K313"/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D314"/>
          <cell r="E314">
            <v>1.3062228841269155E-2</v>
          </cell>
          <cell r="F314">
            <v>5.0618079060421822E-4</v>
          </cell>
          <cell r="G314">
            <v>8.9019034293870154E-4</v>
          </cell>
          <cell r="H314">
            <v>1.267067935983195E-3</v>
          </cell>
          <cell r="I314">
            <v>1.9529719255054223E-3</v>
          </cell>
          <cell r="J314">
            <v>2.5340369699043924E-3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D315"/>
          <cell r="E315">
            <v>1.0846515870483406E-3</v>
          </cell>
          <cell r="F315">
            <v>7.7940155802216237E-5</v>
          </cell>
          <cell r="G315">
            <v>1.8450999506775253E-4</v>
          </cell>
          <cell r="H315">
            <v>1.7684388897403145E-4</v>
          </cell>
          <cell r="I315"/>
          <cell r="J315"/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D316"/>
          <cell r="E316">
            <v>0.10167616658769614</v>
          </cell>
          <cell r="F316">
            <v>2.6246153944306266E-2</v>
          </cell>
          <cell r="G316">
            <v>3.8819245302690132E-2</v>
          </cell>
          <cell r="H316">
            <v>4.433247439542972E-2</v>
          </cell>
          <cell r="I316">
            <v>4.5184112219971199E-2</v>
          </cell>
          <cell r="J316">
            <v>3.1427695712859492E-2</v>
          </cell>
          <cell r="K316"/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D317">
            <v>44.576907030209838</v>
          </cell>
          <cell r="E317">
            <v>44.861181764826235</v>
          </cell>
          <cell r="F317">
            <v>49.523392773614603</v>
          </cell>
          <cell r="G317">
            <v>39.062355568425083</v>
          </cell>
          <cell r="H317">
            <v>30.418192880243076</v>
          </cell>
          <cell r="I317">
            <v>21.139946786908549</v>
          </cell>
          <cell r="J317">
            <v>3.3560540092096773</v>
          </cell>
          <cell r="K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D318">
            <v>44.576907030209838</v>
          </cell>
          <cell r="E318">
            <v>44.861181764826235</v>
          </cell>
          <cell r="F318">
            <v>49.523392773614603</v>
          </cell>
          <cell r="G318">
            <v>39.062355568425083</v>
          </cell>
          <cell r="H318">
            <v>30.418192880243076</v>
          </cell>
          <cell r="I318">
            <v>21.139946786908549</v>
          </cell>
          <cell r="J318">
            <v>3.3560540092096773</v>
          </cell>
          <cell r="K318"/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D319">
            <v>0.19321579195588601</v>
          </cell>
          <cell r="E319">
            <v>2.03114622688002E-5</v>
          </cell>
          <cell r="F319">
            <v>0.47631638957384898</v>
          </cell>
          <cell r="G319">
            <v>4.0337375659747196E-6</v>
          </cell>
          <cell r="H319">
            <v>6.31643341649812E-6</v>
          </cell>
          <cell r="I319">
            <v>2.8652992744064098E-6</v>
          </cell>
          <cell r="J319">
            <v>6.1325108318478497E-2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D320">
            <v>4.7117524760863558</v>
          </cell>
          <cell r="E320">
            <v>4.7423896568282125</v>
          </cell>
          <cell r="F320">
            <v>5.2345893308794302</v>
          </cell>
          <cell r="G320">
            <v>4.1288753705767105</v>
          </cell>
          <cell r="H320">
            <v>3.2152098074445856</v>
          </cell>
          <cell r="I320">
            <v>2.2345223868079409</v>
          </cell>
          <cell r="J320">
            <v>0.42692947256033004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D321"/>
          <cell r="E321">
            <v>2.6178087879759175</v>
          </cell>
          <cell r="F321">
            <v>0.75157806939762795</v>
          </cell>
          <cell r="G321">
            <v>1.5260238437872289</v>
          </cell>
          <cell r="H321">
            <v>2.2263641582066782</v>
          </cell>
          <cell r="I321">
            <v>2.617788528934299</v>
          </cell>
          <cell r="J321">
            <v>2.6177974127626582</v>
          </cell>
          <cell r="K321"/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D322"/>
          <cell r="E322">
            <v>2.6178087879759175</v>
          </cell>
          <cell r="F322">
            <v>0.75157806939762795</v>
          </cell>
          <cell r="G322">
            <v>1.5260238437872289</v>
          </cell>
          <cell r="H322">
            <v>2.2263641582066782</v>
          </cell>
          <cell r="I322">
            <v>2.617788528934299</v>
          </cell>
          <cell r="J322">
            <v>2.6177974127626582</v>
          </cell>
          <cell r="K322"/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D323"/>
          <cell r="E323">
            <v>0.20230488232105601</v>
          </cell>
          <cell r="F323">
            <v>3.76419344416174E-7</v>
          </cell>
          <cell r="G323">
            <v>9.6616693806095999E-7</v>
          </cell>
          <cell r="H323">
            <v>8.2212796559883296E-7</v>
          </cell>
          <cell r="I323">
            <v>7.2112224845541804E-3</v>
          </cell>
          <cell r="J323">
            <v>9.3700161457784897E-2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D324"/>
          <cell r="E324">
            <v>0.20230488232105601</v>
          </cell>
          <cell r="F324">
            <v>0.20230473771839286</v>
          </cell>
          <cell r="G324">
            <v>0.20230522618234889</v>
          </cell>
          <cell r="H324">
            <v>0.20230549597853711</v>
          </cell>
          <cell r="I324">
            <v>0.20951723523111221</v>
          </cell>
          <cell r="J324">
            <v>0.21786547880349852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D325">
            <v>0.48485477085072187</v>
          </cell>
          <cell r="E325">
            <v>0.49279997910498485</v>
          </cell>
          <cell r="F325">
            <v>0.46727524437628892</v>
          </cell>
          <cell r="G325">
            <v>0.5534050111635298</v>
          </cell>
          <cell r="H325">
            <v>0.67856361902604534</v>
          </cell>
          <cell r="I325">
            <v>0.8602670242216558</v>
          </cell>
          <cell r="J325">
            <v>1.0191146963645614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D326">
            <v>0.48533962562157262</v>
          </cell>
          <cell r="E326">
            <v>0.49329277908409008</v>
          </cell>
          <cell r="F326">
            <v>0.46774251962066499</v>
          </cell>
          <cell r="G326">
            <v>0.55395841617469299</v>
          </cell>
          <cell r="H326">
            <v>0.67924218264507163</v>
          </cell>
          <cell r="I326">
            <v>0.86112729124587672</v>
          </cell>
          <cell r="J326">
            <v>1.020133811060927</v>
          </cell>
          <cell r="K326"/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D327">
            <v>0.48483580585587543</v>
          </cell>
          <cell r="E327">
            <v>0.49281688985730127</v>
          </cell>
          <cell r="F327">
            <v>0.4672975712798782</v>
          </cell>
          <cell r="G327">
            <v>0.55340788112531969</v>
          </cell>
          <cell r="H327">
            <v>0.67857267506534824</v>
          </cell>
          <cell r="I327">
            <v>0.86027457627059156</v>
          </cell>
          <cell r="J327">
            <v>1.0191246636459537</v>
          </cell>
          <cell r="K327"/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D328">
            <v>7.8534421667018295E-2</v>
          </cell>
          <cell r="E328">
            <v>7.8150364162749898E-5</v>
          </cell>
          <cell r="F328">
            <v>1.26522891522305E-6</v>
          </cell>
          <cell r="G328">
            <v>1.01792223775481E-2</v>
          </cell>
          <cell r="H328">
            <v>7.7097363572217303E-2</v>
          </cell>
          <cell r="I328">
            <v>5.1726817089535297E-2</v>
          </cell>
          <cell r="J328">
            <v>9.1847982307905904E-2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D329">
            <v>7.8535484219981896E-2</v>
          </cell>
          <cell r="E329">
            <v>7.8613634584144595E-2</v>
          </cell>
          <cell r="F329">
            <v>7.8614899813059802E-2</v>
          </cell>
          <cell r="G329">
            <v>8.8794122190608005E-2</v>
          </cell>
          <cell r="H329">
            <v>0.10768485277996896</v>
          </cell>
          <cell r="I329">
            <v>0.13577667428833801</v>
          </cell>
          <cell r="J329">
            <v>0.16199963997689401</v>
          </cell>
          <cell r="K329"/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D330"/>
          <cell r="E330">
            <v>4.0772831138775727</v>
          </cell>
          <cell r="F330">
            <v>0.95656023874334872</v>
          </cell>
          <cell r="G330">
            <v>2.4012849486281671</v>
          </cell>
          <cell r="H330">
            <v>3.5416524750411376</v>
          </cell>
          <cell r="I330">
            <v>4.0772633504798597</v>
          </cell>
          <cell r="J330">
            <v>4.077272559070086</v>
          </cell>
          <cell r="K330"/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D331"/>
          <cell r="E331">
            <v>4.0772831138775727</v>
          </cell>
          <cell r="F331">
            <v>0.95656023874334872</v>
          </cell>
          <cell r="G331">
            <v>2.4012849486281671</v>
          </cell>
          <cell r="H331">
            <v>3.5416524750411376</v>
          </cell>
          <cell r="I331">
            <v>4.0772633504798597</v>
          </cell>
          <cell r="J331">
            <v>4.077272559070086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D332"/>
          <cell r="E332">
            <v>0.31507784434429098</v>
          </cell>
          <cell r="F332">
            <v>3.6865974747219302E-7</v>
          </cell>
          <cell r="G332">
            <v>1.28998648899078E-6</v>
          </cell>
          <cell r="H332">
            <v>7.3827109785723997E-7</v>
          </cell>
          <cell r="I332">
            <v>6.4932994844270403E-3</v>
          </cell>
          <cell r="J332">
            <v>0.13941774924557199</v>
          </cell>
          <cell r="K332"/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D333"/>
          <cell r="E333">
            <v>0.31507784434429098</v>
          </cell>
          <cell r="F333">
            <v>0.31507768830648891</v>
          </cell>
          <cell r="G333">
            <v>0.31507850667144188</v>
          </cell>
          <cell r="H333">
            <v>0.31507871217960098</v>
          </cell>
          <cell r="I333">
            <v>0.32157255581305194</v>
          </cell>
          <cell r="J333">
            <v>0.32805958091172199</v>
          </cell>
          <cell r="K333"/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D334"/>
          <cell r="E334">
            <v>2.4114140143805134</v>
          </cell>
          <cell r="F334">
            <v>0.64489112650989633</v>
          </cell>
          <cell r="G334">
            <v>1.3560080197435771</v>
          </cell>
          <cell r="H334">
            <v>2.0574733820393751</v>
          </cell>
          <cell r="I334">
            <v>3.2747166929926665</v>
          </cell>
          <cell r="J334">
            <v>3.2762336334330464</v>
          </cell>
          <cell r="K334"/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D335"/>
          <cell r="E335">
            <v>2.4114140143805134</v>
          </cell>
          <cell r="F335">
            <v>0.64489112650989633</v>
          </cell>
          <cell r="G335">
            <v>1.3560080197435771</v>
          </cell>
          <cell r="H335">
            <v>2.0574733820393751</v>
          </cell>
          <cell r="I335">
            <v>3.2747166929926665</v>
          </cell>
          <cell r="J335">
            <v>3.2762336334330464</v>
          </cell>
          <cell r="K335"/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D336"/>
          <cell r="E336">
            <v>0.18634682348069201</v>
          </cell>
          <cell r="F336">
            <v>2.82692353013886E-7</v>
          </cell>
          <cell r="G336">
            <v>8.0753807256497599E-7</v>
          </cell>
          <cell r="H336">
            <v>5.5189070292461397E-7</v>
          </cell>
          <cell r="I336">
            <v>6.7010124344085695E-2</v>
          </cell>
          <cell r="J336">
            <v>7.84453970170466E-2</v>
          </cell>
          <cell r="K336"/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D337"/>
          <cell r="E337">
            <v>0.18634682348069201</v>
          </cell>
          <cell r="F337">
            <v>0.18634661161117669</v>
          </cell>
          <cell r="G337">
            <v>0.18634702848536402</v>
          </cell>
          <cell r="H337">
            <v>0.18634716961428005</v>
          </cell>
          <cell r="I337">
            <v>0.25335793159987885</v>
          </cell>
          <cell r="J337">
            <v>0.25318400916832923</v>
          </cell>
          <cell r="K337"/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D338"/>
          <cell r="E338">
            <v>4.2978061800079117E-3</v>
          </cell>
          <cell r="F338">
            <v>2.1529631879029119E-3</v>
          </cell>
          <cell r="G338">
            <v>2.231930211375644E-3</v>
          </cell>
          <cell r="H338">
            <v>2.5151683952358457E-3</v>
          </cell>
          <cell r="I338">
            <v>5.4722717735642606E-2</v>
          </cell>
          <cell r="J338">
            <v>3.3209267478751801</v>
          </cell>
          <cell r="K338"/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D339"/>
          <cell r="E339">
            <v>4.2978061800079117E-3</v>
          </cell>
          <cell r="F339">
            <v>2.1529631879029119E-3</v>
          </cell>
          <cell r="G339">
            <v>2.231930211375644E-3</v>
          </cell>
          <cell r="H339">
            <v>2.5151683952358457E-3</v>
          </cell>
          <cell r="I339">
            <v>5.4722717735642606E-2</v>
          </cell>
          <cell r="J339">
            <v>3.3209267478751801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D340"/>
          <cell r="E340">
            <v>3.45404237693049E-4</v>
          </cell>
          <cell r="F340">
            <v>2.8806797098409199E-7</v>
          </cell>
          <cell r="G340">
            <v>9.7345804603931603E-7</v>
          </cell>
          <cell r="H340">
            <v>4.0668775593803701E-7</v>
          </cell>
          <cell r="I340">
            <v>3.91703417909428E-3</v>
          </cell>
          <cell r="J340">
            <v>0.25250839111929002</v>
          </cell>
          <cell r="K340"/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D341"/>
          <cell r="E341">
            <v>3.45404237693049E-4</v>
          </cell>
          <cell r="F341">
            <v>3.4538040871970191E-4</v>
          </cell>
          <cell r="G341">
            <v>3.4604042829203095E-4</v>
          </cell>
          <cell r="H341">
            <v>3.4604246066150354E-4</v>
          </cell>
          <cell r="I341">
            <v>4.263552628236889E-3</v>
          </cell>
          <cell r="J341">
            <v>0.25662640487570115</v>
          </cell>
          <cell r="K341"/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D342">
            <v>1127.96344672224</v>
          </cell>
          <cell r="E342">
            <v>1148.58783857451</v>
          </cell>
          <cell r="F342">
            <v>1245.3174551419499</v>
          </cell>
          <cell r="G342">
            <v>804.19645285042304</v>
          </cell>
          <cell r="H342">
            <v>433.07289322233402</v>
          </cell>
          <cell r="I342">
            <v>113.88846574796599</v>
          </cell>
          <cell r="J342">
            <v>39.769263567427998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D343">
            <v>18.999384297626364</v>
          </cell>
          <cell r="E343">
            <v>19.346780968896816</v>
          </cell>
          <cell r="F343">
            <v>20.81801006870489</v>
          </cell>
          <cell r="G343">
            <v>13.443776752288894</v>
          </cell>
          <cell r="H343">
            <v>7.2396928304181287</v>
          </cell>
          <cell r="I343">
            <v>1.9038769727838323</v>
          </cell>
          <cell r="J343">
            <v>0.66482399805222891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D344">
            <v>19.999351892238288</v>
          </cell>
          <cell r="E344">
            <v>20.365032598838745</v>
          </cell>
          <cell r="F344">
            <v>22.080096722374943</v>
          </cell>
          <cell r="G344">
            <v>14.258802355503953</v>
          </cell>
          <cell r="H344">
            <v>7.6785973975591153</v>
          </cell>
          <cell r="I344">
            <v>2.0192990380845091</v>
          </cell>
          <cell r="J344">
            <v>0.70512878665652523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D345"/>
          <cell r="E345">
            <v>2.0723528512712801E-2</v>
          </cell>
          <cell r="F345">
            <v>0.10254063403083399</v>
          </cell>
          <cell r="G345">
            <v>1.2809611657883E-6</v>
          </cell>
          <cell r="H345">
            <v>5.2149872849074401E-2</v>
          </cell>
          <cell r="I345">
            <v>8.0621185692726999E-2</v>
          </cell>
          <cell r="J345">
            <v>4.24801007141351E-7</v>
          </cell>
          <cell r="K345"/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D346">
            <v>1.34683498965227</v>
          </cell>
          <cell r="E346">
            <v>1.367558130218641</v>
          </cell>
          <cell r="F346">
            <v>1.4700983584245928</v>
          </cell>
          <cell r="G346">
            <v>1.4698701384003601</v>
          </cell>
          <cell r="H346">
            <v>0.51451755816838673</v>
          </cell>
          <cell r="I346">
            <v>0.15093236926278139</v>
          </cell>
          <cell r="J346">
            <v>6.9411811426848991E-2</v>
          </cell>
          <cell r="K346"/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D347"/>
          <cell r="F347">
            <v>375</v>
          </cell>
          <cell r="G347">
            <v>2.0497129073435398</v>
          </cell>
          <cell r="H347">
            <v>1.8727439559277399</v>
          </cell>
          <cell r="I347"/>
          <cell r="J347"/>
          <cell r="K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D348"/>
          <cell r="F348">
            <v>375</v>
          </cell>
          <cell r="G348">
            <v>5.0174976329839751</v>
          </cell>
          <cell r="H348">
            <v>4.718293953086004</v>
          </cell>
          <cell r="I348">
            <v>2.7313547071370294</v>
          </cell>
          <cell r="J348">
            <v>1.2262918919309982</v>
          </cell>
          <cell r="K348"/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D349"/>
          <cell r="E349">
            <v>3.1876198520403762E-3</v>
          </cell>
          <cell r="F349">
            <v>1.6210363574721248E-3</v>
          </cell>
          <cell r="G349">
            <v>1.6687457253217255E-3</v>
          </cell>
          <cell r="H349">
            <v>1.8383464813931261E-3</v>
          </cell>
          <cell r="I349">
            <v>3.0207057967739171E-3</v>
          </cell>
          <cell r="J349">
            <v>1.8239610142218334</v>
          </cell>
          <cell r="K349"/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D350"/>
          <cell r="E350">
            <v>3.1876198520403762E-3</v>
          </cell>
          <cell r="F350">
            <v>1.6210363574721248E-3</v>
          </cell>
          <cell r="G350">
            <v>1.6687457253217255E-3</v>
          </cell>
          <cell r="H350">
            <v>1.8383464813931261E-3</v>
          </cell>
          <cell r="I350">
            <v>3.0207057967739171E-3</v>
          </cell>
          <cell r="J350">
            <v>1.8239610142218334</v>
          </cell>
          <cell r="K350"/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D351"/>
          <cell r="E351">
            <v>2.5894886381956102E-4</v>
          </cell>
          <cell r="F351">
            <v>2.8442683743446303E-7</v>
          </cell>
          <cell r="G351">
            <v>8.7794208310644501E-7</v>
          </cell>
          <cell r="H351">
            <v>3.52498097851503E-7</v>
          </cell>
          <cell r="I351">
            <v>1.0922774762865499E-6</v>
          </cell>
          <cell r="J351">
            <v>0.14080282832890501</v>
          </cell>
          <cell r="K351"/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D352"/>
          <cell r="E352">
            <v>2.5894886381956102E-4</v>
          </cell>
          <cell r="F352">
            <v>2.5895972545191475E-4</v>
          </cell>
          <cell r="G352">
            <v>2.5955272088229155E-4</v>
          </cell>
          <cell r="H352">
            <v>2.5951665421405814E-4</v>
          </cell>
          <cell r="I352">
            <v>2.610368240146841E-4</v>
          </cell>
          <cell r="J352">
            <v>0.14095477738856585</v>
          </cell>
          <cell r="K352"/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D353"/>
          <cell r="F353">
            <v>375</v>
          </cell>
          <cell r="G353">
            <v>2.0497129073434501</v>
          </cell>
          <cell r="H353">
            <v>1.87274395592756</v>
          </cell>
          <cell r="I353"/>
          <cell r="J353"/>
          <cell r="K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D354"/>
          <cell r="F354">
            <v>375</v>
          </cell>
          <cell r="G354">
            <v>5.0174976329810193</v>
          </cell>
          <cell r="H354">
            <v>4.7182939530849808</v>
          </cell>
          <cell r="I354">
            <v>2.7313547071349831</v>
          </cell>
          <cell r="J354">
            <v>1.2262918919290087</v>
          </cell>
          <cell r="K354"/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D355">
            <v>1.1328881380444114</v>
          </cell>
          <cell r="E355">
            <v>1.4194511150320988</v>
          </cell>
          <cell r="F355">
            <v>3.1987231692447939</v>
          </cell>
          <cell r="G355">
            <v>3.9448020970630147</v>
          </cell>
          <cell r="H355">
            <v>4.0519737030861709</v>
          </cell>
          <cell r="I355">
            <v>5.0098787702592817</v>
          </cell>
          <cell r="J355">
            <v>4.0230274906051262</v>
          </cell>
          <cell r="K355"/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D356">
            <v>1.1340210261824561</v>
          </cell>
          <cell r="E356">
            <v>1.4208705661471308</v>
          </cell>
          <cell r="F356">
            <v>3.2019218924140396</v>
          </cell>
          <cell r="G356">
            <v>3.9487468991600752</v>
          </cell>
          <cell r="H356">
            <v>4.0560256767892584</v>
          </cell>
          <cell r="I356">
            <v>5.0148886490295395</v>
          </cell>
          <cell r="J356">
            <v>4.0270505180957299</v>
          </cell>
          <cell r="K356"/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D357">
            <v>1.1329058803419094</v>
          </cell>
          <cell r="E357">
            <v>1.4194595575301423</v>
          </cell>
          <cell r="F357">
            <v>3.1987267993280901</v>
          </cell>
          <cell r="G357">
            <v>3.9448133319765155</v>
          </cell>
          <cell r="H357">
            <v>4.0519854126886017</v>
          </cell>
          <cell r="I357">
            <v>5.0098911675637234</v>
          </cell>
          <cell r="J357">
            <v>4.0230425651402548</v>
          </cell>
          <cell r="K357"/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D358">
            <v>0.110666130924756</v>
          </cell>
          <cell r="E358">
            <v>3.5910415669895099E-2</v>
          </cell>
          <cell r="F358">
            <v>0.14976496761785699</v>
          </cell>
          <cell r="G358">
            <v>9.5544421155541903E-2</v>
          </cell>
          <cell r="H358">
            <v>0.124510758602332</v>
          </cell>
          <cell r="I358">
            <v>0.22880680314452001</v>
          </cell>
          <cell r="J358">
            <v>0.17614646985142501</v>
          </cell>
          <cell r="K358"/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D359">
            <v>0.110666130924756</v>
          </cell>
          <cell r="E359">
            <v>0.14650001951684546</v>
          </cell>
          <cell r="F359">
            <v>0.29623949598045335</v>
          </cell>
          <cell r="G359">
            <v>0.39175225098260591</v>
          </cell>
          <cell r="H359">
            <v>0.41670462938435876</v>
          </cell>
          <cell r="I359">
            <v>0.44499244008644379</v>
          </cell>
          <cell r="J359">
            <v>0.39479723558320479</v>
          </cell>
          <cell r="K359"/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D360"/>
          <cell r="E360">
            <v>1.8158622652573529E-3</v>
          </cell>
          <cell r="F360">
            <v>9.5431567172793853E-4</v>
          </cell>
          <cell r="G360">
            <v>9.7478256154538072E-4</v>
          </cell>
          <cell r="H360">
            <v>1.0415120461722402E-3</v>
          </cell>
          <cell r="I360">
            <v>1.6781715712223153E-3</v>
          </cell>
          <cell r="J360">
            <v>1.1485754010360752E-3</v>
          </cell>
          <cell r="K360"/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D361"/>
          <cell r="E361">
            <v>1.8158622652573529E-3</v>
          </cell>
          <cell r="F361">
            <v>9.5431567172793853E-4</v>
          </cell>
          <cell r="G361">
            <v>9.7478256154538072E-4</v>
          </cell>
          <cell r="H361">
            <v>1.0415120461722402E-3</v>
          </cell>
          <cell r="I361">
            <v>1.6781715712223153E-3</v>
          </cell>
          <cell r="J361">
            <v>1.1485754010360752E-3</v>
          </cell>
          <cell r="K361"/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D362"/>
          <cell r="E362">
            <v>1.51210580422902E-4</v>
          </cell>
          <cell r="F362">
            <v>2.67910940057966E-7</v>
          </cell>
          <cell r="G362">
            <v>9.28026163731054E-7</v>
          </cell>
          <cell r="H362">
            <v>2.8282608810976001E-7</v>
          </cell>
          <cell r="I362">
            <v>4.9365536581483999E-7</v>
          </cell>
          <cell r="J362">
            <v>9.9327425651149601E-6</v>
          </cell>
          <cell r="K362"/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D363"/>
          <cell r="E363">
            <v>1.51210580422902E-4</v>
          </cell>
          <cell r="F363">
            <v>1.512757883436382E-4</v>
          </cell>
          <cell r="G363">
            <v>1.5198505026259339E-4</v>
          </cell>
          <cell r="H363">
            <v>1.5193398668056896E-4</v>
          </cell>
          <cell r="I363">
            <v>1.5272308976719244E-4</v>
          </cell>
          <cell r="J363">
            <v>9.9010383928692497E-5</v>
          </cell>
          <cell r="K363"/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D364"/>
          <cell r="E364">
            <v>1.2071502183152301</v>
          </cell>
          <cell r="F364">
            <v>1.497164904042829</v>
          </cell>
          <cell r="G364">
            <v>2.6960346492250871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D365"/>
          <cell r="E365">
            <v>3.3131958661397884E-2</v>
          </cell>
          <cell r="F365">
            <v>0.11586773572861278</v>
          </cell>
          <cell r="G365">
            <v>0.12507081938191975</v>
          </cell>
          <cell r="H365">
            <v>0.11714804135546432</v>
          </cell>
          <cell r="I365">
            <v>5.9156013078673228E-2</v>
          </cell>
          <cell r="J365">
            <v>6.7737186708859797E-6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D366"/>
          <cell r="E366">
            <v>0.24032660519933519</v>
          </cell>
          <cell r="F366">
            <v>5.4319138812522608E-2</v>
          </cell>
          <cell r="G366">
            <v>0.3117386270697195</v>
          </cell>
          <cell r="H366">
            <v>0.38695997765190776</v>
          </cell>
          <cell r="I366">
            <v>0.44761998074998333</v>
          </cell>
          <cell r="J366">
            <v>0.50234891101146406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D367"/>
          <cell r="F367">
            <v>2.1723798109391417E-3</v>
          </cell>
          <cell r="G367">
            <v>2.1613808661357244E-3</v>
          </cell>
          <cell r="H367">
            <v>2.8124146467962494E-3</v>
          </cell>
          <cell r="I367">
            <v>9.2500726179830517E-3</v>
          </cell>
          <cell r="J367">
            <v>9.1380417480063612E-3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D368"/>
          <cell r="E368">
            <v>0.11668383249413775</v>
          </cell>
          <cell r="F368">
            <v>1.513676710603846E-3</v>
          </cell>
          <cell r="G368">
            <v>2.2123747449146326E-3</v>
          </cell>
          <cell r="H368">
            <v>2.4598417780785399E-3</v>
          </cell>
          <cell r="I368">
            <v>5.5407583897027161E-3</v>
          </cell>
          <cell r="J368">
            <v>3.4339627085642702E-3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E369">
            <v>6.9261111056222707E-2</v>
          </cell>
          <cell r="F369">
            <v>8.5323963638189477E-5</v>
          </cell>
          <cell r="G369">
            <v>5.8937837746247924E-4</v>
          </cell>
          <cell r="H369">
            <v>4.9015677191751119E-4</v>
          </cell>
          <cell r="I369">
            <v>6.6349649700256537E-4</v>
          </cell>
          <cell r="J369">
            <v>1.2316149037572774E-3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E370">
            <v>3.3373122617495185E-2</v>
          </cell>
          <cell r="F370">
            <v>1.0098226402923891</v>
          </cell>
          <cell r="G370">
            <v>1.5827990334743085</v>
          </cell>
          <cell r="H370">
            <v>1.9706339694943718</v>
          </cell>
          <cell r="I370">
            <v>2.3101704238435814</v>
          </cell>
          <cell r="J370">
            <v>2.6358661869916391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E371">
            <v>1.2693513435425905E-2</v>
          </cell>
          <cell r="F371">
            <v>7.3699779386408954E-5</v>
          </cell>
          <cell r="G371">
            <v>6.8450299888380686E-5</v>
          </cell>
          <cell r="H371">
            <v>3.37906001141903E-6</v>
          </cell>
          <cell r="I371">
            <v>4.1626624307973721E-4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E372">
            <v>6.4733048374157109E-2</v>
          </cell>
          <cell r="F372">
            <v>8.9274921383071035E-5</v>
          </cell>
          <cell r="G372">
            <v>7.0560232150487841E-5</v>
          </cell>
          <cell r="H372">
            <v>4.5214756892765373E-5</v>
          </cell>
          <cell r="I372">
            <v>1.573716926144659E-5</v>
          </cell>
          <cell r="J372">
            <v>2.2388847973873593E-4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D373"/>
          <cell r="E373">
            <v>3.3627915364414881E-2</v>
          </cell>
          <cell r="F373">
            <v>7.3324602971894004E-5</v>
          </cell>
          <cell r="G373">
            <v>4.7862628342110402E-5</v>
          </cell>
          <cell r="H373"/>
          <cell r="I373">
            <v>9.3310364299441673E-6</v>
          </cell>
          <cell r="J373">
            <v>3.0393721425410061E-5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E374">
            <v>3.9740460096614361E-2</v>
          </cell>
          <cell r="F374">
            <v>6.2578082532287421E-4</v>
          </cell>
          <cell r="G374">
            <v>6.0769539990664372E-4</v>
          </cell>
          <cell r="H374">
            <v>9.5955178115180882E-4</v>
          </cell>
          <cell r="I374">
            <v>4.1877491097832885E-3</v>
          </cell>
          <cell r="J374">
            <v>2.9028155237925961E-3</v>
          </cell>
          <cell r="K374"/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E375">
            <v>2.7823209758507704E-3</v>
          </cell>
          <cell r="F375">
            <v>6.4763069189848176E-5</v>
          </cell>
          <cell r="G375">
            <v>1.5631030784939948E-4</v>
          </cell>
          <cell r="H375">
            <v>3.3972426864674998E-6</v>
          </cell>
          <cell r="I375">
            <v>9.2464109652546495E-4</v>
          </cell>
          <cell r="J375"/>
          <cell r="K375"/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E376">
            <v>6.2665385075164797E-3</v>
          </cell>
          <cell r="F376">
            <v>0.30029964126295533</v>
          </cell>
          <cell r="G376">
            <v>0.65297722527755986</v>
          </cell>
          <cell r="H376">
            <v>0.87965237813995367</v>
          </cell>
          <cell r="I376">
            <v>1.0370332379619089</v>
          </cell>
          <cell r="J376">
            <v>1.0905269542844793</v>
          </cell>
          <cell r="K376"/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D377"/>
          <cell r="E377">
            <v>0.55465760972676081</v>
          </cell>
          <cell r="F377">
            <v>1.2373037342444142E-2</v>
          </cell>
          <cell r="G377">
            <v>1.7720473135433092E-2</v>
          </cell>
          <cell r="H377">
            <v>1.4575970884724022E-2</v>
          </cell>
          <cell r="I377">
            <v>6.7173275057601806E-5</v>
          </cell>
          <cell r="J377"/>
          <cell r="K377"/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E378">
            <v>2.1147973648412404E-2</v>
          </cell>
          <cell r="F378">
            <v>2.1366125940112366E-2</v>
          </cell>
          <cell r="G378">
            <v>2.148666120388585E-2</v>
          </cell>
          <cell r="H378">
            <v>2.4449997158177014E-2</v>
          </cell>
          <cell r="I378">
            <v>2.4816088739463348E-2</v>
          </cell>
          <cell r="J378">
            <v>2.5703198102130471E-2</v>
          </cell>
          <cell r="K378"/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D379"/>
          <cell r="E379">
            <v>2.114924558837936E-2</v>
          </cell>
          <cell r="F379">
            <v>2.1367141468394472E-2</v>
          </cell>
          <cell r="G379">
            <v>2.1487936133405952E-2</v>
          </cell>
          <cell r="H379">
            <v>2.4451233453469258E-2</v>
          </cell>
          <cell r="I379">
            <v>2.4817369188158876E-2</v>
          </cell>
          <cell r="J379">
            <v>2.5703838326478181E-2</v>
          </cell>
          <cell r="K379"/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E380">
            <v>8.0209992906518396E-4</v>
          </cell>
          <cell r="F380">
            <v>6.8009260350905699E-6</v>
          </cell>
          <cell r="G380">
            <v>3.9542093096031899E-6</v>
          </cell>
          <cell r="H380">
            <v>1.15032576591902E-4</v>
          </cell>
          <cell r="I380">
            <v>3.94079918675456E-4</v>
          </cell>
          <cell r="J380">
            <v>4.5199935377534698E-4</v>
          </cell>
          <cell r="K380"/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E381">
            <v>8.0209992906518396E-4</v>
          </cell>
          <cell r="F381">
            <v>8.0830182128021949E-4</v>
          </cell>
          <cell r="G381">
            <v>8.1090107260129026E-4</v>
          </cell>
          <cell r="H381">
            <v>9.2352500818906316E-4</v>
          </cell>
          <cell r="I381">
            <v>9.2995101140619873E-4</v>
          </cell>
          <cell r="J381">
            <v>9.3688561165366146E-4</v>
          </cell>
          <cell r="K381"/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D382"/>
          <cell r="F382">
            <v>375</v>
          </cell>
          <cell r="G382">
            <v>2.0497129073435398</v>
          </cell>
          <cell r="H382">
            <v>1.8727439559277399</v>
          </cell>
          <cell r="I382"/>
          <cell r="J382"/>
          <cell r="K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F383">
            <v>375</v>
          </cell>
          <cell r="G383">
            <v>5.0174976329839751</v>
          </cell>
          <cell r="H383">
            <v>4.718293953086004</v>
          </cell>
          <cell r="I383">
            <v>2.7313547071370294</v>
          </cell>
          <cell r="J383">
            <v>1.2262918919309982</v>
          </cell>
          <cell r="K383"/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E384">
            <v>1.0240355971653488E-3</v>
          </cell>
          <cell r="F384">
            <v>5.6376083999973325E-4</v>
          </cell>
          <cell r="G384">
            <v>5.702734113633821E-4</v>
          </cell>
          <cell r="H384">
            <v>5.9653477431955652E-4</v>
          </cell>
          <cell r="I384">
            <v>9.17687753315754E-4</v>
          </cell>
          <cell r="J384">
            <v>5.757905978570801E-4</v>
          </cell>
          <cell r="K384"/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D385"/>
          <cell r="E385">
            <v>1.0240355971653488E-3</v>
          </cell>
          <cell r="F385">
            <v>5.6376083999973325E-4</v>
          </cell>
          <cell r="G385">
            <v>5.702734113633821E-4</v>
          </cell>
          <cell r="H385">
            <v>5.9653477431955652E-4</v>
          </cell>
          <cell r="I385">
            <v>9.17687753315754E-4</v>
          </cell>
          <cell r="J385">
            <v>5.757905978570801E-4</v>
          </cell>
          <cell r="K385"/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D386"/>
          <cell r="E386">
            <v>8.7894619763517697E-5</v>
          </cell>
          <cell r="F386">
            <v>2.4159913337564098E-7</v>
          </cell>
          <cell r="G386">
            <v>7.5472365721136702E-7</v>
          </cell>
          <cell r="H386">
            <v>1.8474459926390601E-7</v>
          </cell>
          <cell r="I386"/>
          <cell r="J386">
            <v>5.1795320719955497E-7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E387">
            <v>8.7894619763517697E-5</v>
          </cell>
          <cell r="F387">
            <v>8.7993859528236315E-5</v>
          </cell>
          <cell r="G387">
            <v>8.8598923864458196E-5</v>
          </cell>
          <cell r="H387">
            <v>8.8537297563494986E-5</v>
          </cell>
          <cell r="I387">
            <v>8.8687306452326731E-5</v>
          </cell>
          <cell r="J387">
            <v>5.2245620437625733E-5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F388">
            <v>375</v>
          </cell>
          <cell r="G388">
            <v>2.0497129073434501</v>
          </cell>
          <cell r="H388">
            <v>1.87274395592756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D389"/>
          <cell r="F389">
            <v>375</v>
          </cell>
          <cell r="G389">
            <v>5.0174976329810193</v>
          </cell>
          <cell r="H389">
            <v>4.7182939530849808</v>
          </cell>
          <cell r="I389">
            <v>2.7313547071349831</v>
          </cell>
          <cell r="J389">
            <v>1.2262918919290087</v>
          </cell>
          <cell r="K389"/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E390">
            <v>3.3886923314712926E-4</v>
          </cell>
          <cell r="F390">
            <v>2.1366743641375221E-4</v>
          </cell>
          <cell r="G390">
            <v>2.0742619626756495E-4</v>
          </cell>
          <cell r="H390">
            <v>2.1239133550391193E-4</v>
          </cell>
          <cell r="I390">
            <v>2.816170337708692E-4</v>
          </cell>
          <cell r="J390">
            <v>1.8178361500038935E-4</v>
          </cell>
          <cell r="K390"/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D391"/>
          <cell r="E391">
            <v>3.3886923314712926E-4</v>
          </cell>
          <cell r="F391">
            <v>2.1366743641375221E-4</v>
          </cell>
          <cell r="G391">
            <v>2.0742619626756495E-4</v>
          </cell>
          <cell r="H391">
            <v>2.1239133550391193E-4</v>
          </cell>
          <cell r="I391">
            <v>2.816170337708692E-4</v>
          </cell>
          <cell r="J391">
            <v>1.8178361500038935E-4</v>
          </cell>
          <cell r="K391"/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D392"/>
          <cell r="E392">
            <v>3.0328138172816299E-5</v>
          </cell>
          <cell r="F392">
            <v>1.7409113460006001E-7</v>
          </cell>
          <cell r="G392">
            <v>2.3487801463091201E-7</v>
          </cell>
          <cell r="H392">
            <v>7.3783164157171601E-8</v>
          </cell>
          <cell r="I392"/>
          <cell r="J392">
            <v>9.9738616201647205E-8</v>
          </cell>
          <cell r="K392"/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D393"/>
          <cell r="E393">
            <v>3.0328138172816299E-5</v>
          </cell>
          <cell r="F393">
            <v>3.0434669733965355E-5</v>
          </cell>
          <cell r="G393">
            <v>3.0608220675893075E-5</v>
          </cell>
          <cell r="H393">
            <v>3.0579184667153165E-5</v>
          </cell>
          <cell r="I393">
            <v>3.0581015128601236E-5</v>
          </cell>
          <cell r="J393">
            <v>1.7948891387593202E-5</v>
          </cell>
          <cell r="K393"/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D394">
            <v>48.063397652170998</v>
          </cell>
          <cell r="E394">
            <v>48.344867937837833</v>
          </cell>
          <cell r="F394">
            <v>51.11785476725877</v>
          </cell>
          <cell r="G394">
            <v>49.189323622372108</v>
          </cell>
          <cell r="H394">
            <v>50.093905065281092</v>
          </cell>
          <cell r="I394">
            <v>49.792233815795846</v>
          </cell>
          <cell r="J394">
            <v>49.837140751258815</v>
          </cell>
          <cell r="K394"/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D395">
            <v>48.063397652170998</v>
          </cell>
          <cell r="E395">
            <v>48.344867937837833</v>
          </cell>
          <cell r="F395">
            <v>51.11785476725877</v>
          </cell>
          <cell r="G395">
            <v>49.189323622372108</v>
          </cell>
          <cell r="H395">
            <v>50.093905065281092</v>
          </cell>
          <cell r="I395">
            <v>49.792233815795846</v>
          </cell>
          <cell r="J395">
            <v>49.837140751258815</v>
          </cell>
          <cell r="K395"/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D396">
            <v>8.3501487101756006E-2</v>
          </cell>
          <cell r="E396">
            <v>1.53071433856075E-2</v>
          </cell>
          <cell r="F396">
            <v>0.15080127702025101</v>
          </cell>
          <cell r="G396">
            <v>3.59219918229112E-6</v>
          </cell>
          <cell r="H396">
            <v>7.4029170322078304E-6</v>
          </cell>
          <cell r="I396">
            <v>4.9100587297246904E-6</v>
          </cell>
          <cell r="J396">
            <v>2.4180401069353699</v>
          </cell>
          <cell r="K396"/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D397">
            <v>2.613828719134466</v>
          </cell>
          <cell r="E397">
            <v>2.6291352494807096</v>
          </cell>
          <cell r="F397">
            <v>2.7799350376933707</v>
          </cell>
          <cell r="G397">
            <v>2.724255997776023</v>
          </cell>
          <cell r="H397">
            <v>2.7242525431343965</v>
          </cell>
          <cell r="I397">
            <v>2.7078530508491547</v>
          </cell>
          <cell r="J397">
            <v>2.7102863993161215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E398">
            <v>0.34659689824318174</v>
          </cell>
          <cell r="F398">
            <v>5.4834541147022062E-2</v>
          </cell>
          <cell r="G398">
            <v>0.3124473985281655</v>
          </cell>
          <cell r="H398">
            <v>0.38790332861479898</v>
          </cell>
          <cell r="I398">
            <v>0.45174338026495248</v>
          </cell>
          <cell r="J398">
            <v>0.50554803774682755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D399"/>
          <cell r="E399">
            <v>0.34659689824318174</v>
          </cell>
          <cell r="F399">
            <v>5.4834541147022062E-2</v>
          </cell>
          <cell r="G399">
            <v>0.3124473985281655</v>
          </cell>
          <cell r="H399">
            <v>0.38790332861479898</v>
          </cell>
          <cell r="I399">
            <v>0.45174338026495248</v>
          </cell>
          <cell r="J399">
            <v>0.50554803774682755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E400">
            <v>0.35009787701331513</v>
          </cell>
          <cell r="F400">
            <v>6.0672042515624705E-2</v>
          </cell>
          <cell r="G400">
            <v>0.34396031958785461</v>
          </cell>
          <cell r="H400">
            <v>0.42656916534610678</v>
          </cell>
          <cell r="I400">
            <v>0.49624351179127935</v>
          </cell>
          <cell r="J400">
            <v>0.55534833401108263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E401">
            <v>3.5373504863390401E-2</v>
          </cell>
          <cell r="F401">
            <v>2.2370729986318099E-2</v>
          </cell>
          <cell r="G401">
            <v>1.1212783322232999E-2</v>
          </cell>
          <cell r="H401">
            <v>1.6231566418969501E-2</v>
          </cell>
          <cell r="I401">
            <v>1.93417366937324E-2</v>
          </cell>
          <cell r="J401">
            <v>5.9075281890535701E-2</v>
          </cell>
          <cell r="K401"/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E402">
            <v>3.5373504863390401E-2</v>
          </cell>
          <cell r="F402">
            <v>3.6994807046988605E-2</v>
          </cell>
          <cell r="G402">
            <v>2.4306438954704697E-2</v>
          </cell>
          <cell r="H402">
            <v>3.1400458103089494E-2</v>
          </cell>
          <cell r="I402">
            <v>3.7364388028313697E-2</v>
          </cell>
          <cell r="J402">
            <v>8.1046753236921204E-2</v>
          </cell>
          <cell r="K402"/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F403">
            <v>375</v>
          </cell>
          <cell r="G403">
            <v>2.0497129073435398</v>
          </cell>
          <cell r="H403">
            <v>1.8727439559277399</v>
          </cell>
          <cell r="I403"/>
          <cell r="J403"/>
          <cell r="K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F404">
            <v>375</v>
          </cell>
          <cell r="G404">
            <v>5.0174976329839751</v>
          </cell>
          <cell r="H404">
            <v>4.718293953086004</v>
          </cell>
          <cell r="I404">
            <v>2.7313547071370294</v>
          </cell>
          <cell r="J404">
            <v>1.2262918919309982</v>
          </cell>
          <cell r="K404"/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E405">
            <v>1.1622629707506768E-4</v>
          </cell>
          <cell r="F405">
            <v>8.8598304052955266E-5</v>
          </cell>
          <cell r="G405">
            <v>7.9051618792522796E-5</v>
          </cell>
          <cell r="H405">
            <v>8.0518974091162471E-5</v>
          </cell>
          <cell r="I405">
            <v>8.794753342698088E-5</v>
          </cell>
          <cell r="J405">
            <v>5.9303461243165309E-5</v>
          </cell>
          <cell r="K405"/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E406">
            <v>1.1622629707506768E-4</v>
          </cell>
          <cell r="F406">
            <v>8.8598304052955266E-5</v>
          </cell>
          <cell r="G406">
            <v>7.9051618792522796E-5</v>
          </cell>
          <cell r="H406">
            <v>8.0518974091162471E-5</v>
          </cell>
          <cell r="I406">
            <v>8.794753342698088E-5</v>
          </cell>
          <cell r="J406">
            <v>5.9303461243165309E-5</v>
          </cell>
          <cell r="K406"/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E407">
            <v>9.3585156463673604E-6</v>
          </cell>
          <cell r="F407">
            <v>1.3402953030216501E-7</v>
          </cell>
          <cell r="G407">
            <v>1.2798417296458199E-7</v>
          </cell>
          <cell r="H407">
            <v>3.3077613896933603E-8</v>
          </cell>
          <cell r="I407"/>
          <cell r="J407">
            <v>3.6629169775739403E-8</v>
          </cell>
          <cell r="K407"/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E408">
            <v>9.3585156463673604E-6</v>
          </cell>
          <cell r="F408">
            <v>9.4596719699357873E-6</v>
          </cell>
          <cell r="G408">
            <v>9.5639342309215082E-6</v>
          </cell>
          <cell r="H408">
            <v>9.5524468259085192E-6</v>
          </cell>
          <cell r="I408">
            <v>9.5406944468815846E-6</v>
          </cell>
          <cell r="J408">
            <v>5.6497668343088116E-6</v>
          </cell>
          <cell r="K408"/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D409">
            <v>2.3674169489998631</v>
          </cell>
          <cell r="E409">
            <v>2.3075053045581861</v>
          </cell>
          <cell r="F409">
            <v>0.66016241872253345</v>
          </cell>
          <cell r="G409">
            <v>2.9818646673370375E-4</v>
          </cell>
          <cell r="H409">
            <v>7.7577308055675072E-4</v>
          </cell>
          <cell r="I409">
            <v>2.2857408301151303E-5</v>
          </cell>
          <cell r="J409">
            <v>3.0355402950426404E-4</v>
          </cell>
          <cell r="K409"/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D410">
            <v>330.01436266509302</v>
          </cell>
          <cell r="E410">
            <v>321.179792391207</v>
          </cell>
          <cell r="F410">
            <v>91.680983094500206</v>
          </cell>
          <cell r="G410">
            <v>4.1256545471961698E-2</v>
          </cell>
          <cell r="H410">
            <v>0.106935560695332</v>
          </cell>
          <cell r="I410">
            <v>3.1390840733581198E-3</v>
          </cell>
          <cell r="J410">
            <v>4.1381556669184201E-2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D411">
            <v>3.5600254872178341</v>
          </cell>
          <cell r="E411">
            <v>3.4647226795167949</v>
          </cell>
          <cell r="F411">
            <v>0.98900736887270957</v>
          </cell>
          <cell r="G411">
            <v>4.4505442796075246E-4</v>
          </cell>
          <cell r="H411">
            <v>1.1535659190434952E-3</v>
          </cell>
          <cell r="I411">
            <v>3.3862827112816783E-5</v>
          </cell>
          <cell r="J411">
            <v>4.4640298456509399E-4</v>
          </cell>
          <cell r="K411"/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E412">
            <v>1.42592357857725E-5</v>
          </cell>
          <cell r="F412">
            <v>1.3495378759131599E-5</v>
          </cell>
          <cell r="G412">
            <v>1.1602172271724801E-5</v>
          </cell>
          <cell r="H412">
            <v>6.00478391826936E-5</v>
          </cell>
          <cell r="I412">
            <v>3.00464904181648E-6</v>
          </cell>
          <cell r="J412">
            <v>2.7886617235401499E-5</v>
          </cell>
          <cell r="K412"/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D413">
            <v>0.26172155007150499</v>
          </cell>
          <cell r="E413">
            <v>0.14703309164784678</v>
          </cell>
          <cell r="F413">
            <v>7.2903208906085898E-2</v>
          </cell>
          <cell r="G413">
            <v>2.8088873838594264E-5</v>
          </cell>
          <cell r="H413">
            <v>7.2709120720118592E-5</v>
          </cell>
          <cell r="I413">
            <v>1.8171622293648021E-6</v>
          </cell>
          <cell r="J413">
            <v>2.8604066956253898E-5</v>
          </cell>
          <cell r="K413"/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D414">
            <v>26.438654975424289</v>
          </cell>
          <cell r="E414">
            <v>25.92879146371218</v>
          </cell>
          <cell r="F414">
            <v>21.716530993275381</v>
          </cell>
          <cell r="G414">
            <v>22.085786037690493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D415">
            <v>6.2105676198961444</v>
          </cell>
          <cell r="E415">
            <v>5.540924797199045</v>
          </cell>
          <cell r="F415">
            <v>5.0679062993298407</v>
          </cell>
          <cell r="G415">
            <v>2.9052470334818929</v>
          </cell>
          <cell r="H415">
            <v>1.7739133382442431</v>
          </cell>
          <cell r="I415">
            <v>0.76875693351714547</v>
          </cell>
          <cell r="J415">
            <v>0.33171070641257633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D416">
            <v>6.8084428020948184</v>
          </cell>
          <cell r="E416">
            <v>5.5417912605577078</v>
          </cell>
          <cell r="F416">
            <v>4.5163307700565483</v>
          </cell>
          <cell r="G416">
            <v>1.9157053692998314</v>
          </cell>
          <cell r="H416">
            <v>1.2597378354300104</v>
          </cell>
          <cell r="I416">
            <v>0.45237008328652661</v>
          </cell>
          <cell r="J416">
            <v>2.8676610527739413E-2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D417">
            <v>0.55971501264917867</v>
          </cell>
          <cell r="E417">
            <v>0.59720365646159279</v>
          </cell>
          <cell r="F417">
            <v>1.0153979184208988</v>
          </cell>
          <cell r="G417">
            <v>0.86069491321182268</v>
          </cell>
          <cell r="H417">
            <v>0.70787017117808215</v>
          </cell>
          <cell r="I417">
            <v>0.54819795317567022</v>
          </cell>
          <cell r="J417">
            <v>0.25105859161301647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D418">
            <v>6.4068229141179933E-2</v>
          </cell>
          <cell r="E418">
            <v>5.4795629374384308E-5</v>
          </cell>
          <cell r="F418">
            <v>0.98281055330259659</v>
          </cell>
          <cell r="G418">
            <v>1.9882727759286323</v>
          </cell>
          <cell r="H418">
            <v>2.7620275552933942</v>
          </cell>
          <cell r="I418">
            <v>3.4732602450164398</v>
          </cell>
          <cell r="J418">
            <v>3.6177580856139908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D419">
            <v>3.5271317194941865E-2</v>
          </cell>
          <cell r="E419">
            <v>2.7788584145576944E-5</v>
          </cell>
          <cell r="F419">
            <v>4.2584079304786392E-6</v>
          </cell>
          <cell r="G419">
            <v>4.5977358818790881E-6</v>
          </cell>
          <cell r="H419">
            <v>5.0518081157100647E-6</v>
          </cell>
          <cell r="I419">
            <v>5.1018757732394345E-6</v>
          </cell>
          <cell r="J419">
            <v>1.2110769424250129E-5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D420">
            <v>0.27588710431752017</v>
          </cell>
          <cell r="E420">
            <v>0.1948008694759901</v>
          </cell>
          <cell r="F420">
            <v>3.6719199229820865E-2</v>
          </cell>
          <cell r="G420">
            <v>3.2933030862498915E-2</v>
          </cell>
          <cell r="H420">
            <v>2.7691449877893411E-2</v>
          </cell>
          <cell r="I420">
            <v>2.1791105456056802E-2</v>
          </cell>
          <cell r="J420">
            <v>8.2726698117482241E-3</v>
          </cell>
          <cell r="K420"/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D421">
            <v>1.2802424847796581</v>
          </cell>
          <cell r="E421">
            <v>1.4633346036086101</v>
          </cell>
          <cell r="F421">
            <v>0.96093740761959667</v>
          </cell>
          <cell r="G421">
            <v>2.0053635492686079</v>
          </cell>
          <cell r="H421">
            <v>2.4435369781161587</v>
          </cell>
          <cell r="I421">
            <v>2.8240768679317512</v>
          </cell>
          <cell r="J421">
            <v>2.8217932266705485</v>
          </cell>
          <cell r="K421"/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D422">
            <v>6.4674990552502205</v>
          </cell>
          <cell r="E422">
            <v>6.9686680122387514</v>
          </cell>
          <cell r="F422">
            <v>2.815874011188741</v>
          </cell>
          <cell r="G422">
            <v>1.9151922135961508</v>
          </cell>
          <cell r="H422">
            <v>1.746971739839555</v>
          </cell>
          <cell r="I422">
            <v>1.5824187018545344</v>
          </cell>
          <cell r="J422">
            <v>1.3798256016457622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D423">
            <v>1.6172850136005978</v>
          </cell>
          <cell r="E423">
            <v>1.9866768972196747</v>
          </cell>
          <cell r="F423">
            <v>1.0123875341503172</v>
          </cell>
          <cell r="G423">
            <v>1.4702735571210801</v>
          </cell>
          <cell r="H423">
            <v>1.7315469011413747</v>
          </cell>
          <cell r="I423">
            <v>2.021793047744719</v>
          </cell>
          <cell r="J423">
            <v>2.2765851284645384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D424">
            <v>3.1197688143981419</v>
          </cell>
          <cell r="E424">
            <v>3.6354157873083137</v>
          </cell>
          <cell r="F424">
            <v>5.3082855642940592</v>
          </cell>
          <cell r="G424">
            <v>8.9922093816596131</v>
          </cell>
          <cell r="H424">
            <v>11.403663595298255</v>
          </cell>
          <cell r="I424">
            <v>14.224765802765885</v>
          </cell>
          <cell r="J424">
            <v>15.74187336855087</v>
          </cell>
          <cell r="K424"/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F425">
            <v>0.9828081456176565</v>
          </cell>
          <cell r="G425">
            <v>1.9882713616074179</v>
          </cell>
          <cell r="H425">
            <v>2.7620242471896246</v>
          </cell>
          <cell r="I425">
            <v>3.4732555891045473</v>
          </cell>
          <cell r="J425">
            <v>3.6177618816277528</v>
          </cell>
          <cell r="K425"/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F426">
            <v>27.466985577793501</v>
          </cell>
          <cell r="G426">
            <v>48.644986425906801</v>
          </cell>
          <cell r="H426">
            <v>62.950828249980901</v>
          </cell>
          <cell r="I426">
            <v>73.840848237016601</v>
          </cell>
          <cell r="J426">
            <v>63.388473274332398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F427">
            <v>0.48700329038640988</v>
          </cell>
          <cell r="G427">
            <v>0.86249975932458889</v>
          </cell>
          <cell r="H427">
            <v>1.1161494370563989</v>
          </cell>
          <cell r="I427">
            <v>1.3092348978194424</v>
          </cell>
          <cell r="J427">
            <v>1.1239091006087316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E428">
            <v>1.2218434790148099E-6</v>
          </cell>
          <cell r="F428">
            <v>6.5126582841150193E-2</v>
          </cell>
          <cell r="G428">
            <v>7.0780448726273898E-2</v>
          </cell>
          <cell r="H428">
            <v>5.2903561260206101E-2</v>
          </cell>
          <cell r="I428">
            <v>0.124644254322508</v>
          </cell>
          <cell r="J428">
            <v>0.134451863164988</v>
          </cell>
          <cell r="K428"/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D429">
            <v>4.7729432218241499E-11</v>
          </cell>
          <cell r="E429">
            <v>8.5214330359105718E-7</v>
          </cell>
          <cell r="F429">
            <v>6.5127340796295827E-2</v>
          </cell>
          <cell r="G429">
            <v>0.13590779560533162</v>
          </cell>
          <cell r="H429">
            <v>0.18881030162329057</v>
          </cell>
          <cell r="I429">
            <v>0.23742446055832175</v>
          </cell>
          <cell r="J429">
            <v>0.24728799784177352</v>
          </cell>
          <cell r="K429"/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D430">
            <v>2.6087010637623448E-5</v>
          </cell>
          <cell r="E430">
            <v>2.3918341791303797E-5</v>
          </cell>
          <cell r="F430">
            <v>2.6778625601281574E-5</v>
          </cell>
          <cell r="G430">
            <v>2.3356784368396932E-5</v>
          </cell>
          <cell r="H430">
            <v>2.412192407776974E-5</v>
          </cell>
          <cell r="I430">
            <v>1.8373997790857928E-5</v>
          </cell>
          <cell r="J430">
            <v>1.5687946549266587E-5</v>
          </cell>
          <cell r="K430"/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D431">
            <v>3.3092685713999052E-5</v>
          </cell>
          <cell r="E431">
            <v>2.3986809039836105E-5</v>
          </cell>
          <cell r="F431">
            <v>3.0487242107602647E-5</v>
          </cell>
          <cell r="G431">
            <v>2.7839610367560841E-5</v>
          </cell>
          <cell r="H431">
            <v>2.5788102591660357E-5</v>
          </cell>
          <cell r="I431">
            <v>2.2045578948683414E-5</v>
          </cell>
          <cell r="J431">
            <v>1.5849327981638536E-5</v>
          </cell>
          <cell r="K431"/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D432">
            <v>1.99097180649557E-2</v>
          </cell>
          <cell r="E432">
            <v>8.1538940652024397E-2</v>
          </cell>
          <cell r="F432">
            <v>1.6506940226541499E-2</v>
          </cell>
          <cell r="G432">
            <v>0.13933681883212801</v>
          </cell>
          <cell r="H432">
            <v>0.12652278127073399</v>
          </cell>
          <cell r="I432">
            <v>0.20228739037417601</v>
          </cell>
          <cell r="J432">
            <v>0.21173495977551901</v>
          </cell>
          <cell r="K432"/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D433">
            <v>1.99097180649557E-2</v>
          </cell>
          <cell r="E433">
            <v>0.10132176374037218</v>
          </cell>
          <cell r="F433">
            <v>0.1177755789692507</v>
          </cell>
          <cell r="G433">
            <v>0.25705842151450248</v>
          </cell>
          <cell r="H433">
            <v>0.32892786168509114</v>
          </cell>
          <cell r="I433">
            <v>0.42673884345975105</v>
          </cell>
          <cell r="J433">
            <v>0.41195095291079187</v>
          </cell>
          <cell r="K433"/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D434">
            <v>1928.71144537646</v>
          </cell>
          <cell r="E434">
            <v>1521.2678790851701</v>
          </cell>
          <cell r="F434">
            <v>1746.1053213796699</v>
          </cell>
          <cell r="G434">
            <v>827.93519191355904</v>
          </cell>
          <cell r="H434">
            <v>507.45426072679697</v>
          </cell>
          <cell r="I434">
            <v>135.12886029369599</v>
          </cell>
          <cell r="J434">
            <v>15.3785333682937</v>
          </cell>
          <cell r="K434"/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D435">
            <v>23.443744954542012</v>
          </cell>
          <cell r="E435">
            <v>18.491214043606558</v>
          </cell>
          <cell r="F435">
            <v>20.297888049852382</v>
          </cell>
          <cell r="G435">
            <v>9.7906742201439165</v>
          </cell>
          <cell r="H435">
            <v>6.0008553772391959</v>
          </cell>
          <cell r="I435">
            <v>1.597954358984478</v>
          </cell>
          <cell r="J435">
            <v>0.18185748312567901</v>
          </cell>
          <cell r="K435"/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D436">
            <v>26.16976180972129</v>
          </cell>
          <cell r="E436">
            <v>20.641355211467776</v>
          </cell>
          <cell r="F436">
            <v>23.692066775843607</v>
          </cell>
          <cell r="G436">
            <v>11.233856063956024</v>
          </cell>
          <cell r="H436">
            <v>6.8854038090474532</v>
          </cell>
          <cell r="I436">
            <v>1.8334987828181337</v>
          </cell>
          <cell r="J436">
            <v>0.2086639534368204</v>
          </cell>
          <cell r="K436"/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E437">
            <v>5.2152945155482204E-7</v>
          </cell>
          <cell r="F437">
            <v>7.6170021792201102E-7</v>
          </cell>
          <cell r="G437">
            <v>7.0367623072425996E-7</v>
          </cell>
          <cell r="H437">
            <v>3.1290386126780999E-2</v>
          </cell>
          <cell r="I437">
            <v>8.3113015514432106E-2</v>
          </cell>
          <cell r="J437">
            <v>2.57350066174718E-7</v>
          </cell>
          <cell r="K437"/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D438">
            <v>1.65587464377338</v>
          </cell>
          <cell r="E438">
            <v>1.5177472905122356</v>
          </cell>
          <cell r="F438">
            <v>1.5176805595083025</v>
          </cell>
          <cell r="G438">
            <v>1.5173980731818202</v>
          </cell>
          <cell r="H438">
            <v>0.42480269949939542</v>
          </cell>
          <cell r="I438">
            <v>0.11440318868314502</v>
          </cell>
          <cell r="J438">
            <v>1.9400642479741596E-2</v>
          </cell>
          <cell r="K438"/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F439">
            <v>1.6066924853260762</v>
          </cell>
          <cell r="G439">
            <v>1.5445327517518492</v>
          </cell>
          <cell r="H439">
            <v>1.4259933455654616</v>
          </cell>
          <cell r="I439">
            <v>1.3138208374391374</v>
          </cell>
          <cell r="J439">
            <v>1.0171743495188494</v>
          </cell>
          <cell r="K439"/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F440">
            <v>50.436196862177098</v>
          </cell>
          <cell r="G440">
            <v>47.147876254392401</v>
          </cell>
          <cell r="H440">
            <v>42.241327819359697</v>
          </cell>
          <cell r="I440">
            <v>37.180264665213201</v>
          </cell>
          <cell r="J440">
            <v>26.877458628195299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F441">
            <v>1.6066924853260762</v>
          </cell>
          <cell r="G441">
            <v>1.5445327517518492</v>
          </cell>
          <cell r="H441">
            <v>1.4259933455654616</v>
          </cell>
          <cell r="I441">
            <v>1.3138208374391374</v>
          </cell>
          <cell r="J441">
            <v>1.0171743495188494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F442">
            <v>0.89425880961306792</v>
          </cell>
          <cell r="G442">
            <v>0.83595525273745319</v>
          </cell>
          <cell r="H442">
            <v>0.74895971310921439</v>
          </cell>
          <cell r="I442">
            <v>0.65922455080165243</v>
          </cell>
          <cell r="J442">
            <v>0.4765506848970803</v>
          </cell>
          <cell r="K442"/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E443">
            <v>1.6450898203914801E-6</v>
          </cell>
          <cell r="F443">
            <v>0.12980153761691199</v>
          </cell>
          <cell r="G443">
            <v>1.23665932868998E-7</v>
          </cell>
          <cell r="H443">
            <v>8.5298736652421698E-7</v>
          </cell>
          <cell r="I443">
            <v>8.3813593758056595E-2</v>
          </cell>
          <cell r="J443">
            <v>2.1503292387141101E-2</v>
          </cell>
          <cell r="K443"/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E444">
            <v>1.6450898203914801E-6</v>
          </cell>
          <cell r="F444">
            <v>0.1298031115688324</v>
          </cell>
          <cell r="G444">
            <v>0.12980035718739236</v>
          </cell>
          <cell r="H444">
            <v>0.12979995399322114</v>
          </cell>
          <cell r="I444">
            <v>0.1068047471453655</v>
          </cell>
          <cell r="J444">
            <v>8.2329820156647596E-2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D445">
            <v>3.7229717227095605E-5</v>
          </cell>
          <cell r="E445">
            <v>2.5206753427536257E-5</v>
          </cell>
          <cell r="F445">
            <v>3.3500449892706941E-6</v>
          </cell>
          <cell r="I445">
            <v>9.9108196843784337E-4</v>
          </cell>
          <cell r="J445">
            <v>1.0815245659704105E-5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D446">
            <v>3.3380866385804166E-5</v>
          </cell>
          <cell r="E446">
            <v>3.0735200805696909E-5</v>
          </cell>
          <cell r="F446">
            <v>2.0474436808482042E-5</v>
          </cell>
          <cell r="G446">
            <v>1.2138898114981069E-3</v>
          </cell>
          <cell r="H446">
            <v>1.8987535946423859E-3</v>
          </cell>
          <cell r="I446">
            <v>6.4787308377509502E-4</v>
          </cell>
          <cell r="J446">
            <v>3.3904432150816006E-5</v>
          </cell>
          <cell r="K446"/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4.7400108932248393E-7</v>
          </cell>
          <cell r="I447">
            <v>9.7516411814329941E-7</v>
          </cell>
          <cell r="J447">
            <v>1.7692337454343992E-5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D448">
            <v>7.0610583612899845E-5</v>
          </cell>
          <cell r="E448">
            <v>5.7270680241914059E-5</v>
          </cell>
          <cell r="F448">
            <v>2.461117206645462E-5</v>
          </cell>
          <cell r="G448">
            <v>1.214783032987019E-3</v>
          </cell>
          <cell r="H448">
            <v>1.9006942732035317E-3</v>
          </cell>
          <cell r="I448">
            <v>1.6412889889669206E-3</v>
          </cell>
          <cell r="J448">
            <v>6.2412015264864091E-5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D449">
            <v>6.7646983408906847E-2</v>
          </cell>
          <cell r="E449">
            <v>8.5497042382649491E-2</v>
          </cell>
          <cell r="F449">
            <v>8.6271676196359545E-2</v>
          </cell>
          <cell r="G449">
            <v>0.45157611361254418</v>
          </cell>
          <cell r="H449">
            <v>0.45063826472506829</v>
          </cell>
          <cell r="I449">
            <v>0.31342830358985824</v>
          </cell>
          <cell r="J449">
            <v>0.43869807366384322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D450">
            <v>6.7646983408906847E-2</v>
          </cell>
          <cell r="E450">
            <v>8.5497042382649491E-2</v>
          </cell>
          <cell r="F450">
            <v>8.6271676196359545E-2</v>
          </cell>
          <cell r="G450">
            <v>0.45157611361254418</v>
          </cell>
          <cell r="H450">
            <v>0.45063826472506829</v>
          </cell>
          <cell r="I450">
            <v>0.31342830358985824</v>
          </cell>
          <cell r="J450">
            <v>0.43869807366384322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E451">
            <v>5.5894480300755701E-2</v>
          </cell>
          <cell r="F451">
            <v>1.42109722401099E-7</v>
          </cell>
          <cell r="G451">
            <v>1.9703636068248301E-7</v>
          </cell>
          <cell r="H451">
            <v>3.45300046391568E-2</v>
          </cell>
          <cell r="I451">
            <v>3.1183508174950501E-2</v>
          </cell>
          <cell r="J451">
            <v>2.8476579489228899E-2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D452">
            <v>9.8214799778629808E-3</v>
          </cell>
          <cell r="E452">
            <v>6.5715960278618687E-2</v>
          </cell>
          <cell r="F452">
            <v>6.571610238834108E-2</v>
          </cell>
          <cell r="G452">
            <v>6.571629942470178E-2</v>
          </cell>
          <cell r="H452">
            <v>6.5714582907978075E-2</v>
          </cell>
          <cell r="I452">
            <v>6.5713672557991598E-2</v>
          </cell>
          <cell r="J452">
            <v>6.5713504037069201E-2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F453">
            <v>2.274621412313329</v>
          </cell>
          <cell r="G453">
            <v>3.9620973767829271</v>
          </cell>
          <cell r="H453">
            <v>4.9017782199402191</v>
          </cell>
          <cell r="I453">
            <v>5.8224369897678594</v>
          </cell>
          <cell r="J453">
            <v>5.1203341007037064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F454">
            <v>66.5785602024974</v>
          </cell>
          <cell r="G454">
            <v>109.66818523218799</v>
          </cell>
          <cell r="H454">
            <v>131.28980108923599</v>
          </cell>
          <cell r="I454">
            <v>150.013783764018</v>
          </cell>
          <cell r="J454">
            <v>120.556885097749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F455">
            <v>2.274621412313329</v>
          </cell>
          <cell r="G455">
            <v>3.9620973767829271</v>
          </cell>
          <cell r="H455">
            <v>4.9017782199402191</v>
          </cell>
          <cell r="I455">
            <v>5.8224369897678594</v>
          </cell>
          <cell r="J455">
            <v>5.1203341007037064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F456">
            <v>1.1804709255761958</v>
          </cell>
          <cell r="G456">
            <v>1.9444713693650373</v>
          </cell>
          <cell r="H456">
            <v>2.3278333526460306</v>
          </cell>
          <cell r="I456">
            <v>2.6598188610641427</v>
          </cell>
          <cell r="J456">
            <v>2.1375334237189509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D457">
            <v>8.4581462926904301E-7</v>
          </cell>
          <cell r="E457">
            <v>9.3020942927322296E-5</v>
          </cell>
          <cell r="F457">
            <v>0.17582970091314401</v>
          </cell>
          <cell r="G457">
            <v>0.13039956952555301</v>
          </cell>
          <cell r="H457">
            <v>7.2763053667422695E-2</v>
          </cell>
          <cell r="I457">
            <v>0.26339654655987399</v>
          </cell>
          <cell r="J457">
            <v>0.17699952597173799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D458">
            <v>8.4581462926904301E-7</v>
          </cell>
          <cell r="E458">
            <v>9.3517901470614511E-5</v>
          </cell>
          <cell r="F458">
            <v>0.17592292456999564</v>
          </cell>
          <cell r="G458">
            <v>0.30632242851423686</v>
          </cell>
          <cell r="H458">
            <v>0.37903848924247407</v>
          </cell>
          <cell r="I458">
            <v>0.45636293761806246</v>
          </cell>
          <cell r="J458">
            <v>0.3989331877925838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E459">
            <v>6.0646093958941902</v>
          </cell>
          <cell r="F459">
            <v>1.5631523230751001</v>
          </cell>
          <cell r="G459">
            <v>2.2981523163494502</v>
          </cell>
          <cell r="H459">
            <v>2.6218430238707402</v>
          </cell>
          <cell r="I459">
            <v>2.6882362822685599</v>
          </cell>
          <cell r="J459">
            <v>1.8539245943128599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E460">
            <v>0.1021521086187851</v>
          </cell>
          <cell r="F460">
            <v>2.6606131572980859E-2</v>
          </cell>
          <cell r="G460">
            <v>3.9116432865133069E-2</v>
          </cell>
          <cell r="H460">
            <v>4.4625913563930461E-2</v>
          </cell>
          <cell r="I460">
            <v>4.5755981147501734E-2</v>
          </cell>
          <cell r="J460">
            <v>3.1555313551041055E-2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E461">
            <v>0.10752853538819472</v>
          </cell>
          <cell r="F461">
            <v>2.7715466721189824E-2</v>
          </cell>
          <cell r="G461">
            <v>4.074738149555765E-2</v>
          </cell>
          <cell r="H461">
            <v>4.6486578437424451E-2</v>
          </cell>
          <cell r="I461">
            <v>4.7663763870009854E-2</v>
          </cell>
          <cell r="J461">
            <v>3.2871003445263509E-2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E462">
            <v>7.5062520012364404E-3</v>
          </cell>
          <cell r="F462">
            <v>1.2991753701002201E-6</v>
          </cell>
          <cell r="G462">
            <v>9.3801963609662002E-7</v>
          </cell>
          <cell r="H462">
            <v>4.8830703511458898E-5</v>
          </cell>
          <cell r="I462">
            <v>3.5855602218135101E-3</v>
          </cell>
          <cell r="J462">
            <v>2.1505349378851901E-6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E463">
            <v>7.5062520012364404E-3</v>
          </cell>
          <cell r="F463">
            <v>7.4945449795950038E-3</v>
          </cell>
          <cell r="G463">
            <v>7.485061507680261E-3</v>
          </cell>
          <cell r="H463">
            <v>3.881424926441372E-3</v>
          </cell>
          <cell r="I463">
            <v>3.6345469970529756E-3</v>
          </cell>
          <cell r="J463">
            <v>2.6230007602092193E-3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D464">
            <v>4.363811207086436E-5</v>
          </cell>
          <cell r="E464">
            <v>4.707424953592936E-6</v>
          </cell>
          <cell r="F464">
            <v>1.3441182929802745E-2</v>
          </cell>
          <cell r="G464">
            <v>3.5267950915796868</v>
          </cell>
          <cell r="H464">
            <v>4.4061135284838109</v>
          </cell>
          <cell r="I464">
            <v>4.526538764677456</v>
          </cell>
          <cell r="J464">
            <v>4.328895280653534E-5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F465">
            <v>6.528572319811841E-6</v>
          </cell>
          <cell r="G465">
            <v>4.1111570238583951E-3</v>
          </cell>
          <cell r="H465">
            <v>7.7927136575439851E-3</v>
          </cell>
          <cell r="I465">
            <v>1.1310609245526036E-2</v>
          </cell>
          <cell r="J465">
            <v>1.9807305813092374E-5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  <cell r="D466">
            <v>3.0707708428916769E-5</v>
          </cell>
          <cell r="E466">
            <v>2.607151856191254E-3</v>
          </cell>
          <cell r="F466">
            <v>8.6849294461822952E-3</v>
          </cell>
          <cell r="J466">
            <v>2.6489940318853279E-5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D467">
            <v>7.4345820499781081E-5</v>
          </cell>
          <cell r="E467">
            <v>2.6122901195974671E-3</v>
          </cell>
          <cell r="F467">
            <v>2.2133103020315903E-2</v>
          </cell>
          <cell r="G467">
            <v>3.5309062486035443</v>
          </cell>
          <cell r="H467">
            <v>4.4139062421413522</v>
          </cell>
          <cell r="I467">
            <v>4.5378493842978047</v>
          </cell>
          <cell r="J467">
            <v>8.9586198938481024E-5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E468">
            <v>3.9358607681252609E-4</v>
          </cell>
          <cell r="F468">
            <v>1.010975144135507</v>
          </cell>
          <cell r="G468">
            <v>1.5838349362174322</v>
          </cell>
          <cell r="H468">
            <v>1.9718990354911954</v>
          </cell>
          <cell r="I468">
            <v>2.3168247958840937</v>
          </cell>
          <cell r="J468">
            <v>2.6408227481219964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E469">
            <v>1.2097932688909624E-4</v>
          </cell>
          <cell r="F469">
            <v>0.3010916429462438</v>
          </cell>
          <cell r="G469">
            <v>0.44507163317076442</v>
          </cell>
          <cell r="H469">
            <v>0.53213656976424328</v>
          </cell>
          <cell r="I469">
            <v>0.60152760232670688</v>
          </cell>
          <cell r="J469">
            <v>0.63373662218851179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E470">
            <v>3.9358607681252609E-4</v>
          </cell>
          <cell r="F470">
            <v>1.010975144135507</v>
          </cell>
          <cell r="G470">
            <v>1.5838349362174322</v>
          </cell>
          <cell r="H470">
            <v>1.9718990354911954</v>
          </cell>
          <cell r="I470">
            <v>2.3168247958840937</v>
          </cell>
          <cell r="J470">
            <v>2.6408227481219964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E471">
            <v>1.70883873174705E-4</v>
          </cell>
          <cell r="F471">
            <v>7.8431614784664802E-2</v>
          </cell>
          <cell r="G471">
            <v>4.5186465974508302E-2</v>
          </cell>
          <cell r="H471">
            <v>3.0386735848184999E-2</v>
          </cell>
          <cell r="I471">
            <v>0.108037369072306</v>
          </cell>
          <cell r="J471">
            <v>0.113761174125438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E472">
            <v>1.70883873174705E-4</v>
          </cell>
          <cell r="F472">
            <v>7.8602192601388357E-2</v>
          </cell>
          <cell r="G472">
            <v>0.12378754233763696</v>
          </cell>
          <cell r="H472">
            <v>0.15409059080374835</v>
          </cell>
          <cell r="I472">
            <v>0.18317690831362185</v>
          </cell>
          <cell r="J472">
            <v>0.20502057959787554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4.1947862006802854</v>
          </cell>
          <cell r="I473">
            <v>5.4018010651417807</v>
          </cell>
          <cell r="J473">
            <v>5.8850740094819409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4.1947862006802854</v>
          </cell>
          <cell r="I474">
            <v>5.4018010651417807</v>
          </cell>
          <cell r="J474">
            <v>5.8850740094819409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G475">
            <v>9.0597225997353599E-7</v>
          </cell>
          <cell r="H475">
            <v>0.15464613645794401</v>
          </cell>
          <cell r="I475">
            <v>0.17491389894770501</v>
          </cell>
          <cell r="J475">
            <v>0.14744423989068101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G476">
            <v>9.0597225997353599E-7</v>
          </cell>
          <cell r="H476">
            <v>0.15464682425588899</v>
          </cell>
          <cell r="I476">
            <v>0.20230512006203</v>
          </cell>
          <cell r="J476">
            <v>0.20735596663116301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D477">
            <v>0.72073697444612794</v>
          </cell>
          <cell r="E477">
            <v>0.74485257141176064</v>
          </cell>
          <cell r="F477">
            <v>7.6005098623283425E-3</v>
          </cell>
          <cell r="G477">
            <v>1.131781327043206E-3</v>
          </cell>
          <cell r="H477">
            <v>3.3974340274984198E-4</v>
          </cell>
          <cell r="I477">
            <v>3.0165522258076671E-4</v>
          </cell>
          <cell r="J477">
            <v>2.037673642821525E-4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D478">
            <v>0.72145771142057369</v>
          </cell>
          <cell r="E478">
            <v>0.74559742398317141</v>
          </cell>
          <cell r="F478">
            <v>7.6081103721906658E-3</v>
          </cell>
          <cell r="G478">
            <v>1.1329131083702498E-3</v>
          </cell>
          <cell r="H478">
            <v>3.4008314615259152E-4</v>
          </cell>
          <cell r="I478">
            <v>3.0195687780334757E-4</v>
          </cell>
          <cell r="J478">
            <v>2.039711316464347E-4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D479">
            <v>0.72075450702669674</v>
          </cell>
          <cell r="E479">
            <v>0.74485230281194204</v>
          </cell>
          <cell r="F479">
            <v>7.5994501805889472E-3</v>
          </cell>
          <cell r="G479">
            <v>1.1334609960934753E-3</v>
          </cell>
          <cell r="H479">
            <v>3.4264556915389159E-4</v>
          </cell>
          <cell r="I479">
            <v>3.0647471029363738E-4</v>
          </cell>
          <cell r="J479">
            <v>2.063707630395317E-4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D480">
            <v>7.6959328989613399E-2</v>
          </cell>
          <cell r="E480">
            <v>6.5421608559318101E-5</v>
          </cell>
          <cell r="F480">
            <v>2.8528298602725501E-5</v>
          </cell>
          <cell r="G480">
            <v>3.1688918824189902E-5</v>
          </cell>
          <cell r="H480">
            <v>6.5655352999267398E-5</v>
          </cell>
          <cell r="I480">
            <v>5.0234205601574598E-5</v>
          </cell>
          <cell r="J480">
            <v>3.0271623784980201E-5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D481">
            <v>7.6959328989613399E-2</v>
          </cell>
          <cell r="E481">
            <v>7.6893169756431248E-2</v>
          </cell>
          <cell r="F481">
            <v>1.0804373253760075E-3</v>
          </cell>
          <cell r="G481">
            <v>2.9410221153090832E-4</v>
          </cell>
          <cell r="H481">
            <v>1.1629120371950061E-4</v>
          </cell>
          <cell r="I481">
            <v>9.3763436416365994E-5</v>
          </cell>
          <cell r="J481">
            <v>5.7150616157768599E-5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G482">
            <v>1.9618258101265499E-4</v>
          </cell>
          <cell r="H482">
            <v>5.2957386792973197E-4</v>
          </cell>
          <cell r="I482">
            <v>2.02290933984158E-2</v>
          </cell>
          <cell r="J482">
            <v>1.8946098674539501E-5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G483">
            <v>1.9618258101265499E-4</v>
          </cell>
          <cell r="H483">
            <v>6.4155976071545091E-4</v>
          </cell>
          <cell r="I483">
            <v>2.0536777978268982E-2</v>
          </cell>
          <cell r="J483">
            <v>5.1441949282301364E-5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D484">
            <v>72.708169056255471</v>
          </cell>
          <cell r="E484">
            <v>73.852692481414579</v>
          </cell>
          <cell r="F484">
            <v>76.069980823743293</v>
          </cell>
          <cell r="G484">
            <v>76.724065443084726</v>
          </cell>
          <cell r="H484">
            <v>76.894773183541574</v>
          </cell>
          <cell r="I484">
            <v>77.492549710176206</v>
          </cell>
          <cell r="J484">
            <v>78.398573496295128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F485">
            <v>4.214134030338202E-5</v>
          </cell>
          <cell r="G485">
            <v>3.4737035938602269E-5</v>
          </cell>
          <cell r="H485">
            <v>5.8509074693651429E-3</v>
          </cell>
          <cell r="I485">
            <v>1.3887515048118817E-3</v>
          </cell>
          <cell r="J485">
            <v>0.5124079906687371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D486">
            <v>61.718431237435446</v>
          </cell>
          <cell r="E486">
            <v>57.987765273221839</v>
          </cell>
          <cell r="F486">
            <v>60.26386884141521</v>
          </cell>
          <cell r="G486">
            <v>51.956336582777546</v>
          </cell>
          <cell r="H486">
            <v>45.552094753355796</v>
          </cell>
          <cell r="I486">
            <v>38.341144898553665</v>
          </cell>
          <cell r="J486">
            <v>34.932913505470253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D487">
            <v>1.1081275654045448</v>
          </cell>
          <cell r="E487">
            <v>1.400792208682482</v>
          </cell>
          <cell r="F487">
            <v>1.4114653683815741</v>
          </cell>
          <cell r="G487">
            <v>3.5788258029449476</v>
          </cell>
          <cell r="H487">
            <v>6.9070211858881114</v>
          </cell>
          <cell r="I487">
            <v>6.9124187561511956</v>
          </cell>
          <cell r="J487">
            <v>6.9105671573081677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E488">
            <v>4.0436309524502736</v>
          </cell>
          <cell r="F488">
            <v>4.0436761022148788</v>
          </cell>
          <cell r="G488">
            <v>10.402536674987299</v>
          </cell>
          <cell r="H488">
            <v>13.644950686147059</v>
          </cell>
          <cell r="I488">
            <v>21.626840386251459</v>
          </cell>
          <cell r="J488">
            <v>25.328986343422567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D489">
            <v>9.8139210004818462</v>
          </cell>
          <cell r="E489">
            <v>10.335084619995596</v>
          </cell>
          <cell r="F489">
            <v>10.264879424894945</v>
          </cell>
          <cell r="G489">
            <v>10.334893186307763</v>
          </cell>
          <cell r="H489">
            <v>10.334546217409903</v>
          </cell>
          <cell r="I489">
            <v>10.298066291465359</v>
          </cell>
          <cell r="J489">
            <v>10.27607224915084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D490">
            <v>6.7689252933661903E-2</v>
          </cell>
          <cell r="E490">
            <v>8.5541092761329096E-2</v>
          </cell>
          <cell r="F490">
            <v>8.6203058699005991E-2</v>
          </cell>
          <cell r="G490">
            <v>0.45156006258181552</v>
          </cell>
          <cell r="H490">
            <v>0.4505123274450753</v>
          </cell>
          <cell r="I490">
            <v>0.31287569407844507</v>
          </cell>
          <cell r="J490">
            <v>0.43785590915367062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E491">
            <v>2.1828760359591761E-4</v>
          </cell>
          <cell r="F491">
            <v>2.0286500809231717E-3</v>
          </cell>
          <cell r="G491">
            <v>2.7270468992761547E-3</v>
          </cell>
          <cell r="H491">
            <v>2.7957108313850128E-3</v>
          </cell>
          <cell r="I491">
            <v>2.5241914105639555E-3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E492">
            <v>1.7869374670999535E-4</v>
          </cell>
          <cell r="F492">
            <v>1.0711620089108927E-3</v>
          </cell>
          <cell r="G492">
            <v>8.430153115491179E-4</v>
          </cell>
          <cell r="H492">
            <v>1.2398168629754848E-3</v>
          </cell>
          <cell r="I492">
            <v>1.0001112058684238E-3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E493">
            <v>3.9698135030591256E-4</v>
          </cell>
          <cell r="F493">
            <v>3.0912047676265441E-3</v>
          </cell>
          <cell r="G493">
            <v>3.5700622108252706E-3</v>
          </cell>
          <cell r="H493">
            <v>4.0355276943605002E-3</v>
          </cell>
          <cell r="I493">
            <v>3.5243026164323813E-3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F494">
            <v>1.536785501972448E-2</v>
          </cell>
          <cell r="G494">
            <v>3.5612008324686369E-2</v>
          </cell>
          <cell r="H494">
            <v>4.8534978397032726E-2</v>
          </cell>
          <cell r="I494">
            <v>6.1089465144295078E-2</v>
          </cell>
          <cell r="J494">
            <v>6.1438215507430942E-2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F495">
            <v>1.5383222874744201E-2</v>
          </cell>
          <cell r="G495">
            <v>3.5647620333011033E-2</v>
          </cell>
          <cell r="H495">
            <v>4.8583513375429724E-2</v>
          </cell>
          <cell r="I495">
            <v>6.1150554609439356E-2</v>
          </cell>
          <cell r="J495">
            <v>6.1499653722938377E-2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F496">
            <v>1.5394957850421654E-2</v>
          </cell>
          <cell r="G496">
            <v>3.5636647763449075E-2</v>
          </cell>
          <cell r="H496">
            <v>4.8553390366204693E-2</v>
          </cell>
          <cell r="I496">
            <v>6.1105906767856009E-2</v>
          </cell>
          <cell r="J496">
            <v>6.1456177297576513E-2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D497">
            <v>2.8423407257954101E-5</v>
          </cell>
          <cell r="E497">
            <v>1.5792111891872399E-5</v>
          </cell>
          <cell r="F497">
            <v>5.5299460789494E-3</v>
          </cell>
          <cell r="G497">
            <v>6.4536622935091898E-3</v>
          </cell>
          <cell r="H497">
            <v>4.2418646657758699E-3</v>
          </cell>
          <cell r="I497">
            <v>9.9236396987055307E-3</v>
          </cell>
          <cell r="J497">
            <v>1.1158726757415799E-2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D498">
            <v>2.8423407257954101E-5</v>
          </cell>
          <cell r="E498">
            <v>9.0651959235039513E-7</v>
          </cell>
          <cell r="F498">
            <v>5.5217663284028613E-3</v>
          </cell>
          <cell r="G498">
            <v>1.1953186197734889E-2</v>
          </cell>
          <cell r="H498">
            <v>1.6113592326027937E-2</v>
          </cell>
          <cell r="I498">
            <v>1.9408137651654323E-2</v>
          </cell>
          <cell r="J498">
            <v>2.0060814604750551E-2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D499">
            <v>0.43674755453192288</v>
          </cell>
          <cell r="E499">
            <v>0.55207065852058268</v>
          </cell>
          <cell r="F499">
            <v>1.4655692646877225</v>
          </cell>
          <cell r="G499">
            <v>1.4655904116700709</v>
          </cell>
          <cell r="H499">
            <v>1.4655921303203623</v>
          </cell>
          <cell r="I499">
            <v>1.4655903959446728</v>
          </cell>
          <cell r="J499">
            <v>1.4655894120813804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D500">
            <v>0.43674755453192288</v>
          </cell>
          <cell r="E500">
            <v>0.55207065852058268</v>
          </cell>
          <cell r="F500">
            <v>1.4655692646877225</v>
          </cell>
          <cell r="G500">
            <v>1.4655904116700709</v>
          </cell>
          <cell r="H500">
            <v>1.4655921303203623</v>
          </cell>
          <cell r="I500">
            <v>1.4655903959446728</v>
          </cell>
          <cell r="J500">
            <v>1.4655894120813804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G501">
            <v>2.8957283398362916E-4</v>
          </cell>
          <cell r="H501">
            <v>6.8566209297745676E-4</v>
          </cell>
          <cell r="I501">
            <v>5.8249115478058589E-4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G502">
            <v>3.5065362717621388E-4</v>
          </cell>
          <cell r="H502">
            <v>5.3390852228104657E-4</v>
          </cell>
          <cell r="I502">
            <v>4.3947494856912622E-4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G503">
            <v>6.3518357179132099E-4</v>
          </cell>
          <cell r="H503">
            <v>1.2040144026939539E-3</v>
          </cell>
          <cell r="I503">
            <v>1.0129597043745393E-3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E504">
            <v>2.0913414011849902E-3</v>
          </cell>
          <cell r="F504">
            <v>2.3500318613880098</v>
          </cell>
          <cell r="G504">
            <v>3.1088591617623802</v>
          </cell>
          <cell r="H504">
            <v>2.9773483935099598</v>
          </cell>
          <cell r="I504">
            <v>2.18797773361708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E505">
            <v>2.5420533766099761E-5</v>
          </cell>
          <cell r="F505">
            <v>3.0274170151081633E-2</v>
          </cell>
          <cell r="G505">
            <v>4.0049725616636639E-2</v>
          </cell>
          <cell r="H505">
            <v>3.8355544597141154E-2</v>
          </cell>
          <cell r="I505">
            <v>2.8186515801185121E-2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E506">
            <v>2.8376409785413658E-5</v>
          </cell>
          <cell r="F506">
            <v>3.1886456735251069E-2</v>
          </cell>
          <cell r="G506">
            <v>4.218262091943531E-2</v>
          </cell>
          <cell r="H506">
            <v>4.0398214294572118E-2</v>
          </cell>
          <cell r="I506">
            <v>2.9687621894397286E-2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  <cell r="E507">
            <v>2.8554261112767799E-5</v>
          </cell>
          <cell r="F507">
            <v>1.1620089748166E-2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E508">
            <v>2.8554261112767799E-5</v>
          </cell>
          <cell r="F508">
            <v>1.1642391878083691E-2</v>
          </cell>
          <cell r="G508">
            <v>1.1637396558891549E-2</v>
          </cell>
          <cell r="H508">
            <v>1.1626908241579624E-2</v>
          </cell>
          <cell r="I508">
            <v>2.0581412222957225E-3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D509">
            <v>1523.50222637559</v>
          </cell>
          <cell r="E509">
            <v>1503.30480301278</v>
          </cell>
          <cell r="F509">
            <v>1236.23660250837</v>
          </cell>
          <cell r="G509">
            <v>832.88324273552303</v>
          </cell>
          <cell r="H509">
            <v>524.08798589766195</v>
          </cell>
          <cell r="I509">
            <v>281.43598655402599</v>
          </cell>
          <cell r="J509">
            <v>170.99458630325901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D510">
            <v>27.23125615884145</v>
          </cell>
          <cell r="E510">
            <v>28.488350626999114</v>
          </cell>
          <cell r="F510">
            <v>23.016196602812368</v>
          </cell>
          <cell r="G510">
            <v>15.275557379310264</v>
          </cell>
          <cell r="H510">
            <v>9.7439903872584228</v>
          </cell>
          <cell r="I510">
            <v>4.9742558950242186</v>
          </cell>
          <cell r="J510">
            <v>3.0216164949322177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G511">
            <v>2.8001240827495318E-3</v>
          </cell>
          <cell r="H511">
            <v>2.4275122042286602E-3</v>
          </cell>
          <cell r="I511">
            <v>1.0095913541342426E-3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D512">
            <v>27.012450822262196</v>
          </cell>
          <cell r="E512">
            <v>26.654340478949969</v>
          </cell>
          <cell r="F512">
            <v>21.919088696956848</v>
          </cell>
          <cell r="G512">
            <v>14.767433381835515</v>
          </cell>
          <cell r="H512">
            <v>9.2923401754904535</v>
          </cell>
          <cell r="I512">
            <v>4.9899997615962004</v>
          </cell>
          <cell r="J512">
            <v>3.0318189060861531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D513">
            <v>0.30579884091181109</v>
          </cell>
          <cell r="E513">
            <v>1.925019590993795</v>
          </cell>
          <cell r="F513">
            <v>1.1706358983655436</v>
          </cell>
          <cell r="G513">
            <v>0.55699293390914051</v>
          </cell>
          <cell r="H513">
            <v>0.48282859333763167</v>
          </cell>
          <cell r="I513">
            <v>2.1186074168799137E-4</v>
          </cell>
          <cell r="J513">
            <v>5.4403017750057612E-4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G514">
            <v>2.7968592778135127E-3</v>
          </cell>
          <cell r="H514">
            <v>2.4238256647111807E-3</v>
          </cell>
          <cell r="I514">
            <v>1.0072935301364703E-3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D515">
            <v>1.86367777859949E-6</v>
          </cell>
          <cell r="E515">
            <v>2.31090115770263E-7</v>
          </cell>
          <cell r="F515">
            <v>3.1986753179846599E-7</v>
          </cell>
          <cell r="G515">
            <v>5.7759081762312998E-7</v>
          </cell>
          <cell r="H515">
            <v>8.5422469461040097E-7</v>
          </cell>
          <cell r="I515">
            <v>5.9829352008949396E-7</v>
          </cell>
          <cell r="J515">
            <v>1.1020413972182699E-6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D516">
            <v>2.2350540653029189</v>
          </cell>
          <cell r="E516">
            <v>2.2350542963930344</v>
          </cell>
          <cell r="F516">
            <v>2.2350546162605665</v>
          </cell>
          <cell r="G516">
            <v>2.2350551938513838</v>
          </cell>
          <cell r="H516">
            <v>2.2350560480760784</v>
          </cell>
          <cell r="I516">
            <v>2.2350566463695989</v>
          </cell>
          <cell r="J516">
            <v>1.1208960492747158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D517">
            <v>0.62579824910803716</v>
          </cell>
          <cell r="E517">
            <v>0.73757751851636921</v>
          </cell>
          <cell r="F517">
            <v>0.73634039967949361</v>
          </cell>
          <cell r="G517">
            <v>0.73430551199156069</v>
          </cell>
          <cell r="H517">
            <v>0.73277565445579596</v>
          </cell>
          <cell r="I517">
            <v>0.73073471971034043</v>
          </cell>
          <cell r="J517">
            <v>0.72669130442176155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D518">
            <v>0.62579824910803716</v>
          </cell>
          <cell r="E518">
            <v>0.73757751851636921</v>
          </cell>
          <cell r="F518">
            <v>0.73634039967949361</v>
          </cell>
          <cell r="G518">
            <v>0.73430551199156069</v>
          </cell>
          <cell r="H518">
            <v>0.73277565445579596</v>
          </cell>
          <cell r="I518">
            <v>0.73073471971034043</v>
          </cell>
          <cell r="J518">
            <v>0.72669130442176155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D519">
            <v>5.3111367546158688</v>
          </cell>
          <cell r="E519">
            <v>6.2669476950139451</v>
          </cell>
          <cell r="F519">
            <v>5.8298606317055262</v>
          </cell>
          <cell r="G519">
            <v>5.8968661235196089</v>
          </cell>
          <cell r="H519">
            <v>6.379521124262574</v>
          </cell>
          <cell r="I519">
            <v>6.0180385666292002</v>
          </cell>
          <cell r="J519">
            <v>6.5386588555626544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D520">
            <v>9.0019267027387677</v>
          </cell>
          <cell r="E520">
            <v>10.609956594267411</v>
          </cell>
          <cell r="F520">
            <v>9.8532855747135706</v>
          </cell>
          <cell r="G520">
            <v>9.9385384104263128</v>
          </cell>
          <cell r="H520">
            <v>10.721884242458112</v>
          </cell>
          <cell r="I520">
            <v>10.08609815636178</v>
          </cell>
          <cell r="J520">
            <v>10.897764759271086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D521">
            <v>5.3111367546158688</v>
          </cell>
          <cell r="E521">
            <v>6.2669476950139451</v>
          </cell>
          <cell r="F521">
            <v>5.8298606317055262</v>
          </cell>
          <cell r="G521">
            <v>5.8968661235196089</v>
          </cell>
          <cell r="H521">
            <v>6.379521124262574</v>
          </cell>
          <cell r="I521">
            <v>6.0180385666292002</v>
          </cell>
          <cell r="J521">
            <v>6.5386588555626544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E522">
            <v>5.2654075770206699E-2</v>
          </cell>
          <cell r="F522">
            <v>4.8074174048250903E-5</v>
          </cell>
          <cell r="G522">
            <v>2.5368062039438899E-5</v>
          </cell>
          <cell r="H522">
            <v>0.25366863364923198</v>
          </cell>
          <cell r="I522">
            <v>9.1330064122079793E-2</v>
          </cell>
          <cell r="J522">
            <v>0.21026669749087901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D523">
            <v>0.28883369534761499</v>
          </cell>
          <cell r="E523">
            <v>0.3414854681706227</v>
          </cell>
          <cell r="F523">
            <v>0.34148869623416606</v>
          </cell>
          <cell r="G523">
            <v>0.34140854971334128</v>
          </cell>
          <cell r="H523">
            <v>0.35548178853254436</v>
          </cell>
          <cell r="I523">
            <v>0.34496476372127066</v>
          </cell>
          <cell r="J523">
            <v>0.38377977844992595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D524">
            <v>7.6420978420686911E-4</v>
          </cell>
          <cell r="E524">
            <v>3.0509187922150345E-4</v>
          </cell>
          <cell r="F524">
            <v>5.2843987254980694E-4</v>
          </cell>
          <cell r="G524">
            <v>3.8848850127819858E-3</v>
          </cell>
          <cell r="H524">
            <v>3.8180438519201769</v>
          </cell>
          <cell r="I524">
            <v>4.0854967206901192</v>
          </cell>
          <cell r="J524">
            <v>3.9399977263934365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D525">
            <v>0.17170452576295389</v>
          </cell>
          <cell r="E525">
            <v>0.16217399866972321</v>
          </cell>
          <cell r="F525">
            <v>1.4326392350468358</v>
          </cell>
          <cell r="G525">
            <v>3.135737766566816</v>
          </cell>
          <cell r="H525">
            <v>3.9236284353059175E-2</v>
          </cell>
          <cell r="I525">
            <v>0.15826329638794392</v>
          </cell>
          <cell r="J525">
            <v>0.22768978633073716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D526">
            <v>0.17246873554716075</v>
          </cell>
          <cell r="E526">
            <v>0.16247909054894485</v>
          </cell>
          <cell r="F526">
            <v>1.4331611035018468</v>
          </cell>
          <cell r="G526">
            <v>3.1396111070305972</v>
          </cell>
          <cell r="H526">
            <v>3.857259546313907</v>
          </cell>
          <cell r="I526">
            <v>4.2437497452987891</v>
          </cell>
          <cell r="J526">
            <v>4.1676875127241697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D527">
            <v>8.9364960631220389E-2</v>
          </cell>
          <cell r="E527">
            <v>8.3318617767999689E-2</v>
          </cell>
          <cell r="F527">
            <v>5.083832149290958E-3</v>
          </cell>
          <cell r="G527">
            <v>7.5935665254164902E-3</v>
          </cell>
          <cell r="H527">
            <v>1.0083305869365466E-2</v>
          </cell>
          <cell r="I527">
            <v>2.7945416653639334E-3</v>
          </cell>
          <cell r="J527">
            <v>2.871776955134517E-3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D528">
            <v>8.9454325591851638E-2</v>
          </cell>
          <cell r="E528">
            <v>8.3401936385767705E-2</v>
          </cell>
          <cell r="F528">
            <v>5.0889159814402488E-3</v>
          </cell>
          <cell r="G528">
            <v>7.6011600919419116E-3</v>
          </cell>
          <cell r="H528">
            <v>1.009338917523483E-2</v>
          </cell>
          <cell r="I528">
            <v>2.7973362070292992E-3</v>
          </cell>
          <cell r="J528">
            <v>2.8746487320896498E-3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D529">
            <v>8.9364195305562846E-2</v>
          </cell>
          <cell r="E529">
            <v>8.3319909255019323E-2</v>
          </cell>
          <cell r="F529">
            <v>5.0895684120635101E-3</v>
          </cell>
          <cell r="G529">
            <v>7.5894381821709732E-3</v>
          </cell>
          <cell r="H529">
            <v>1.008486595629063E-2</v>
          </cell>
          <cell r="I529">
            <v>2.7963662127691315E-3</v>
          </cell>
          <cell r="J529">
            <v>2.8759890058365446E-3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D530">
            <v>1.6046818995105301E-2</v>
          </cell>
          <cell r="E530">
            <v>4.9880770921155001E-5</v>
          </cell>
          <cell r="F530">
            <v>4.1041725054967702E-7</v>
          </cell>
          <cell r="G530">
            <v>6.5831861640709302E-7</v>
          </cell>
          <cell r="H530">
            <v>5.2446084871179803E-4</v>
          </cell>
          <cell r="I530">
            <v>7.1273728605153905E-5</v>
          </cell>
          <cell r="J530">
            <v>2.7167514110450799E-4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D531">
            <v>1.6046818995105301E-2</v>
          </cell>
          <cell r="E531">
            <v>1.6096699766026401E-2</v>
          </cell>
          <cell r="F531">
            <v>1.6097110183276999E-2</v>
          </cell>
          <cell r="G531">
            <v>1.60977685018934E-2</v>
          </cell>
          <cell r="H531">
            <v>4.7125797170579804E-3</v>
          </cell>
          <cell r="I531">
            <v>5.9625689381210601E-4</v>
          </cell>
          <cell r="J531">
            <v>5.4524500916899301E-4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1.1732459724011095E-4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7.2249709376631872E-4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8.3982169100643017E-4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4.4358817159207797E-5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4.4358817159207797E-5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D537">
            <v>1.4661699091132996E-5</v>
          </cell>
          <cell r="E537">
            <v>1.5938176377534351E-4</v>
          </cell>
          <cell r="F537">
            <v>3.8956516982723223E-5</v>
          </cell>
          <cell r="G537">
            <v>3.9237643714060412E-5</v>
          </cell>
          <cell r="H537">
            <v>4.4599499689891764E-5</v>
          </cell>
          <cell r="I537">
            <v>4.5514571997369701E-5</v>
          </cell>
          <cell r="J537">
            <v>1.9813998321424851E-3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D538">
            <v>1.4661699091133023E-5</v>
          </cell>
          <cell r="E538">
            <v>1.5951203750307836E-4</v>
          </cell>
          <cell r="F538">
            <v>3.9006269877975774E-5</v>
          </cell>
          <cell r="G538">
            <v>3.9237643714060338E-5</v>
          </cell>
          <cell r="H538">
            <v>4.464910981190495E-5</v>
          </cell>
          <cell r="I538">
            <v>4.5514571997369681E-5</v>
          </cell>
          <cell r="J538">
            <v>1.9813998321424851E-3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D539">
            <v>1.8959258025862523E-5</v>
          </cell>
          <cell r="E539">
            <v>1.9545504072350709E-4</v>
          </cell>
          <cell r="F539">
            <v>4.7561225586559104E-5</v>
          </cell>
          <cell r="G539">
            <v>4.6127940449977809E-5</v>
          </cell>
          <cell r="H539">
            <v>5.061208830760716E-5</v>
          </cell>
          <cell r="I539">
            <v>4.9765764287914405E-5</v>
          </cell>
          <cell r="J539">
            <v>2.001855766951098E-3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D540">
            <v>1.8959258025862523E-5</v>
          </cell>
          <cell r="E540">
            <v>1.9545504072350709E-4</v>
          </cell>
          <cell r="F540">
            <v>4.7561225586559104E-5</v>
          </cell>
          <cell r="G540">
            <v>4.6127940449977809E-5</v>
          </cell>
          <cell r="H540">
            <v>5.061208830760716E-5</v>
          </cell>
          <cell r="I540">
            <v>4.9765764287914405E-5</v>
          </cell>
          <cell r="J540">
            <v>2.001855766951098E-3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D541">
            <v>1.17829824292538E-3</v>
          </cell>
          <cell r="E541">
            <v>1.0302994309297801E-5</v>
          </cell>
          <cell r="F541">
            <v>7.1075582316650701E-6</v>
          </cell>
          <cell r="G541">
            <v>4.3131313168660598E-6</v>
          </cell>
          <cell r="H541">
            <v>2.77016593325464E-4</v>
          </cell>
          <cell r="I541">
            <v>5.4275709252638905E-4</v>
          </cell>
          <cell r="J541">
            <v>6.9756770826288504E-4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D542">
            <v>1.17829824292538E-3</v>
          </cell>
          <cell r="E542">
            <v>1.1863703989736212E-3</v>
          </cell>
          <cell r="F542">
            <v>1.1905012892617301E-3</v>
          </cell>
          <cell r="G542">
            <v>1.1899733654122948E-3</v>
          </cell>
          <cell r="H542">
            <v>1.4609472280411072E-3</v>
          </cell>
          <cell r="I542">
            <v>1.2315511924597619E-3</v>
          </cell>
          <cell r="J542">
            <v>1.4526305443625009E-3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5.0782421035585387E-3</v>
          </cell>
          <cell r="I543">
            <v>1.4467292093011317E-3</v>
          </cell>
          <cell r="J543">
            <v>0.28640520337652559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2.4908315908467823E-3</v>
          </cell>
          <cell r="I544">
            <v>1.0689311816721979E-3</v>
          </cell>
          <cell r="J544">
            <v>8.319861087480912E-2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7.5484429472553764E-3</v>
          </cell>
          <cell r="I545">
            <v>2.4946843259341742E-3</v>
          </cell>
          <cell r="J545">
            <v>0.36960333631919551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D546">
            <v>2654.3921616417301</v>
          </cell>
          <cell r="E546">
            <v>2592.8969658627502</v>
          </cell>
          <cell r="F546">
            <v>2507.4053592812502</v>
          </cell>
          <cell r="G546">
            <v>2053.1520201544499</v>
          </cell>
          <cell r="H546">
            <v>1518.07038355842</v>
          </cell>
          <cell r="I546">
            <v>1028.01969901388</v>
          </cell>
          <cell r="J546">
            <v>368.184277167461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D547">
            <v>47.222551188978848</v>
          </cell>
          <cell r="E547">
            <v>48.283050076204425</v>
          </cell>
          <cell r="F547">
            <v>45.867389038140168</v>
          </cell>
          <cell r="G547">
            <v>37.036389423799449</v>
          </cell>
          <cell r="H547">
            <v>27.651119910301048</v>
          </cell>
          <cell r="I547">
            <v>18.169391514484559</v>
          </cell>
          <cell r="J547">
            <v>6.5077824930332975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G548">
            <v>3.2350662536503086E-3</v>
          </cell>
          <cell r="H548">
            <v>4.0276129375689087E-3</v>
          </cell>
          <cell r="I548">
            <v>1.9031200743401698E-3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D549">
            <v>47.063690809250602</v>
          </cell>
          <cell r="E549">
            <v>45.973350458559359</v>
          </cell>
          <cell r="F549">
            <v>44.457541831227729</v>
          </cell>
          <cell r="G549">
            <v>36.403404612667472</v>
          </cell>
          <cell r="H549">
            <v>26.916141552454199</v>
          </cell>
          <cell r="I549">
            <v>18.227299627905577</v>
          </cell>
          <cell r="J549">
            <v>6.5280900206996746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D550">
            <v>0.30971846675482689</v>
          </cell>
          <cell r="E550">
            <v>2.4639455951899416</v>
          </cell>
          <cell r="F550">
            <v>1.5563760663869255</v>
          </cell>
          <cell r="G550">
            <v>0.75138292208649105</v>
          </cell>
          <cell r="H550">
            <v>0.82337815547051685</v>
          </cell>
          <cell r="I550">
            <v>2.1381285111929493E-4</v>
          </cell>
          <cell r="J550">
            <v>4.8236176072884889E-4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G551">
            <v>3.2338205245184483E-3</v>
          </cell>
          <cell r="H551">
            <v>4.0260456250525876E-3</v>
          </cell>
          <cell r="I551">
            <v>1.9017291425606022E-3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D552">
            <v>6.0533818816774099E-7</v>
          </cell>
          <cell r="E552">
            <v>1.44379395151768E-7</v>
          </cell>
          <cell r="F552">
            <v>1.84229129981214E-7</v>
          </cell>
          <cell r="G552">
            <v>1.56454585760582E-7</v>
          </cell>
          <cell r="H552">
            <v>2.3360623883009001E-7</v>
          </cell>
          <cell r="I552">
            <v>3.0907336245141702E-7</v>
          </cell>
          <cell r="J552">
            <v>5.4579739438320702E-7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D553">
            <v>3.0972406127341081</v>
          </cell>
          <cell r="E553">
            <v>3.0972407571135032</v>
          </cell>
          <cell r="F553">
            <v>3.0972409413426334</v>
          </cell>
          <cell r="G553">
            <v>3.0972410977972191</v>
          </cell>
          <cell r="H553">
            <v>3.0972413314034579</v>
          </cell>
          <cell r="I553">
            <v>3.0972416404768204</v>
          </cell>
          <cell r="J553">
            <v>1.5532844269145147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  <cell r="E554">
            <v>8.6596954272516262E-4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  <cell r="E555">
            <v>8.6596954272516262E-4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  <cell r="E556">
            <v>8.7471670982339634E-4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E557">
            <v>1.8017677021628099E-4</v>
          </cell>
          <cell r="F557">
            <v>4.3794003045146502E-4</v>
          </cell>
          <cell r="G557">
            <v>3.4942546121774498E-4</v>
          </cell>
          <cell r="H557">
            <v>3.6909874309192902E-4</v>
          </cell>
          <cell r="I557">
            <v>2.84594561194045E-4</v>
          </cell>
          <cell r="J557">
            <v>1.45165795482061E-5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E558">
            <v>1.8017677021628099E-4</v>
          </cell>
          <cell r="F558">
            <v>5.2278827481881641E-4</v>
          </cell>
          <cell r="G558">
            <v>5.8420363769654698E-4</v>
          </cell>
          <cell r="H558">
            <v>6.3322677921103291E-4</v>
          </cell>
          <cell r="I558">
            <v>4.8585457776102796E-4</v>
          </cell>
          <cell r="J558">
            <v>3.7997045608612003E-5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D559">
            <v>0.95892019112172933</v>
          </cell>
          <cell r="E559">
            <v>1.105776930551301</v>
          </cell>
          <cell r="F559">
            <v>1.10572982967029</v>
          </cell>
          <cell r="G559">
            <v>1.1050195303063153</v>
          </cell>
          <cell r="H559">
            <v>2.1893881674400922E-3</v>
          </cell>
          <cell r="I559">
            <v>1.6738926757394463E-3</v>
          </cell>
          <cell r="J559">
            <v>1.0861104151749924E-3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D560">
            <v>4.5074732393034662E-4</v>
          </cell>
          <cell r="E560">
            <v>1.7500738644416912E-4</v>
          </cell>
          <cell r="F560">
            <v>2.2219719968765122E-4</v>
          </cell>
          <cell r="G560">
            <v>9.3778172890603975E-4</v>
          </cell>
          <cell r="H560">
            <v>1.1037806921866691</v>
          </cell>
          <cell r="I560">
            <v>1.1042956564632402</v>
          </cell>
          <cell r="J560">
            <v>1.104870824098656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D561">
            <v>0.95937093844566002</v>
          </cell>
          <cell r="E561">
            <v>1.1059519379377449</v>
          </cell>
          <cell r="F561">
            <v>1.1059495448661352</v>
          </cell>
          <cell r="G561">
            <v>1.1059490368898082</v>
          </cell>
          <cell r="H561">
            <v>1.1059497944277683</v>
          </cell>
          <cell r="I561">
            <v>1.1059505020024332</v>
          </cell>
          <cell r="J561">
            <v>1.1059386051450713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G562">
            <v>1.14321677459682E-4</v>
          </cell>
          <cell r="H562">
            <v>1.7457125655588899E-4</v>
          </cell>
          <cell r="I562">
            <v>9.5876732637220004E-5</v>
          </cell>
          <cell r="J562">
            <v>7.7139609934422601E-6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G563">
            <v>1.14321677459682E-4</v>
          </cell>
          <cell r="H563">
            <v>2.3106157375305436E-4</v>
          </cell>
          <cell r="I563">
            <v>1.74782455760006E-4</v>
          </cell>
          <cell r="J563">
            <v>1.967770076680901E-5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F564">
            <v>0.10162611587546373</v>
          </cell>
          <cell r="G564">
            <v>0.11599519685181127</v>
          </cell>
          <cell r="H564">
            <v>0.10715043993965365</v>
          </cell>
          <cell r="I564">
            <v>8.8121944895626178E-2</v>
          </cell>
          <cell r="J564">
            <v>6.2185763804147268E-2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F565">
            <v>0.10172774199133922</v>
          </cell>
          <cell r="G565">
            <v>0.1161111920486631</v>
          </cell>
          <cell r="H565">
            <v>0.10725759037959333</v>
          </cell>
          <cell r="I565">
            <v>8.8210066840521739E-2</v>
          </cell>
          <cell r="J565">
            <v>6.2247949567951433E-2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F566">
            <v>0.10164565007555293</v>
          </cell>
          <cell r="G566">
            <v>0.11601535656072871</v>
          </cell>
          <cell r="H566">
            <v>0.10716489282275368</v>
          </cell>
          <cell r="I566">
            <v>8.8132412013401107E-2</v>
          </cell>
          <cell r="J566">
            <v>6.2201134170134495E-2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D567">
            <v>1.61927658815135E-5</v>
          </cell>
          <cell r="E567">
            <v>1.3577196041241801E-5</v>
          </cell>
          <cell r="F567">
            <v>2.2909570625683301E-2</v>
          </cell>
          <cell r="G567">
            <v>3.45311520371076E-5</v>
          </cell>
          <cell r="H567">
            <v>9.3837627331472403E-5</v>
          </cell>
          <cell r="I567">
            <v>1.4753161841895001E-2</v>
          </cell>
          <cell r="J567">
            <v>3.8288597982902499E-3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D568">
            <v>1.61927658815135E-5</v>
          </cell>
          <cell r="E568">
            <v>7.5868234442009737E-7</v>
          </cell>
          <cell r="F568">
            <v>2.2905424508160997E-2</v>
          </cell>
          <cell r="G568">
            <v>2.2905902962980194E-2</v>
          </cell>
          <cell r="H568">
            <v>2.2901414055455156E-2</v>
          </cell>
          <cell r="I568">
            <v>1.8847791393799215E-2</v>
          </cell>
          <cell r="J568">
            <v>1.4529918805080718E-2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E569">
            <v>2.2221211715892105E-5</v>
          </cell>
          <cell r="F569">
            <v>1.7032468513008903E-3</v>
          </cell>
          <cell r="G569">
            <v>2.0631791452884129E-3</v>
          </cell>
          <cell r="H569">
            <v>2.1808774945546623E-3</v>
          </cell>
          <cell r="I569">
            <v>2.5644761206675541E-3</v>
          </cell>
          <cell r="J569">
            <v>3.0606306921756761E-3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E570">
            <v>2.1593401171247868E-5</v>
          </cell>
          <cell r="F570">
            <v>6.0482084372997992E-4</v>
          </cell>
          <cell r="G570">
            <v>4.3637059953806692E-4</v>
          </cell>
          <cell r="H570">
            <v>7.1710163901818693E-4</v>
          </cell>
          <cell r="I570">
            <v>6.8437849381225977E-4</v>
          </cell>
          <cell r="J570">
            <v>5.3770838333694695E-4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E571">
            <v>4.1408964002096092E-5</v>
          </cell>
          <cell r="F571">
            <v>2.3080676950308701E-3</v>
          </cell>
          <cell r="G571">
            <v>2.4995497448264798E-3</v>
          </cell>
          <cell r="H571">
            <v>2.8979791335728491E-3</v>
          </cell>
          <cell r="I571">
            <v>3.2488546144798136E-3</v>
          </cell>
          <cell r="J571">
            <v>3.5983390755126229E-3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D572">
            <v>213.78135709555599</v>
          </cell>
          <cell r="E572">
            <v>212.85988573135401</v>
          </cell>
          <cell r="F572">
            <v>0.47000813087823501</v>
          </cell>
          <cell r="G572">
            <v>4.4055941864156303E-2</v>
          </cell>
          <cell r="H572">
            <v>0.114287044657715</v>
          </cell>
          <cell r="I572">
            <v>2.9270061134638301E-3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D573">
            <v>2.7300124583408691</v>
          </cell>
          <cell r="E573">
            <v>2.7182451632948927</v>
          </cell>
          <cell r="F573">
            <v>6.0020577577564859E-3</v>
          </cell>
          <cell r="G573">
            <v>5.6259943236925249E-4</v>
          </cell>
          <cell r="H573">
            <v>1.459458673017327E-3</v>
          </cell>
          <cell r="I573">
            <v>3.7378203899344037E-5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D574">
            <v>2.7763812609812386</v>
          </cell>
          <cell r="E574">
            <v>2.7644141004072029</v>
          </cell>
          <cell r="F574">
            <v>6.1040016997173426E-3</v>
          </cell>
          <cell r="G574">
            <v>5.7215508914488719E-4</v>
          </cell>
          <cell r="H574">
            <v>1.4842473332170856E-3</v>
          </cell>
          <cell r="I574">
            <v>3.80130664086212E-5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F575">
            <v>2.7557144724168402E-4</v>
          </cell>
          <cell r="G575">
            <v>2.6935947307382831E-4</v>
          </cell>
          <cell r="H575">
            <v>5.9586530742610801E-4</v>
          </cell>
          <cell r="I575">
            <v>6.1292713646385094E-4</v>
          </cell>
          <cell r="J575">
            <v>1.9501908876560477E-3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F576">
            <v>2.7557144724168402E-4</v>
          </cell>
          <cell r="G576">
            <v>2.6935947307382831E-4</v>
          </cell>
          <cell r="H576">
            <v>5.9586530742610801E-4</v>
          </cell>
          <cell r="I576">
            <v>6.1292713646385094E-4</v>
          </cell>
          <cell r="J576">
            <v>1.9501908876560477E-3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D577">
            <v>3.9815037704200003E-8</v>
          </cell>
          <cell r="E577">
            <v>6.7415138603290795E-8</v>
          </cell>
          <cell r="F577">
            <v>1.8652232831152399E-5</v>
          </cell>
          <cell r="G577">
            <v>2.3194250553251199E-7</v>
          </cell>
          <cell r="H577">
            <v>2.38553032069663E-5</v>
          </cell>
          <cell r="I577">
            <v>1.72719288497203E-6</v>
          </cell>
          <cell r="J577">
            <v>9.3495905331040995E-5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D578">
            <v>3.9815037704200003E-8</v>
          </cell>
          <cell r="E578">
            <v>-4.67636501291496E-7</v>
          </cell>
          <cell r="F578">
            <v>1.8671734570608874E-5</v>
          </cell>
          <cell r="G578">
            <v>1.8882334280454706E-5</v>
          </cell>
          <cell r="H578">
            <v>4.2636170136554669E-5</v>
          </cell>
          <cell r="I578">
            <v>4.4326722282346673E-5</v>
          </cell>
          <cell r="J578">
            <v>1.379982138402031E-4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D579">
            <v>0.40801788835220826</v>
          </cell>
          <cell r="E579">
            <v>0.47088026864004939</v>
          </cell>
          <cell r="F579">
            <v>1.2192242134611616E-2</v>
          </cell>
          <cell r="G579">
            <v>1.5707770073795441E-2</v>
          </cell>
          <cell r="H579">
            <v>1.6440563931916504E-2</v>
          </cell>
          <cell r="I579">
            <v>1.6385059318272579E-2</v>
          </cell>
          <cell r="J579">
            <v>1.4812440932617486E-2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D580">
            <v>0.40801788835220826</v>
          </cell>
          <cell r="E580">
            <v>0.47088026864004939</v>
          </cell>
          <cell r="F580">
            <v>1.2192242134611616E-2</v>
          </cell>
          <cell r="G580">
            <v>1.5707770073795441E-2</v>
          </cell>
          <cell r="H580">
            <v>1.6440563931916504E-2</v>
          </cell>
          <cell r="I580">
            <v>1.6385059318272579E-2</v>
          </cell>
          <cell r="J580">
            <v>1.4812440932617486E-2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D581">
            <v>2.8907643215385102E-5</v>
          </cell>
          <cell r="E581">
            <v>9.1246809688328694E-3</v>
          </cell>
          <cell r="F581">
            <v>6.1676353428253698E-7</v>
          </cell>
          <cell r="G581">
            <v>1.1311374542729199E-6</v>
          </cell>
          <cell r="H581">
            <v>3.0523802386716898E-6</v>
          </cell>
          <cell r="I581">
            <v>2.5245191218460999E-3</v>
          </cell>
          <cell r="J581">
            <v>4.8120637761411199E-4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D582">
            <v>5.9283829060253687E-2</v>
          </cell>
          <cell r="E582">
            <v>6.8408407140191571E-2</v>
          </cell>
          <cell r="F582">
            <v>6.8406983359458634E-2</v>
          </cell>
          <cell r="G582">
            <v>6.8407635124685076E-2</v>
          </cell>
          <cell r="H582">
            <v>2.0021561363288014E-2</v>
          </cell>
          <cell r="I582">
            <v>2.5277924503899242E-3</v>
          </cell>
          <cell r="J582">
            <v>2.3142600428846852E-3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G583">
            <v>1.6310238609986699E-6</v>
          </cell>
          <cell r="H583">
            <v>0.963875895891111</v>
          </cell>
          <cell r="I583">
            <v>0.61850753961385296</v>
          </cell>
          <cell r="J583">
            <v>0.60366379738179299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G584">
            <v>1.6310238609986699E-6</v>
          </cell>
          <cell r="H584">
            <v>0.96387643706783943</v>
          </cell>
          <cell r="I584">
            <v>1.5823823486926778</v>
          </cell>
          <cell r="J584">
            <v>1.4602476707498067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E585">
            <v>0.85060118101318605</v>
          </cell>
          <cell r="F585">
            <v>0.85061067852755978</v>
          </cell>
          <cell r="G585">
            <v>0.97003145062932994</v>
          </cell>
          <cell r="H585">
            <v>0.9700318396486135</v>
          </cell>
          <cell r="I585">
            <v>0.97002994017315269</v>
          </cell>
          <cell r="J585">
            <v>0.97003047610502646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E586">
            <v>4.0436309524502736</v>
          </cell>
          <cell r="F586">
            <v>4.0436761022148788</v>
          </cell>
          <cell r="G586">
            <v>4.6113846138125609</v>
          </cell>
          <cell r="H586">
            <v>4.6113864631521251</v>
          </cell>
          <cell r="I586">
            <v>4.6113774333295288</v>
          </cell>
          <cell r="J586">
            <v>4.6113799810696001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E587">
            <v>4.8942321334634578</v>
          </cell>
          <cell r="F587">
            <v>4.8942867807424415</v>
          </cell>
          <cell r="G587">
            <v>5.5814160644418935</v>
          </cell>
          <cell r="H587">
            <v>5.5814183028007394</v>
          </cell>
          <cell r="I587">
            <v>5.5814073735026772</v>
          </cell>
          <cell r="J587">
            <v>5.5814104571746226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E588">
            <v>0.26617295188991702</v>
          </cell>
          <cell r="F588">
            <v>5.8248494269782799E-6</v>
          </cell>
          <cell r="G588">
            <v>3.7360403547642002E-2</v>
          </cell>
          <cell r="H588">
            <v>0.12980077371080201</v>
          </cell>
          <cell r="I588">
            <v>0.14822033301304599</v>
          </cell>
          <cell r="J588">
            <v>0.141065151296487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E589">
            <v>0.26617295188991702</v>
          </cell>
          <cell r="F589">
            <v>0.26617877673934398</v>
          </cell>
          <cell r="G589">
            <v>0.30353918028698601</v>
          </cell>
          <cell r="H589">
            <v>0.30353906342796</v>
          </cell>
          <cell r="I589">
            <v>0.30353878257863598</v>
          </cell>
          <cell r="J589">
            <v>0.30353864890398302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G590">
            <v>1.64721893340825E-4</v>
          </cell>
          <cell r="H590">
            <v>2.6571463691558701E-4</v>
          </cell>
          <cell r="I590">
            <v>1.6999325748283801E-4</v>
          </cell>
          <cell r="J590">
            <v>2.10367613768594E-5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G591">
            <v>1.64721893340825E-4</v>
          </cell>
          <cell r="H591">
            <v>3.3307209220717312E-4</v>
          </cell>
          <cell r="I591">
            <v>2.6430281677942698E-4</v>
          </cell>
          <cell r="J591">
            <v>4.6687349911041015E-5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D592">
            <v>6.7400881766230614E-5</v>
          </cell>
          <cell r="E592">
            <v>1.3744332194066009E-4</v>
          </cell>
          <cell r="F592">
            <v>2.6964078624925948E-5</v>
          </cell>
          <cell r="G592">
            <v>2.4063928016562135E-5</v>
          </cell>
          <cell r="H592">
            <v>2.6256012850072312E-5</v>
          </cell>
          <cell r="I592">
            <v>1.8738642605236617E-5</v>
          </cell>
          <cell r="J592">
            <v>1.594826107652607E-5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D593">
            <v>6.7400881766230614E-5</v>
          </cell>
          <cell r="E593">
            <v>1.3744332194066009E-4</v>
          </cell>
          <cell r="F593">
            <v>3.174357161769593E-5</v>
          </cell>
          <cell r="G593">
            <v>2.8034178456912841E-5</v>
          </cell>
          <cell r="H593">
            <v>2.490962326209346E-5</v>
          </cell>
          <cell r="I593">
            <v>2.1749738444175472E-5</v>
          </cell>
          <cell r="J593">
            <v>1.5744650430701405E-5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D594">
            <v>2.1473597506478899E-3</v>
          </cell>
          <cell r="E594">
            <v>1.85012382208927E-5</v>
          </cell>
          <cell r="F594">
            <v>4.1382379256341202E-2</v>
          </cell>
          <cell r="G594">
            <v>3.0706043266140601E-2</v>
          </cell>
          <cell r="H594">
            <v>1.72088565637862E-2</v>
          </cell>
          <cell r="I594">
            <v>6.20337103954436E-2</v>
          </cell>
          <cell r="J594">
            <v>4.1672118721640998E-2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D595">
            <v>2.1473597506478899E-3</v>
          </cell>
          <cell r="E595">
            <v>2.2779926803890259E-5</v>
          </cell>
          <cell r="F595">
            <v>4.1395385970864972E-2</v>
          </cell>
          <cell r="G595">
            <v>7.2078172013752814E-2</v>
          </cell>
          <cell r="H595">
            <v>8.9185811078751578E-2</v>
          </cell>
          <cell r="I595">
            <v>0.10738018490412268</v>
          </cell>
          <cell r="J595">
            <v>9.3867034679723571E-2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G596">
            <v>0.79370609013479287</v>
          </cell>
          <cell r="H596">
            <v>0.87992814036825873</v>
          </cell>
          <cell r="I596">
            <v>0.88012538501820514</v>
          </cell>
          <cell r="J596">
            <v>0.88012511993247144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G597">
            <v>1.2269177227322936</v>
          </cell>
          <cell r="H597">
            <v>1.360200511961978</v>
          </cell>
          <cell r="I597">
            <v>1.3605054144438176</v>
          </cell>
          <cell r="J597">
            <v>1.3605050046720037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G598">
            <v>2.020623812867087</v>
          </cell>
          <cell r="H598">
            <v>2.2401286523302368</v>
          </cell>
          <cell r="I598">
            <v>2.2406307994620231</v>
          </cell>
          <cell r="J598">
            <v>2.2406301246044751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G599">
            <v>0.10989313280318901</v>
          </cell>
          <cell r="H599">
            <v>1.1942378737398699E-2</v>
          </cell>
          <cell r="I599">
            <v>3.4858832317523597E-2</v>
          </cell>
          <cell r="J599">
            <v>9.1506716835729598E-2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G600">
            <v>0.10989313280318901</v>
          </cell>
          <cell r="H600">
            <v>0.121835511540588</v>
          </cell>
          <cell r="I600">
            <v>0.121856716284684</v>
          </cell>
          <cell r="J600">
            <v>0.121856502381956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D601">
            <v>1.6157593741541111E-2</v>
          </cell>
          <cell r="E601">
            <v>1.1277077748854571</v>
          </cell>
          <cell r="F601">
            <v>0.66885060140715069</v>
          </cell>
          <cell r="G601">
            <v>2.5139913576596657</v>
          </cell>
          <cell r="H601">
            <v>4.4094691615853447</v>
          </cell>
          <cell r="I601">
            <v>4.9741335056865843</v>
          </cell>
          <cell r="J601">
            <v>6.4142479500906679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D602">
            <v>1.6157593741541111E-2</v>
          </cell>
          <cell r="E602">
            <v>1.1277077748854571</v>
          </cell>
          <cell r="F602">
            <v>0.66885060140715069</v>
          </cell>
          <cell r="G602">
            <v>2.5139913576596657</v>
          </cell>
          <cell r="H602">
            <v>4.4094691615853447</v>
          </cell>
          <cell r="I602">
            <v>4.9741335056865843</v>
          </cell>
          <cell r="J602">
            <v>6.4142479500906679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D603">
            <v>4.5549964355793601E-2</v>
          </cell>
          <cell r="E603">
            <v>4.5549962037140401E-2</v>
          </cell>
          <cell r="F603">
            <v>5.6216239176824495E-7</v>
          </cell>
          <cell r="G603">
            <v>0.112091634265613</v>
          </cell>
          <cell r="H603">
            <v>0.153072297972493</v>
          </cell>
          <cell r="I603">
            <v>4.5623494577353901E-2</v>
          </cell>
          <cell r="J603">
            <v>0.15824136735950001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D604">
            <v>4.5549964355793601E-2</v>
          </cell>
          <cell r="E604">
            <v>9.1099912337645833E-2</v>
          </cell>
          <cell r="F604">
            <v>9.1099189420652663E-2</v>
          </cell>
          <cell r="G604">
            <v>0.20319108447184964</v>
          </cell>
          <cell r="H604">
            <v>0.35626376378280794</v>
          </cell>
          <cell r="I604">
            <v>0.40188739513773392</v>
          </cell>
          <cell r="J604">
            <v>0.51820490452283996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G605">
            <v>2.299875975971172</v>
          </cell>
          <cell r="H605">
            <v>2.2998899919316851</v>
          </cell>
          <cell r="I605">
            <v>2.2999813066942147</v>
          </cell>
          <cell r="J605">
            <v>2.299980574239783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G606">
            <v>4.5642343384424526</v>
          </cell>
          <cell r="H606">
            <v>4.5642621539111632</v>
          </cell>
          <cell r="I606">
            <v>4.5644433732373777</v>
          </cell>
          <cell r="J606">
            <v>4.5644419196400143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G607">
            <v>6.8641103144136215</v>
          </cell>
          <cell r="H607">
            <v>6.8641521458428461</v>
          </cell>
          <cell r="I607">
            <v>6.8644246799315933</v>
          </cell>
          <cell r="J607">
            <v>6.8644224938797969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G608">
            <v>0.37329627012031102</v>
          </cell>
          <cell r="H608">
            <v>8.5646103393489492E-6</v>
          </cell>
          <cell r="I608">
            <v>0.118348902669422</v>
          </cell>
          <cell r="J608">
            <v>0.28742011380649701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G609">
            <v>0.37329627012031102</v>
          </cell>
          <cell r="H609">
            <v>0.37330483473065101</v>
          </cell>
          <cell r="I609">
            <v>0.37331370921749601</v>
          </cell>
          <cell r="J609">
            <v>0.37331350277196701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G610">
            <v>4.8809897325412618E-4</v>
          </cell>
          <cell r="H610">
            <v>1.5434779909001505E-3</v>
          </cell>
          <cell r="I610">
            <v>2.4203107587314463E-3</v>
          </cell>
          <cell r="J610">
            <v>7.2743514624853201E-3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G611">
            <v>4.6485616500392972E-4</v>
          </cell>
          <cell r="H611">
            <v>1.4357934799071163E-3</v>
          </cell>
          <cell r="I611">
            <v>2.2002825079376772E-3</v>
          </cell>
          <cell r="J611">
            <v>6.3255230108568029E-3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G612">
            <v>5.7453274368039803E-5</v>
          </cell>
          <cell r="H612">
            <v>6.5746381085499695E-5</v>
          </cell>
          <cell r="I612">
            <v>2.47329560403837E-5</v>
          </cell>
          <cell r="J612">
            <v>2.6830599950007498E-4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G613">
            <v>5.7453274368039803E-5</v>
          </cell>
          <cell r="H613">
            <v>1.2300066782205607E-4</v>
          </cell>
          <cell r="I613">
            <v>1.4723748210168774E-4</v>
          </cell>
          <cell r="J613">
            <v>3.9509302138321899E-4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D614">
            <v>4.2799978097096325</v>
          </cell>
          <cell r="E614">
            <v>4.4886665390041109</v>
          </cell>
          <cell r="F614">
            <v>0.78889212659420338</v>
          </cell>
          <cell r="G614">
            <v>0.13123572109079965</v>
          </cell>
          <cell r="H614">
            <v>5.9286271954733455E-3</v>
          </cell>
          <cell r="I614">
            <v>1.9629637933128541E-3</v>
          </cell>
          <cell r="J614">
            <v>5.6421796520296529E-4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D615">
            <v>4.5052608523259323</v>
          </cell>
          <cell r="E615">
            <v>4.7249121463201194</v>
          </cell>
          <cell r="F615">
            <v>0.85989305233439772</v>
          </cell>
          <cell r="G615">
            <v>0.14304704151537503</v>
          </cell>
          <cell r="H615">
            <v>6.4622084102642276E-3</v>
          </cell>
          <cell r="I615">
            <v>2.1396321131266047E-3</v>
          </cell>
          <cell r="J615">
            <v>6.1499803575786592E-4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D616">
            <v>1.3549538966379801E-7</v>
          </cell>
          <cell r="E616">
            <v>1.6887009113570502E-2</v>
          </cell>
          <cell r="F616">
            <v>2.4529685848414899E-7</v>
          </cell>
          <cell r="G616">
            <v>4.7896882439955696E-7</v>
          </cell>
          <cell r="H616">
            <v>4.4224740284371603E-6</v>
          </cell>
          <cell r="I616">
            <v>1.9319160370354099E-4</v>
          </cell>
          <cell r="J616">
            <v>3.2181009154648999E-7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D617">
            <v>0.34576943537172267</v>
          </cell>
          <cell r="E617">
            <v>0.36265624592710471</v>
          </cell>
          <cell r="F617">
            <v>0.1153439096283346</v>
          </cell>
          <cell r="G617">
            <v>1.8446548516660999E-2</v>
          </cell>
          <cell r="H617">
            <v>8.1974893205344346E-4</v>
          </cell>
          <cell r="I617">
            <v>1.9709890901473828E-4</v>
          </cell>
          <cell r="J617">
            <v>4.52089033067128E-5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D618">
            <v>6.6447179783538015</v>
          </cell>
          <cell r="E618">
            <v>6.968710945235089</v>
          </cell>
          <cell r="F618">
            <v>2.8158635390147104</v>
          </cell>
          <cell r="G618">
            <v>1.9151837990370384</v>
          </cell>
          <cell r="H618">
            <v>1.7469647775289701</v>
          </cell>
          <cell r="I618">
            <v>1.5824143070066989</v>
          </cell>
          <cell r="J618">
            <v>1.3798291311617539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D619">
            <v>8.4110354156377216</v>
          </cell>
          <cell r="E619">
            <v>8.7988774561049237</v>
          </cell>
          <cell r="F619">
            <v>6.0462294465607238</v>
          </cell>
          <cell r="G619">
            <v>3.9354197864588683</v>
          </cell>
          <cell r="H619">
            <v>3.5135253733153955</v>
          </cell>
          <cell r="I619">
            <v>3.1297306910663756</v>
          </cell>
          <cell r="J619">
            <v>2.6512988840152865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D620">
            <v>1.9689117330224299E-5</v>
          </cell>
          <cell r="E620">
            <v>3.4218508082022502E-2</v>
          </cell>
          <cell r="F620">
            <v>5.0705650210585398E-7</v>
          </cell>
          <cell r="G620">
            <v>1.00579377377495E-6</v>
          </cell>
          <cell r="H620">
            <v>5.3353281316886499E-2</v>
          </cell>
          <cell r="I620">
            <v>5.7675199245851801E-2</v>
          </cell>
          <cell r="J620">
            <v>3.2546592625706097E-2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D621">
            <v>0.43758827789100724</v>
          </cell>
          <cell r="E621">
            <v>0.47180622842026776</v>
          </cell>
          <cell r="F621">
            <v>0.34834514663393978</v>
          </cell>
          <cell r="G621">
            <v>0.2382530241250026</v>
          </cell>
          <cell r="H621">
            <v>0.1237924060980467</v>
          </cell>
          <cell r="I621">
            <v>0.11102757456354992</v>
          </cell>
          <cell r="J621">
            <v>9.6970178706085139E-2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D622">
            <v>6.5822788252485864</v>
          </cell>
          <cell r="E622">
            <v>7.067850112601338</v>
          </cell>
          <cell r="F622">
            <v>6.8690308233319373</v>
          </cell>
          <cell r="G622">
            <v>6.051732852118584</v>
          </cell>
          <cell r="H622">
            <v>6.0837932458962927</v>
          </cell>
          <cell r="I622">
            <v>6.1158540440942133</v>
          </cell>
          <cell r="J622">
            <v>6.1158620070445515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D623">
            <v>7.1200084774534016</v>
          </cell>
          <cell r="E623">
            <v>7.628907724382314</v>
          </cell>
          <cell r="F623">
            <v>7.3906120595616596</v>
          </cell>
          <cell r="G623">
            <v>6.4767586682261511</v>
          </cell>
          <cell r="H623">
            <v>6.4767573807530781</v>
          </cell>
          <cell r="I623">
            <v>6.4767565350642791</v>
          </cell>
          <cell r="J623">
            <v>6.4377494810995239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D624">
            <v>6.5822788252485864</v>
          </cell>
          <cell r="E624">
            <v>7.067850112601338</v>
          </cell>
          <cell r="F624">
            <v>6.8690308233319373</v>
          </cell>
          <cell r="G624">
            <v>6.051732852118584</v>
          </cell>
          <cell r="H624">
            <v>6.0837932458962927</v>
          </cell>
          <cell r="I624">
            <v>6.1158540440942133</v>
          </cell>
          <cell r="J624">
            <v>6.1158620070445515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E625">
            <v>6.8564241672867093E-2</v>
          </cell>
          <cell r="F625">
            <v>0.22526344643075399</v>
          </cell>
          <cell r="G625">
            <v>6.5371903197161796E-2</v>
          </cell>
          <cell r="H625">
            <v>0.320025072081699</v>
          </cell>
          <cell r="I625">
            <v>0.17038639780959</v>
          </cell>
          <cell r="J625">
            <v>0.32411990986904798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D626">
            <v>0.79547229253225304</v>
          </cell>
          <cell r="E626">
            <v>0.57451612021909215</v>
          </cell>
          <cell r="F626">
            <v>0.76313216977537501</v>
          </cell>
          <cell r="G626">
            <v>0.41442973092076607</v>
          </cell>
          <cell r="H626">
            <v>0.534372535595104</v>
          </cell>
          <cell r="I626">
            <v>0.48842904663719644</v>
          </cell>
          <cell r="J626">
            <v>0.52286602965824525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D627">
            <v>1.488474504506879E-2</v>
          </cell>
          <cell r="E627">
            <v>0.82072743425066241</v>
          </cell>
          <cell r="F627">
            <v>0.45802307170947648</v>
          </cell>
          <cell r="G627">
            <v>0.82217787813067755</v>
          </cell>
          <cell r="H627">
            <v>1.4195744491758913</v>
          </cell>
          <cell r="I627">
            <v>2.9189170505370927</v>
          </cell>
          <cell r="J627">
            <v>4.6680807735546326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D628">
            <v>1.488474504506879E-2</v>
          </cell>
          <cell r="E628">
            <v>0.82072743425066241</v>
          </cell>
          <cell r="F628">
            <v>0.45802307170947648</v>
          </cell>
          <cell r="G628">
            <v>0.82217787813067755</v>
          </cell>
          <cell r="H628">
            <v>1.4195744491758913</v>
          </cell>
          <cell r="I628">
            <v>2.9189170505370927</v>
          </cell>
          <cell r="J628">
            <v>4.6680807735546326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D629">
            <v>3.3149840874333897E-2</v>
          </cell>
          <cell r="E629">
            <v>3.31498392333065E-2</v>
          </cell>
          <cell r="F629">
            <v>5.5280514600898104E-7</v>
          </cell>
          <cell r="G629">
            <v>2.11566792801656E-4</v>
          </cell>
          <cell r="H629">
            <v>4.8205657521190999E-2</v>
          </cell>
          <cell r="I629">
            <v>0.121134031223915</v>
          </cell>
          <cell r="J629">
            <v>0.17179500197184999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D630">
            <v>3.3149840874333897E-2</v>
          </cell>
          <cell r="E630">
            <v>6.6299666271053229E-2</v>
          </cell>
          <cell r="F630">
            <v>6.6298955096980222E-2</v>
          </cell>
          <cell r="G630">
            <v>6.6510771008581229E-2</v>
          </cell>
          <cell r="H630">
            <v>0.11471680389968417</v>
          </cell>
          <cell r="I630">
            <v>0.23585097172278377</v>
          </cell>
          <cell r="J630">
            <v>0.37713512264892546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0.28727225622647257</v>
          </cell>
          <cell r="I631">
            <v>0.57456641611794879</v>
          </cell>
          <cell r="J631">
            <v>0.57456596794287718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3.087182342632476</v>
          </cell>
          <cell r="I632">
            <v>6.1746000738427655</v>
          </cell>
          <cell r="J632">
            <v>6.1745952575121308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3.3744545988589487</v>
          </cell>
          <cell r="I633">
            <v>6.7491664899607171</v>
          </cell>
          <cell r="J633">
            <v>6.7491612254550066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0.18351930880872899</v>
          </cell>
          <cell r="I634">
            <v>0.18352604608133699</v>
          </cell>
          <cell r="J634">
            <v>0.156226498138678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0.18351930880872899</v>
          </cell>
          <cell r="I635">
            <v>0.36704535489006501</v>
          </cell>
          <cell r="J635">
            <v>0.36704518832859401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D636">
            <v>0.66393884046038387</v>
          </cell>
          <cell r="E636">
            <v>0.51568661630519774</v>
          </cell>
          <cell r="F636">
            <v>0.39172478154063256</v>
          </cell>
          <cell r="G636">
            <v>3.0395542110874328E-2</v>
          </cell>
          <cell r="H636">
            <v>1.353696767418734E-2</v>
          </cell>
          <cell r="I636">
            <v>5.0308512068740034E-3</v>
          </cell>
          <cell r="J636">
            <v>2.1705384806011221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D637">
            <v>6.0354824202735347E-3</v>
          </cell>
          <cell r="E637">
            <v>4.1527860109624986E-3</v>
          </cell>
          <cell r="F637">
            <v>4.6049143177099234E-3</v>
          </cell>
          <cell r="G637">
            <v>1.4607053316930648E-3</v>
          </cell>
          <cell r="H637">
            <v>3.8889843912753904E-3</v>
          </cell>
          <cell r="I637">
            <v>2.3988083912843752E-3</v>
          </cell>
          <cell r="J637">
            <v>0.12944288368443407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D638">
            <v>0.66997432288065795</v>
          </cell>
          <cell r="E638">
            <v>0.51983940231616066</v>
          </cell>
          <cell r="F638">
            <v>0.39631787155220649</v>
          </cell>
          <cell r="G638">
            <v>3.1844582971297664E-2</v>
          </cell>
          <cell r="H638">
            <v>1.742595206546273E-2</v>
          </cell>
          <cell r="I638">
            <v>7.4296595981583856E-3</v>
          </cell>
          <cell r="J638">
            <v>2.2999813642855562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D639">
            <v>2.3940566356982664</v>
          </cell>
          <cell r="E639">
            <v>0.59041250065820527</v>
          </cell>
          <cell r="F639">
            <v>0.52634159492675481</v>
          </cell>
          <cell r="G639">
            <v>0.30034896967903735</v>
          </cell>
          <cell r="H639">
            <v>0.25568231273488973</v>
          </cell>
          <cell r="I639">
            <v>0.20421252273393978</v>
          </cell>
          <cell r="J639">
            <v>0.13687385206196381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D640">
            <v>2.6236237103542646</v>
          </cell>
          <cell r="E640">
            <v>0.64525956356087977</v>
          </cell>
          <cell r="F640">
            <v>1.0949979902872349</v>
          </cell>
          <cell r="G640">
            <v>0.59204912641152341</v>
          </cell>
          <cell r="H640">
            <v>0.49708698466545365</v>
          </cell>
          <cell r="I640">
            <v>0.39012643846611456</v>
          </cell>
          <cell r="J640">
            <v>0.25606448695978162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D641">
            <v>3.8314763043542403E-6</v>
          </cell>
          <cell r="E641">
            <v>2.6572734584695502E-6</v>
          </cell>
          <cell r="F641">
            <v>2.9268315856413998E-6</v>
          </cell>
          <cell r="G641">
            <v>3.3877422744304901E-6</v>
          </cell>
          <cell r="H641">
            <v>1.19784428220783E-2</v>
          </cell>
          <cell r="I641">
            <v>1.16426763620341E-2</v>
          </cell>
          <cell r="J641">
            <v>2.24251444610343E-4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D642">
            <v>0.18499187982774637</v>
          </cell>
          <cell r="E642">
            <v>7.4850316466534839E-2</v>
          </cell>
          <cell r="F642">
            <v>7.277430475187846E-2</v>
          </cell>
          <cell r="G642">
            <v>4.1568785682431886E-2</v>
          </cell>
          <cell r="H642">
            <v>2.2757611209290499E-2</v>
          </cell>
          <cell r="I642">
            <v>2.36199310216594E-2</v>
          </cell>
          <cell r="J642">
            <v>1.373691951370859E-2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D643">
            <v>1.7035138515751058E-2</v>
          </cell>
          <cell r="E643">
            <v>1.3555721653029931</v>
          </cell>
          <cell r="F643">
            <v>0.85136324672124775</v>
          </cell>
          <cell r="G643">
            <v>1.35446018561668</v>
          </cell>
          <cell r="H643">
            <v>1.3551446390578026</v>
          </cell>
          <cell r="I643">
            <v>1.3550797110102881</v>
          </cell>
          <cell r="J643">
            <v>3.2011766449335846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D644">
            <v>1.7035138515751058E-2</v>
          </cell>
          <cell r="E644">
            <v>1.3555721653029931</v>
          </cell>
          <cell r="F644">
            <v>0.85136324672124775</v>
          </cell>
          <cell r="G644">
            <v>1.35446018561668</v>
          </cell>
          <cell r="H644">
            <v>1.3551446390578026</v>
          </cell>
          <cell r="I644">
            <v>1.3550797110102881</v>
          </cell>
          <cell r="J644">
            <v>3.2011766449335846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D645">
            <v>5.4754161115158101E-2</v>
          </cell>
          <cell r="E645">
            <v>5.4754412542253897E-2</v>
          </cell>
          <cell r="F645">
            <v>1.2768052552304601E-7</v>
          </cell>
          <cell r="G645">
            <v>2.6612276363760598E-7</v>
          </cell>
          <cell r="H645">
            <v>1.68785956977506E-7</v>
          </cell>
          <cell r="I645">
            <v>1.9500435552072701E-7</v>
          </cell>
          <cell r="J645">
            <v>0.19950673605117999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D646">
            <v>5.4754161115158101E-2</v>
          </cell>
          <cell r="E646">
            <v>0.1095085595533639</v>
          </cell>
          <cell r="F646">
            <v>0.10950740401853903</v>
          </cell>
          <cell r="G646">
            <v>0.10950799075834655</v>
          </cell>
          <cell r="H646">
            <v>0.10950853672552206</v>
          </cell>
          <cell r="I646">
            <v>0.10950887188290485</v>
          </cell>
          <cell r="J646">
            <v>0.25862032723834683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4.4688616703786712E-3</v>
          </cell>
          <cell r="I647">
            <v>0.50158899108714827</v>
          </cell>
          <cell r="J647">
            <v>0.50158816128013373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2.1919214489323203E-2</v>
          </cell>
          <cell r="I648">
            <v>2.4602320438776988</v>
          </cell>
          <cell r="J648">
            <v>2.4602279737767954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2.6388076159701887E-2</v>
          </cell>
          <cell r="I649">
            <v>2.9618210349648479</v>
          </cell>
          <cell r="J649">
            <v>2.961816135056925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1.43366096458045E-3</v>
          </cell>
          <cell r="I650">
            <v>0.159643626939522</v>
          </cell>
          <cell r="J650">
            <v>4.4612003974961303E-2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1.43366096458045E-3</v>
          </cell>
          <cell r="I651">
            <v>0.161077287904103</v>
          </cell>
          <cell r="J651">
            <v>0.16107716683794099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D652">
            <v>0.68509857379983996</v>
          </cell>
          <cell r="E652">
            <v>0.69931642891605839</v>
          </cell>
          <cell r="F652">
            <v>0.20106622953633241</v>
          </cell>
          <cell r="G652">
            <v>2.4551897823858384E-2</v>
          </cell>
          <cell r="H652">
            <v>5.2166184222273901E-4</v>
          </cell>
          <cell r="I652">
            <v>1.366619642849132E-4</v>
          </cell>
          <cell r="J652">
            <v>5.240278229784659E-5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D653">
            <v>0.68578367237364024</v>
          </cell>
          <cell r="E653">
            <v>0.70001574534497435</v>
          </cell>
          <cell r="F653">
            <v>0.20126729576586874</v>
          </cell>
          <cell r="G653">
            <v>2.4576449721682238E-2</v>
          </cell>
          <cell r="H653">
            <v>5.2218350406496182E-4</v>
          </cell>
          <cell r="I653">
            <v>1.367986262491981E-4</v>
          </cell>
          <cell r="J653">
            <v>5.2455185080144419E-5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D654">
            <v>0.68511814111641034</v>
          </cell>
          <cell r="E654">
            <v>0.69931639396169987</v>
          </cell>
          <cell r="F654">
            <v>0.20106541087013272</v>
          </cell>
          <cell r="G654">
            <v>2.4553748587345377E-2</v>
          </cell>
          <cell r="H654">
            <v>5.2467099463809517E-4</v>
          </cell>
          <cell r="I654">
            <v>1.4147923848329872E-4</v>
          </cell>
          <cell r="J654">
            <v>5.4993197350973149E-5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D655">
            <v>6.4001440070276E-2</v>
          </cell>
          <cell r="E655">
            <v>5.9720490727192799E-5</v>
          </cell>
          <cell r="F655">
            <v>1.84854508486373E-5</v>
          </cell>
          <cell r="G655">
            <v>2.17110830085386E-5</v>
          </cell>
          <cell r="H655">
            <v>2.8590050613436001E-5</v>
          </cell>
          <cell r="I655">
            <v>2.7860191989921398E-5</v>
          </cell>
          <cell r="J655">
            <v>1.0197971651913301E-5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D656">
            <v>6.4001440070276E-2</v>
          </cell>
          <cell r="E656">
            <v>6.3999497569008176E-2</v>
          </cell>
          <cell r="F656">
            <v>2.0355393663310996E-2</v>
          </cell>
          <cell r="G656">
            <v>3.2561502190795941E-3</v>
          </cell>
          <cell r="H656">
            <v>1.4698578777369922E-4</v>
          </cell>
          <cell r="I656">
            <v>3.7117752470029696E-5</v>
          </cell>
          <cell r="J656">
            <v>1.73611486062763E-5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E657">
            <v>0.42674506301461129</v>
          </cell>
          <cell r="F657">
            <v>0.22262616460709719</v>
          </cell>
          <cell r="G657">
            <v>0.42574417690652594</v>
          </cell>
          <cell r="H657">
            <v>0.4263411620633642</v>
          </cell>
          <cell r="I657">
            <v>0.42626960628112076</v>
          </cell>
          <cell r="J657">
            <v>0.24662438278224483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E658">
            <v>0.42674506301461129</v>
          </cell>
          <cell r="F658">
            <v>0.22262616460709719</v>
          </cell>
          <cell r="G658">
            <v>0.42574417690652594</v>
          </cell>
          <cell r="H658">
            <v>0.4263411620633642</v>
          </cell>
          <cell r="I658">
            <v>0.42626960628112076</v>
          </cell>
          <cell r="J658">
            <v>0.24662438278224483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E659">
            <v>3.4470961195740397E-2</v>
          </cell>
          <cell r="F659">
            <v>9.6065503022768304E-8</v>
          </cell>
          <cell r="G659">
            <v>1.40746139057678E-7</v>
          </cell>
          <cell r="H659">
            <v>1.0925607150259699E-7</v>
          </cell>
          <cell r="I659">
            <v>1.007459240249E-7</v>
          </cell>
          <cell r="J659">
            <v>5.3438899761964401E-7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E660">
            <v>3.4470961195740397E-2</v>
          </cell>
          <cell r="F660">
            <v>3.4470509314106647E-2</v>
          </cell>
          <cell r="G660">
            <v>3.4470637033776862E-2</v>
          </cell>
          <cell r="H660">
            <v>3.4470885191227423E-2</v>
          </cell>
          <cell r="I660">
            <v>3.4471075509791338E-2</v>
          </cell>
          <cell r="J660">
            <v>1.9928486426959602E-2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2.4556820475202614</v>
          </cell>
          <cell r="J661">
            <v>2.4556776655180523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2.4556820475202614</v>
          </cell>
          <cell r="J662">
            <v>2.4556776655180523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0.133552427710312</v>
          </cell>
          <cell r="J663">
            <v>3.6627399208835898E-2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0.133552427710312</v>
          </cell>
          <cell r="J664">
            <v>0.133550873193199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F665">
            <v>8.7998207234598507</v>
          </cell>
          <cell r="G665">
            <v>18.494408388149498</v>
          </cell>
          <cell r="H665">
            <v>24.525083161771001</v>
          </cell>
          <cell r="I665">
            <v>28.511981818716801</v>
          </cell>
          <cell r="J665">
            <v>29.219044996338901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F666">
            <v>0.30108634206187618</v>
          </cell>
          <cell r="G666">
            <v>0.65380462205440459</v>
          </cell>
          <cell r="H666">
            <v>0.8807336133191469</v>
          </cell>
          <cell r="I666">
            <v>1.0429041505681098</v>
          </cell>
          <cell r="J666">
            <v>1.0944936867177018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F667">
            <v>0.15602519013226671</v>
          </cell>
          <cell r="G667">
            <v>0.32791504234307656</v>
          </cell>
          <cell r="H667">
            <v>0.43484190003140022</v>
          </cell>
          <cell r="I667">
            <v>0.50553159253044033</v>
          </cell>
          <cell r="J667">
            <v>0.51806817369395097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F668">
            <v>0.30108634206187618</v>
          </cell>
          <cell r="G668">
            <v>0.65380462205440459</v>
          </cell>
          <cell r="H668">
            <v>0.8807336133191469</v>
          </cell>
          <cell r="I668">
            <v>1.0429041505681098</v>
          </cell>
          <cell r="J668">
            <v>1.0944936867177018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E669">
            <v>1.8658051192723601E-6</v>
          </cell>
          <cell r="F669">
            <v>2.3470186458829201E-2</v>
          </cell>
          <cell r="G669">
            <v>2.7327491934200501E-2</v>
          </cell>
          <cell r="H669">
            <v>1.77031303206544E-2</v>
          </cell>
          <cell r="I669">
            <v>4.19606348529575E-2</v>
          </cell>
          <cell r="J669">
            <v>4.73141216215099E-2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E670">
            <v>1.8658051192723601E-6</v>
          </cell>
          <cell r="F670">
            <v>2.3471810889090103E-2</v>
          </cell>
          <cell r="G670">
            <v>5.0799191880220099E-2</v>
          </cell>
          <cell r="H670">
            <v>6.8500721138817167E-2</v>
          </cell>
          <cell r="I670">
            <v>8.2484287909615206E-2</v>
          </cell>
          <cell r="J670">
            <v>8.5254338168279584E-2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G671">
            <v>4.5845949799347044E-4</v>
          </cell>
          <cell r="H671">
            <v>7.3580427156703584E-4</v>
          </cell>
          <cell r="I671">
            <v>7.5226250871196119E-4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G672">
            <v>3.4961061790404698E-4</v>
          </cell>
          <cell r="H672">
            <v>1.1008118013152183E-3</v>
          </cell>
          <cell r="I672">
            <v>1.6159145033249787E-3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G673">
            <v>7.9859631449864007E-4</v>
          </cell>
          <cell r="H673">
            <v>1.8174515103046474E-3</v>
          </cell>
          <cell r="I673">
            <v>2.3446538088090839E-3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E674">
            <v>0.13969398679361919</v>
          </cell>
          <cell r="F674">
            <v>6.8558861421790934E-2</v>
          </cell>
          <cell r="G674">
            <v>0.13883260163945857</v>
          </cell>
          <cell r="H674">
            <v>0.13932274145317658</v>
          </cell>
          <cell r="I674">
            <v>0.13924443806987305</v>
          </cell>
          <cell r="J674">
            <v>8.0682381692554067E-2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E675">
            <v>0.13969398679361919</v>
          </cell>
          <cell r="F675">
            <v>6.8558861421790934E-2</v>
          </cell>
          <cell r="G675">
            <v>0.13883260163945857</v>
          </cell>
          <cell r="H675">
            <v>0.13932274145317658</v>
          </cell>
          <cell r="I675">
            <v>0.13924443806987305</v>
          </cell>
          <cell r="J675">
            <v>8.0682381692554067E-2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E676">
            <v>1.12807570599762E-2</v>
          </cell>
          <cell r="F676">
            <v>7.4117234995950104E-8</v>
          </cell>
          <cell r="G676">
            <v>8.6230009768492298E-8</v>
          </cell>
          <cell r="H676">
            <v>6.9402560144090503E-8</v>
          </cell>
          <cell r="I676">
            <v>5.9084307132202702E-8</v>
          </cell>
          <cell r="J676">
            <v>1.8687423311345001E-7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E677">
            <v>1.12807570599762E-2</v>
          </cell>
          <cell r="F677">
            <v>1.1280346019154903E-2</v>
          </cell>
          <cell r="G677">
            <v>1.1280407547589768E-2</v>
          </cell>
          <cell r="H677">
            <v>1.1280589579763165E-2</v>
          </cell>
          <cell r="I677">
            <v>1.1280729723290282E-2</v>
          </cell>
          <cell r="J677">
            <v>6.5217189832756928E-3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F678">
            <v>2.0757531853137401E-3</v>
          </cell>
          <cell r="G678">
            <v>2.0522354357847519E-3</v>
          </cell>
          <cell r="H678">
            <v>2.427383153422601E-3</v>
          </cell>
          <cell r="I678">
            <v>4.759065839678351E-3</v>
          </cell>
          <cell r="J678">
            <v>4.692543338728628E-3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F679">
            <v>2.0757531853137401E-3</v>
          </cell>
          <cell r="G679">
            <v>2.0522354357847519E-3</v>
          </cell>
          <cell r="H679">
            <v>2.427383153422601E-3</v>
          </cell>
          <cell r="I679">
            <v>4.759065839678351E-3</v>
          </cell>
          <cell r="J679">
            <v>4.692543338728628E-3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E680">
            <v>5.6300770105787799E-8</v>
          </cell>
          <cell r="F680">
            <v>1.5009526232475899E-4</v>
          </cell>
          <cell r="G680">
            <v>2.2849146364218199E-7</v>
          </cell>
          <cell r="H680">
            <v>2.7945256304692799E-5</v>
          </cell>
          <cell r="I680">
            <v>1.6618436856171399E-4</v>
          </cell>
          <cell r="J680">
            <v>6.0801603088136101E-8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E681">
            <v>5.6300770105787799E-8</v>
          </cell>
          <cell r="F681">
            <v>1.5011428972596102E-4</v>
          </cell>
          <cell r="G681">
            <v>1.5031376004610866E-4</v>
          </cell>
          <cell r="H681">
            <v>1.7817492265584899E-4</v>
          </cell>
          <cell r="I681">
            <v>3.4439959307047143E-4</v>
          </cell>
          <cell r="J681">
            <v>3.4452897582574105E-4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D682">
            <v>3.8556677328235481E-3</v>
          </cell>
          <cell r="E682">
            <v>1.5577528050023026E-3</v>
          </cell>
          <cell r="F682">
            <v>1.7059460840305612E-3</v>
          </cell>
          <cell r="G682">
            <v>8.73912290301996E-4</v>
          </cell>
          <cell r="H682">
            <v>1.7465111539616788E-3</v>
          </cell>
          <cell r="I682">
            <v>1.369218113790887E-3</v>
          </cell>
          <cell r="J682">
            <v>8.533391467611146E-4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D683">
            <v>0.85862755805302438</v>
          </cell>
          <cell r="E683">
            <v>1.2860278738175288</v>
          </cell>
          <cell r="F683">
            <v>1.8063840483404252</v>
          </cell>
          <cell r="G683">
            <v>1.9595179348676357</v>
          </cell>
          <cell r="H683">
            <v>2.0589709491310857</v>
          </cell>
          <cell r="I683">
            <v>2.164809763039889</v>
          </cell>
          <cell r="J683">
            <v>2.3919346465462819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D684">
            <v>0.86248322578584768</v>
          </cell>
          <cell r="E684">
            <v>1.287582753331912</v>
          </cell>
          <cell r="F684">
            <v>1.8080899944244562</v>
          </cell>
          <cell r="G684">
            <v>1.9603918471579382</v>
          </cell>
          <cell r="H684">
            <v>2.0607174602850473</v>
          </cell>
          <cell r="I684">
            <v>2.1661789811536787</v>
          </cell>
          <cell r="J684">
            <v>2.392787985693043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0.40451425827077575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7.0538246206195684E-2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0.47505250447697217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2.5837316496085599E-2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2.5837316496085599E-2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E690">
            <v>8.5039507396321035E-3</v>
          </cell>
          <cell r="F690">
            <v>0.1302907162777753</v>
          </cell>
          <cell r="G690">
            <v>0.19426544847162658</v>
          </cell>
          <cell r="H690">
            <v>0.20767442776754305</v>
          </cell>
          <cell r="I690">
            <v>0.2812301760275942</v>
          </cell>
          <cell r="J690">
            <v>0.31878209992263279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E691">
            <v>8.5124546903717346E-3</v>
          </cell>
          <cell r="F691">
            <v>0.13042100699405315</v>
          </cell>
          <cell r="G691">
            <v>0.19445971392009823</v>
          </cell>
          <cell r="H691">
            <v>0.20788210219531064</v>
          </cell>
          <cell r="I691">
            <v>0.28151140620362158</v>
          </cell>
          <cell r="J691">
            <v>0.31910088202255549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E692">
            <v>8.5084010347388807E-3</v>
          </cell>
          <cell r="F692">
            <v>0.13029213195892025</v>
          </cell>
          <cell r="G692">
            <v>0.19427554407207484</v>
          </cell>
          <cell r="H692">
            <v>0.20768659338749659</v>
          </cell>
          <cell r="I692">
            <v>0.28124374271137997</v>
          </cell>
          <cell r="J692">
            <v>0.31879727079994075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D693">
            <v>9.5020008408664696E-5</v>
          </cell>
          <cell r="E693">
            <v>1.4513238382772499E-3</v>
          </cell>
          <cell r="F693">
            <v>1.2933357308504201E-2</v>
          </cell>
          <cell r="G693">
            <v>8.8090881586591601E-3</v>
          </cell>
          <cell r="H693">
            <v>6.1797569005289897E-3</v>
          </cell>
          <cell r="I693">
            <v>1.8792014591340798E-2</v>
          </cell>
          <cell r="J693">
            <v>2.2305912864808399E-2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D694">
            <v>9.5020008408664696E-5</v>
          </cell>
          <cell r="E694">
            <v>1.5343747642543087E-3</v>
          </cell>
          <cell r="F694">
            <v>1.4448642935723536E-2</v>
          </cell>
          <cell r="G694">
            <v>2.3229924869581909E-2</v>
          </cell>
          <cell r="H694">
            <v>2.8560400592333959E-2</v>
          </cell>
          <cell r="I694">
            <v>3.3176689695686289E-2</v>
          </cell>
          <cell r="J694">
            <v>3.8495464408701462E-2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E695">
            <v>1.3407253080190864E-2</v>
          </cell>
          <cell r="F695">
            <v>8.6169188833290836E-5</v>
          </cell>
          <cell r="G695">
            <v>6.4206316296067621E-4</v>
          </cell>
          <cell r="H695">
            <v>8.1326738913980643E-4</v>
          </cell>
          <cell r="I695">
            <v>1.0465190406364839E-3</v>
          </cell>
          <cell r="J695">
            <v>2.0258446886827716E-3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E696">
            <v>1.3407253080190864E-2</v>
          </cell>
          <cell r="F696">
            <v>8.6169188833290836E-5</v>
          </cell>
          <cell r="G696">
            <v>6.4206316296067621E-4</v>
          </cell>
          <cell r="H696">
            <v>8.1326738913980643E-4</v>
          </cell>
          <cell r="I696">
            <v>1.0465190406364839E-3</v>
          </cell>
          <cell r="J696">
            <v>2.0258446886827716E-3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E697">
            <v>2.02793468664392E-3</v>
          </cell>
          <cell r="F697">
            <v>4.7758432544158496E-6</v>
          </cell>
          <cell r="G697">
            <v>2.6711126631180601E-5</v>
          </cell>
          <cell r="H697">
            <v>8.4127719505095304E-5</v>
          </cell>
          <cell r="I697">
            <v>2.6569347762342899E-4</v>
          </cell>
          <cell r="J697">
            <v>1.9088188736061801E-4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E698">
            <v>2.02793468664392E-3</v>
          </cell>
          <cell r="F698">
            <v>2.0013254598277718E-3</v>
          </cell>
          <cell r="G698">
            <v>2.0268368344306385E-3</v>
          </cell>
          <cell r="H698">
            <v>1.1381351157574286E-3</v>
          </cell>
          <cell r="I698">
            <v>3.6816217345017778E-4</v>
          </cell>
          <cell r="J698">
            <v>4.1892537714837135E-4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D699">
            <v>1.2957659551629361</v>
          </cell>
          <cell r="E699">
            <v>1.4868862256852606</v>
          </cell>
          <cell r="F699">
            <v>1.5730092728464481E-2</v>
          </cell>
          <cell r="G699">
            <v>1.3700532306581473E-2</v>
          </cell>
          <cell r="H699">
            <v>1.0603295618554586E-2</v>
          </cell>
          <cell r="I699">
            <v>7.8862512255436727E-3</v>
          </cell>
          <cell r="J699">
            <v>3.4503626613012301E-3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D700">
            <v>1.4397399501810395</v>
          </cell>
          <cell r="E700">
            <v>1.652095806316956</v>
          </cell>
          <cell r="F700">
            <v>2.1641730672752778E-2</v>
          </cell>
          <cell r="G700">
            <v>1.883951999191694E-2</v>
          </cell>
          <cell r="H700">
            <v>1.4580528355821848E-2</v>
          </cell>
          <cell r="I700">
            <v>1.0844336869563653E-2</v>
          </cell>
          <cell r="J700">
            <v>4.5134540679026289E-3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E701">
            <v>1.5451675264017301E-2</v>
          </cell>
          <cell r="F701">
            <v>1.34191384574456E-7</v>
          </cell>
          <cell r="G701">
            <v>4.6524239578904598E-7</v>
          </cell>
          <cell r="H701">
            <v>4.9255428798736097E-5</v>
          </cell>
          <cell r="I701">
            <v>6.0136289983640703E-4</v>
          </cell>
          <cell r="J701">
            <v>9.4321258192780196E-8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D702">
            <v>0.104681131456585</v>
          </cell>
          <cell r="E702">
            <v>0.12013275532629271</v>
          </cell>
          <cell r="F702">
            <v>1.9691082169109031E-3</v>
          </cell>
          <cell r="G702">
            <v>1.9091479435976999E-3</v>
          </cell>
          <cell r="H702">
            <v>1.0248524576184012E-3</v>
          </cell>
          <cell r="I702">
            <v>6.5071401082785591E-4</v>
          </cell>
          <cell r="J702">
            <v>4.3965481378493976E-4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E703">
            <v>5.9386544359329172E-4</v>
          </cell>
          <cell r="F703">
            <v>3.1468625528300253E-4</v>
          </cell>
          <cell r="G703">
            <v>3.6985942307482382E-4</v>
          </cell>
          <cell r="H703">
            <v>4.5281548740759244E-4</v>
          </cell>
          <cell r="I703">
            <v>4.4850440187066469E-4</v>
          </cell>
          <cell r="J703">
            <v>3.047056580052937E-4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E704">
            <v>5.9386544359329172E-4</v>
          </cell>
          <cell r="F704">
            <v>3.1468625528300253E-4</v>
          </cell>
          <cell r="G704">
            <v>3.6985942307482382E-4</v>
          </cell>
          <cell r="H704">
            <v>4.5281548740759244E-4</v>
          </cell>
          <cell r="I704">
            <v>4.4850440187066469E-4</v>
          </cell>
          <cell r="J704">
            <v>3.047056580052937E-4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E705">
            <v>4.3154576293286902E-5</v>
          </cell>
          <cell r="F705">
            <v>7.4699978505993806E-8</v>
          </cell>
          <cell r="G705">
            <v>9.0204593255267195E-8</v>
          </cell>
          <cell r="H705">
            <v>5.3373400133444402E-8</v>
          </cell>
          <cell r="I705">
            <v>4.39650815535706E-8</v>
          </cell>
          <cell r="J705">
            <v>8.0696351811915199E-8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E706">
            <v>4.3154576293286902E-5</v>
          </cell>
          <cell r="F706">
            <v>4.3127758828705908E-5</v>
          </cell>
          <cell r="G706">
            <v>4.3143350505615353E-5</v>
          </cell>
          <cell r="H706">
            <v>4.3150368110795953E-5</v>
          </cell>
          <cell r="I706">
            <v>4.3196792607694346E-5</v>
          </cell>
          <cell r="J706">
            <v>2.5151749750047779E-5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D707">
            <v>0.1698024936313422</v>
          </cell>
          <cell r="E707">
            <v>0.1948385269397854</v>
          </cell>
          <cell r="F707">
            <v>3.6707341930770188E-2</v>
          </cell>
          <cell r="G707">
            <v>3.2923923915890885E-2</v>
          </cell>
          <cell r="H707">
            <v>2.7682931035898577E-2</v>
          </cell>
          <cell r="I707">
            <v>2.1782261091958972E-2</v>
          </cell>
          <cell r="J707">
            <v>8.2672420806987872E-3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D708">
            <v>0.27168398981014752</v>
          </cell>
          <cell r="E708">
            <v>0.31174164310365682</v>
          </cell>
          <cell r="F708">
            <v>8.317619972185479E-2</v>
          </cell>
          <cell r="G708">
            <v>7.4003823543141001E-2</v>
          </cell>
          <cell r="H708">
            <v>6.1501213139096594E-2</v>
          </cell>
          <cell r="I708">
            <v>4.7335984526267104E-2</v>
          </cell>
          <cell r="J708">
            <v>1.6631000851710164E-2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E709">
            <v>1.9558129176277502E-3</v>
          </cell>
          <cell r="F709">
            <v>2.4843196530067397E-7</v>
          </cell>
          <cell r="G709">
            <v>7.98354725879578E-7</v>
          </cell>
          <cell r="H709">
            <v>7.3966066102614902E-4</v>
          </cell>
          <cell r="I709">
            <v>7.6090082277867897E-4</v>
          </cell>
          <cell r="J709">
            <v>1.7714522017249301E-7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D710">
            <v>1.12410901121583E-2</v>
          </cell>
          <cell r="E710">
            <v>1.3196809744555737E-2</v>
          </cell>
          <cell r="F710">
            <v>3.7385966462187489E-3</v>
          </cell>
          <cell r="G710">
            <v>3.2057460304129193E-3</v>
          </cell>
          <cell r="H710">
            <v>2.0583612653619402E-3</v>
          </cell>
          <cell r="I710">
            <v>1.5007166637466699E-3</v>
          </cell>
          <cell r="J710">
            <v>8.4013301672417626E-4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0.94016232752323381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3.6299862395342215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4.5701485670574549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0.24854721705978999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0.24854721705978999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G716">
            <v>7.4903276046025342E-4</v>
          </cell>
          <cell r="H716">
            <v>1.0698580459917897E-3</v>
          </cell>
          <cell r="I716">
            <v>6.5715403810496023E-4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G717">
            <v>2.7627794376931872E-3</v>
          </cell>
          <cell r="H717">
            <v>2.5864150203102607E-3</v>
          </cell>
          <cell r="I717">
            <v>1.1787740202240885E-3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G718">
            <v>3.4912072766099212E-3</v>
          </cell>
          <cell r="H718">
            <v>3.6351017844769872E-3</v>
          </cell>
          <cell r="I718">
            <v>1.814621853438286E-3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4.0907724081203113E-3</v>
          </cell>
          <cell r="J719">
            <v>4.4189554330595262E-3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4.0907724081203113E-3</v>
          </cell>
          <cell r="J720">
            <v>4.4189554330595262E-3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1.7158541114643501E-6</v>
          </cell>
          <cell r="I721">
            <v>7.0743359392412E-4</v>
          </cell>
          <cell r="J721">
            <v>2.39894568454158E-4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1.7158541114643501E-6</v>
          </cell>
          <cell r="I722">
            <v>7.0773750930437803E-4</v>
          </cell>
          <cell r="J722">
            <v>4.8220560503387899E-4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G723">
            <v>9.050211340142905</v>
          </cell>
          <cell r="H723">
            <v>14.125936413805396</v>
          </cell>
          <cell r="I723">
            <v>19.486252464279033</v>
          </cell>
          <cell r="J723">
            <v>25.9200236491018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G724">
            <v>6.0334742267619381</v>
          </cell>
          <cell r="H724">
            <v>9.4172909425369298</v>
          </cell>
          <cell r="I724">
            <v>12.990834976186029</v>
          </cell>
          <cell r="J724">
            <v>17.280015766067848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F725">
            <v>2.2474117185834099E-7</v>
          </cell>
          <cell r="G725">
            <v>0.95660065901954405</v>
          </cell>
          <cell r="H725">
            <v>0.536500507663218</v>
          </cell>
          <cell r="I725">
            <v>0.56658192349365</v>
          </cell>
          <cell r="J725">
            <v>1.0121497919463001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F726">
            <v>2.2474117185834099E-7</v>
          </cell>
          <cell r="G726">
            <v>0.95660084424740421</v>
          </cell>
          <cell r="H726">
            <v>1.4931012299816235</v>
          </cell>
          <cell r="I726">
            <v>2.0596830082716293</v>
          </cell>
          <cell r="J726">
            <v>2.7397282592970682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D727">
            <v>1.317054883352714</v>
          </cell>
          <cell r="E727">
            <v>1.4633771975434144</v>
          </cell>
          <cell r="F727">
            <v>0.96092873199974271</v>
          </cell>
          <cell r="G727">
            <v>2.0053551367524896</v>
          </cell>
          <cell r="H727">
            <v>2.4435288875866799</v>
          </cell>
          <cell r="I727">
            <v>2.8240688503110443</v>
          </cell>
          <cell r="J727">
            <v>2.8217936638731382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D728">
            <v>1.7104608874710581</v>
          </cell>
          <cell r="E728">
            <v>1.8955663180614191</v>
          </cell>
          <cell r="F728">
            <v>1.7745527247883037</v>
          </cell>
          <cell r="G728">
            <v>3.5601622232891135</v>
          </cell>
          <cell r="H728">
            <v>4.2817223554562389</v>
          </cell>
          <cell r="I728">
            <v>4.8960695716913127</v>
          </cell>
          <cell r="J728">
            <v>4.8062702035012039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E729">
            <v>5.4657169035183799E-2</v>
          </cell>
          <cell r="F729">
            <v>3.6934014114476499E-2</v>
          </cell>
          <cell r="G729">
            <v>0.11698555224533699</v>
          </cell>
          <cell r="H729">
            <v>7.9766883644295197E-2</v>
          </cell>
          <cell r="I729">
            <v>0.125515819200821</v>
          </cell>
          <cell r="J729">
            <v>5.3796609265398698E-2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D730">
            <v>0.13737412127568699</v>
          </cell>
          <cell r="E730">
            <v>0.14489132700656229</v>
          </cell>
          <cell r="F730">
            <v>0.10021581078200428</v>
          </cell>
          <cell r="G730">
            <v>0.19883089402666199</v>
          </cell>
          <cell r="H730">
            <v>0.23399991133517201</v>
          </cell>
          <cell r="I730">
            <v>0.30479380014486301</v>
          </cell>
          <cell r="J730">
            <v>0.28393002679332596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E731">
            <v>5.5974482037223449E-4</v>
          </cell>
          <cell r="F731">
            <v>2.9807635730633777E-4</v>
          </cell>
          <cell r="G731">
            <v>3.454796857069805E-4</v>
          </cell>
          <cell r="H731">
            <v>4.2416672225844068E-4</v>
          </cell>
          <cell r="I731">
            <v>4.1979056569073364E-4</v>
          </cell>
          <cell r="J731">
            <v>2.8621495737711353E-4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E732">
            <v>5.5974482037223449E-4</v>
          </cell>
          <cell r="F732">
            <v>2.9807635730633777E-4</v>
          </cell>
          <cell r="G732">
            <v>3.454796857069805E-4</v>
          </cell>
          <cell r="H732">
            <v>4.2416672225844068E-4</v>
          </cell>
          <cell r="I732">
            <v>4.1979056569073364E-4</v>
          </cell>
          <cell r="J732">
            <v>2.8621495737711353E-4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E733">
            <v>4.0397291016942301E-5</v>
          </cell>
          <cell r="F733">
            <v>7.4982930007199503E-8</v>
          </cell>
          <cell r="G733">
            <v>9.1022697540480097E-8</v>
          </cell>
          <cell r="H733">
            <v>5.2829825181812199E-8</v>
          </cell>
          <cell r="I733">
            <v>4.3377324950102202E-8</v>
          </cell>
          <cell r="J733">
            <v>7.8373726121546802E-8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E734">
            <v>4.0397291016942301E-5</v>
          </cell>
          <cell r="F734">
            <v>4.037497322108175E-5</v>
          </cell>
          <cell r="G734">
            <v>4.0393888840908384E-5</v>
          </cell>
          <cell r="H734">
            <v>4.0399546750311228E-5</v>
          </cell>
          <cell r="I734">
            <v>4.0443798199095977E-5</v>
          </cell>
          <cell r="J734">
            <v>2.3557094335336389E-5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1.5705708755267274E-4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9.1155839977910015E-4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1.0686154873317719E-3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5.6797474981942699E-5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5.6797474981942699E-5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D740">
            <v>1.8770738948288272</v>
          </cell>
          <cell r="E740">
            <v>2.1600847201955409</v>
          </cell>
          <cell r="F740">
            <v>0.18522841638653448</v>
          </cell>
          <cell r="G740">
            <v>0.16229183628954039</v>
          </cell>
          <cell r="H740">
            <v>0.12983617990710486</v>
          </cell>
          <cell r="I740">
            <v>8.300229284373116E-2</v>
          </cell>
          <cell r="J740">
            <v>2.7828734409430331E-2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D741">
            <v>1.8770738948288272</v>
          </cell>
          <cell r="E741">
            <v>2.1600847201955409</v>
          </cell>
          <cell r="F741">
            <v>0.18522841638653448</v>
          </cell>
          <cell r="G741">
            <v>0.16229183628954039</v>
          </cell>
          <cell r="H741">
            <v>0.12983617990710486</v>
          </cell>
          <cell r="I741">
            <v>8.300229284373116E-2</v>
          </cell>
          <cell r="J741">
            <v>2.7828734409430331E-2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D742">
            <v>2.0856376609209204</v>
          </cell>
          <cell r="E742">
            <v>2.4000941335506005</v>
          </cell>
          <cell r="F742">
            <v>0.28283870769214003</v>
          </cell>
          <cell r="G742">
            <v>0.24781517944486917</v>
          </cell>
          <cell r="H742">
            <v>0.19825628298833378</v>
          </cell>
          <cell r="I742">
            <v>0.12674222293417042</v>
          </cell>
          <cell r="J742">
            <v>4.0252690567704724E-2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D743">
            <v>4.6778508406623502E-6</v>
          </cell>
          <cell r="E743">
            <v>2.4367091578579001E-2</v>
          </cell>
          <cell r="F743">
            <v>8.7691177289598198E-7</v>
          </cell>
          <cell r="G743">
            <v>1.77443550316708E-6</v>
          </cell>
          <cell r="H743">
            <v>3.0557106704746199E-3</v>
          </cell>
          <cell r="I743">
            <v>3.4742904828632499E-3</v>
          </cell>
          <cell r="J743">
            <v>3.8043723777419401E-7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D744">
            <v>0.15051554597503466</v>
          </cell>
          <cell r="E744">
            <v>0.17488244747131049</v>
          </cell>
          <cell r="F744">
            <v>2.2841993253634618E-2</v>
          </cell>
          <cell r="G744">
            <v>2.2771598572656732E-2</v>
          </cell>
          <cell r="H744">
            <v>1.4716311426564196E-2</v>
          </cell>
          <cell r="I744">
            <v>6.5304175216098666E-3</v>
          </cell>
          <cell r="J744">
            <v>3.8083556905201574E-3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D745">
            <v>1.1081795567235997</v>
          </cell>
          <cell r="E745">
            <v>1.400799029951814</v>
          </cell>
          <cell r="F745">
            <v>1.4133697828964702</v>
          </cell>
          <cell r="G745">
            <v>3.579028311953814</v>
          </cell>
          <cell r="H745">
            <v>6.907523429223513</v>
          </cell>
          <cell r="I745">
            <v>6.9132257117393614</v>
          </cell>
          <cell r="J745">
            <v>6.9132423906555003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D746">
            <v>0.35968409115628747</v>
          </cell>
          <cell r="E746">
            <v>0.45106492519982821</v>
          </cell>
          <cell r="F746">
            <v>0.44977779338312113</v>
          </cell>
          <cell r="G746">
            <v>1.1171313937561869</v>
          </cell>
          <cell r="H746">
            <v>2.1155237873216066</v>
          </cell>
          <cell r="I746">
            <v>2.0781948863168527</v>
          </cell>
          <cell r="J746">
            <v>2.0042220172942238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D747">
            <v>1.1081795567235997</v>
          </cell>
          <cell r="E747">
            <v>1.400799029951814</v>
          </cell>
          <cell r="F747">
            <v>1.4133697828964702</v>
          </cell>
          <cell r="G747">
            <v>3.579028311953814</v>
          </cell>
          <cell r="H747">
            <v>6.907523429223513</v>
          </cell>
          <cell r="I747">
            <v>6.9132257117393614</v>
          </cell>
          <cell r="J747">
            <v>6.9132423906555003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E748">
            <v>1.6210041341732599E-2</v>
          </cell>
          <cell r="F748">
            <v>6.5390835131613702E-4</v>
          </cell>
          <cell r="G748">
            <v>0.117660745043971</v>
          </cell>
          <cell r="H748">
            <v>0.233714483522587</v>
          </cell>
          <cell r="I748">
            <v>6.5010374801311901E-2</v>
          </cell>
          <cell r="J748">
            <v>0.23280035982815001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D749">
            <v>6.02631234918991E-2</v>
          </cell>
          <cell r="E749">
            <v>7.6472617389191921E-2</v>
          </cell>
          <cell r="F749">
            <v>7.7125490840111291E-2</v>
          </cell>
          <cell r="G749">
            <v>0.19478506630488868</v>
          </cell>
          <cell r="H749">
            <v>0.37595314003457547</v>
          </cell>
          <cell r="I749">
            <v>0.37916856310331665</v>
          </cell>
          <cell r="J749">
            <v>0.37877942083778993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E750">
            <v>1.0541999185917421E-4</v>
          </cell>
          <cell r="F750">
            <v>7.9271833270075668E-5</v>
          </cell>
          <cell r="G750">
            <v>6.3410998997572536E-5</v>
          </cell>
          <cell r="H750">
            <v>8.489609695346092E-5</v>
          </cell>
          <cell r="I750">
            <v>7.6655757512615478E-5</v>
          </cell>
          <cell r="J750">
            <v>5.5594941372795196E-5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E751">
            <v>1.0541999185917421E-4</v>
          </cell>
          <cell r="F751">
            <v>7.9271833270075668E-5</v>
          </cell>
          <cell r="G751">
            <v>6.3410998997572536E-5</v>
          </cell>
          <cell r="H751">
            <v>8.489609695346092E-5</v>
          </cell>
          <cell r="I751">
            <v>7.6655757512615478E-5</v>
          </cell>
          <cell r="J751">
            <v>5.5594941372795196E-5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E752">
            <v>3.6494547991539902E-6</v>
          </cell>
          <cell r="F752">
            <v>2.05987412041867E-7</v>
          </cell>
          <cell r="G752">
            <v>1.0299982169262799E-7</v>
          </cell>
          <cell r="H752">
            <v>2.7735513097165199E-8</v>
          </cell>
          <cell r="I752">
            <v>2.3489327980322199E-8</v>
          </cell>
          <cell r="J752">
            <v>3.3613704447677001E-8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E753">
            <v>3.6494547991539902E-6</v>
          </cell>
          <cell r="F753">
            <v>3.8213453673092933E-6</v>
          </cell>
          <cell r="G753">
            <v>3.901731539083002E-6</v>
          </cell>
          <cell r="H753">
            <v>3.8921917797193551E-6</v>
          </cell>
          <cell r="I753">
            <v>3.9056823813786839E-6</v>
          </cell>
          <cell r="J753">
            <v>2.4002515685736465E-6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D754">
            <v>4.743922473150735</v>
          </cell>
          <cell r="E754">
            <v>3.5990782976590454</v>
          </cell>
          <cell r="F754">
            <v>4.4241255666334256</v>
          </cell>
          <cell r="G754">
            <v>3.5928953771891576</v>
          </cell>
          <cell r="H754">
            <v>2.7891516217128896</v>
          </cell>
          <cell r="I754">
            <v>1.9295781794004259</v>
          </cell>
          <cell r="J754">
            <v>0.70903649393587387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D755">
            <v>4.743922473150735</v>
          </cell>
          <cell r="E755">
            <v>3.5990782976590454</v>
          </cell>
          <cell r="F755">
            <v>4.4241255666334256</v>
          </cell>
          <cell r="G755">
            <v>3.5928953771891576</v>
          </cell>
          <cell r="H755">
            <v>2.7891516217128896</v>
          </cell>
          <cell r="I755">
            <v>1.9295781794004259</v>
          </cell>
          <cell r="J755">
            <v>0.70903649393587387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D756">
            <v>6.5887812127093488</v>
          </cell>
          <cell r="E756">
            <v>4.9987198578597791</v>
          </cell>
          <cell r="F756">
            <v>6.1399302894538712</v>
          </cell>
          <cell r="G756">
            <v>4.976815304398615</v>
          </cell>
          <cell r="H756">
            <v>3.8634836308783762</v>
          </cell>
          <cell r="I756">
            <v>2.6728176598859159</v>
          </cell>
          <cell r="J756">
            <v>0.9470305429871122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D757">
            <v>1.4094596715811501E-6</v>
          </cell>
          <cell r="E757">
            <v>1.1245056355910399E-6</v>
          </cell>
          <cell r="F757">
            <v>1.0331311764231401E-6</v>
          </cell>
          <cell r="G757">
            <v>1.41316657423037E-6</v>
          </cell>
          <cell r="H757">
            <v>0.124011681488315</v>
          </cell>
          <cell r="I757">
            <v>1.2540099517005399E-2</v>
          </cell>
          <cell r="J757">
            <v>2.6691465307850798E-7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D758">
            <v>0.3350731884146646</v>
          </cell>
          <cell r="E758">
            <v>0.319316147080419</v>
          </cell>
          <cell r="F758">
            <v>0.31927933960773158</v>
          </cell>
          <cell r="G758">
            <v>0.31924784509488924</v>
          </cell>
          <cell r="H758">
            <v>0.2068020589856025</v>
          </cell>
          <cell r="I758">
            <v>0.13655234238485037</v>
          </cell>
          <cell r="J758">
            <v>6.1545662528147388E-2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E759">
            <v>6.0336995377422108E-5</v>
          </cell>
          <cell r="F759">
            <v>5.7451452974678887E-5</v>
          </cell>
          <cell r="G759">
            <v>3.8540467582312394E-5</v>
          </cell>
          <cell r="H759">
            <v>5.6641186968716722E-5</v>
          </cell>
          <cell r="I759">
            <v>4.4126168171760172E-5</v>
          </cell>
          <cell r="J759">
            <v>3.2828307182972504E-5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E760">
            <v>6.0336995377422108E-5</v>
          </cell>
          <cell r="F760">
            <v>5.7451452974678887E-5</v>
          </cell>
          <cell r="G760">
            <v>3.8540467582312394E-5</v>
          </cell>
          <cell r="H760">
            <v>5.6641186968716722E-5</v>
          </cell>
          <cell r="I760">
            <v>4.4126168171760172E-5</v>
          </cell>
          <cell r="J760">
            <v>3.2828307182972504E-5</v>
          </cell>
        </row>
        <row r="761">
          <cell r="A761" t="str">
            <v>RHES-SHCONBR9</v>
          </cell>
          <cell r="B761" t="str">
            <v>VAR_ncap</v>
          </cell>
          <cell r="C761" t="str">
            <v>-</v>
          </cell>
          <cell r="F761">
            <v>1.5270989982496701E-8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F762">
            <v>-9.2411383050181004E-9</v>
          </cell>
          <cell r="G762">
            <v>-2.1926130021156397E-8</v>
          </cell>
          <cell r="H762">
            <v>-5.2268827913195595E-8</v>
          </cell>
          <cell r="I762">
            <v>-5.5237152810238202E-8</v>
          </cell>
          <cell r="J762">
            <v>-2.2385064182909002E-8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D763">
            <v>3.7160738132448525E-5</v>
          </cell>
          <cell r="E763">
            <v>5.7512347577666994E-6</v>
          </cell>
          <cell r="F763">
            <v>1.516635533138193E-3</v>
          </cell>
          <cell r="G763">
            <v>5.473745645827738E-3</v>
          </cell>
          <cell r="H763">
            <v>5.1291426501610454E-3</v>
          </cell>
          <cell r="I763">
            <v>4.2710950083937734E-3</v>
          </cell>
          <cell r="J763">
            <v>3.1562652301295261E-5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F764">
            <v>4.3966187137338945E-7</v>
          </cell>
          <cell r="G764">
            <v>3.0520033526563896E-6</v>
          </cell>
          <cell r="H764">
            <v>4.6017490231004691E-6</v>
          </cell>
          <cell r="I764">
            <v>5.8237077311252923E-6</v>
          </cell>
          <cell r="J764">
            <v>1.7692087039547894E-5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D765">
            <v>3.7186538241641306E-5</v>
          </cell>
          <cell r="E765">
            <v>9.0501798773151478E-4</v>
          </cell>
          <cell r="F765">
            <v>3.0107469936143261E-3</v>
          </cell>
          <cell r="J765">
            <v>1.3154495548470407E-5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D766">
            <v>7.4347276374089926E-5</v>
          </cell>
          <cell r="E766">
            <v>9.1100104625473695E-4</v>
          </cell>
          <cell r="F766">
            <v>4.5288802013312285E-3</v>
          </cell>
          <cell r="G766">
            <v>5.4773460495875191E-3</v>
          </cell>
          <cell r="H766">
            <v>5.1341636836496705E-3</v>
          </cell>
          <cell r="I766">
            <v>4.2773566910606076E-3</v>
          </cell>
          <cell r="J766">
            <v>6.2409234889313544E-5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D767">
            <v>2267.7887604644998</v>
          </cell>
          <cell r="E767">
            <v>1754.74051609497</v>
          </cell>
          <cell r="F767">
            <v>1929.7449803956099</v>
          </cell>
          <cell r="G767">
            <v>976.69825924682402</v>
          </cell>
          <cell r="H767">
            <v>641.83661861630196</v>
          </cell>
          <cell r="I767">
            <v>205.748129491898</v>
          </cell>
          <cell r="J767">
            <v>9.7857329198857606E-4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D768">
            <v>30.256635621358559</v>
          </cell>
          <cell r="E768">
            <v>23.411591648706132</v>
          </cell>
          <cell r="F768">
            <v>25.746801282660122</v>
          </cell>
          <cell r="G768">
            <v>13.031132348848018</v>
          </cell>
          <cell r="H768">
            <v>8.5644849484165597</v>
          </cell>
          <cell r="I768">
            <v>2.7458251767768371</v>
          </cell>
          <cell r="J768">
            <v>0.17470365584131678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D769">
            <v>30.770539490698763</v>
          </cell>
          <cell r="E769">
            <v>23.809233596946747</v>
          </cell>
          <cell r="F769">
            <v>26.183785351365191</v>
          </cell>
          <cell r="G769">
            <v>13.252350871734379</v>
          </cell>
          <cell r="H769">
            <v>8.7087736582944562</v>
          </cell>
          <cell r="I769">
            <v>2.7916978221424356</v>
          </cell>
          <cell r="J769">
            <v>1.327779229292504E-5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F770">
            <v>3.2116765670970037E-4</v>
          </cell>
          <cell r="G770">
            <v>1.1312668450401605E-4</v>
          </cell>
          <cell r="H770">
            <v>1.1783040937198641E-3</v>
          </cell>
          <cell r="I770">
            <v>7.655654235554423E-4</v>
          </cell>
          <cell r="J770">
            <v>0.17765987912207903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  <cell r="D771">
            <v>9.27043618018185</v>
          </cell>
          <cell r="E771">
            <v>9.2701690974975293</v>
          </cell>
          <cell r="F771">
            <v>2.4418263597140499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  <cell r="D772">
            <v>0.10000470528783008</v>
          </cell>
          <cell r="E772">
            <v>0.10000182413697438</v>
          </cell>
          <cell r="F772">
            <v>2.6341168928954148E-2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  <cell r="D773">
            <v>0.10000470528783008</v>
          </cell>
          <cell r="E773">
            <v>0.10000182413697438</v>
          </cell>
          <cell r="F773">
            <v>2.6341168928954148E-2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F774">
            <v>13.290698929185066</v>
          </cell>
          <cell r="G774">
            <v>13.043362460748996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F775">
            <v>13.290698929185066</v>
          </cell>
          <cell r="G775">
            <v>13.043362460748996</v>
          </cell>
          <cell r="H775">
            <v>12.081145263597501</v>
          </cell>
          <cell r="I775">
            <v>11.089467211322097</v>
          </cell>
          <cell r="J775">
            <v>9.1106927309140708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G776">
            <v>4.0553055760930663E-4</v>
          </cell>
          <cell r="H776">
            <v>9.6682330365708365E-4</v>
          </cell>
          <cell r="I776">
            <v>1.2349623382390679E-3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G777">
            <v>5.7533923944847506E-4</v>
          </cell>
          <cell r="H777">
            <v>1.5156444863158797E-3</v>
          </cell>
          <cell r="I777">
            <v>3.6237689709240585E-3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G778">
            <v>9.7137812026831328E-4</v>
          </cell>
          <cell r="H778">
            <v>2.4670127618731221E-3</v>
          </cell>
          <cell r="I778">
            <v>4.8501254114751563E-3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D779">
            <v>5.7963800162989874E-2</v>
          </cell>
          <cell r="E779">
            <v>5.9818945282699459E-2</v>
          </cell>
          <cell r="F779">
            <v>1.0400507977753276E-2</v>
          </cell>
          <cell r="G779">
            <v>1.3477646721887395E-2</v>
          </cell>
          <cell r="H779">
            <v>1.0580187300548927E-2</v>
          </cell>
          <cell r="I779">
            <v>4.8295314724373928E-3</v>
          </cell>
          <cell r="J779">
            <v>4.4456075671464677E-3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D780">
            <v>5.7905894268721149E-2</v>
          </cell>
          <cell r="E780">
            <v>5.9759186096602822E-2</v>
          </cell>
          <cell r="F780">
            <v>1.0390117859893376E-2</v>
          </cell>
          <cell r="G780">
            <v>1.3464182539348038E-2</v>
          </cell>
          <cell r="H780">
            <v>1.056961768286606E-2</v>
          </cell>
          <cell r="I780">
            <v>4.8247067656717185E-3</v>
          </cell>
          <cell r="J780">
            <v>4.4411664007457229E-3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D781">
            <v>5.7884505633618896E-2</v>
          </cell>
          <cell r="E781">
            <v>5.9761331216127339E-2</v>
          </cell>
          <cell r="F781">
            <v>1.0391696344009259E-2</v>
          </cell>
          <cell r="G781">
            <v>1.3460072593335851E-2</v>
          </cell>
          <cell r="H781">
            <v>1.0573266777684758E-2</v>
          </cell>
          <cell r="I781">
            <v>4.8258639527847371E-3</v>
          </cell>
          <cell r="J781">
            <v>4.4445588538982823E-3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D782">
            <v>1.1129885481342E-2</v>
          </cell>
          <cell r="E782">
            <v>3.4688233285803399E-5</v>
          </cell>
          <cell r="F782">
            <v>3.0253521028778902E-7</v>
          </cell>
          <cell r="G782">
            <v>5.3351509015672699E-7</v>
          </cell>
          <cell r="H782">
            <v>3.6489461226591401E-4</v>
          </cell>
          <cell r="I782">
            <v>4.3799773638003001E-4</v>
          </cell>
          <cell r="J782">
            <v>2.9256917327039701E-4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D783">
            <v>1.1129885481342E-2</v>
          </cell>
          <cell r="E783">
            <v>1.11645737146278E-2</v>
          </cell>
          <cell r="F783">
            <v>1.1164876249838101E-2</v>
          </cell>
          <cell r="G783">
            <v>1.1165409764928301E-2</v>
          </cell>
          <cell r="H783">
            <v>3.2698664222444002E-3</v>
          </cell>
          <cell r="I783">
            <v>8.0331031776681601E-4</v>
          </cell>
          <cell r="J783">
            <v>7.6478728323557199E-4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D784">
            <v>7.1200084774534016</v>
          </cell>
          <cell r="E784">
            <v>7.628907724382314</v>
          </cell>
          <cell r="F784">
            <v>7.3906120595616596</v>
          </cell>
          <cell r="G784">
            <v>6.4767586682261511</v>
          </cell>
          <cell r="H784">
            <v>6.4767573807530781</v>
          </cell>
          <cell r="I784">
            <v>6.4767565350642791</v>
          </cell>
          <cell r="J784">
            <v>6.7099369178734873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D785">
            <v>7.740344906601071</v>
          </cell>
          <cell r="E785">
            <v>8.2914027534273256</v>
          </cell>
          <cell r="F785">
            <v>8.0292481965209408</v>
          </cell>
          <cell r="G785">
            <v>7.0318087927537967</v>
          </cell>
          <cell r="H785">
            <v>7.0271951639377894</v>
          </cell>
          <cell r="I785">
            <v>7.0225880624187251</v>
          </cell>
          <cell r="J785">
            <v>7.2658945309787546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D786">
            <v>0.79547258693593903</v>
          </cell>
          <cell r="E786">
            <v>1.1442945977332699E-7</v>
          </cell>
          <cell r="F786">
            <v>1.3004142900083101E-7</v>
          </cell>
          <cell r="G786">
            <v>1.47937889311233E-7</v>
          </cell>
          <cell r="H786">
            <v>2.14051390107433E-7</v>
          </cell>
          <cell r="I786">
            <v>1.6594406772762801E-7</v>
          </cell>
          <cell r="J786">
            <v>2.3785534776730801E-7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D787">
            <v>0.79547258693593903</v>
          </cell>
          <cell r="E787">
            <v>0.79547270136539905</v>
          </cell>
          <cell r="F787">
            <v>0.79547283140682801</v>
          </cell>
          <cell r="G787">
            <v>0.79547297934471695</v>
          </cell>
          <cell r="H787">
            <v>0.795473193396107</v>
          </cell>
          <cell r="I787">
            <v>0.79547335934017505</v>
          </cell>
          <cell r="J787">
            <v>0.79547359719552302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0.97451375600969381</v>
          </cell>
          <cell r="I788">
            <v>0.98510188828260792</v>
          </cell>
          <cell r="J788">
            <v>1.0422902715484279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0.98193797993219833</v>
          </cell>
          <cell r="I789">
            <v>0.99260677670515862</v>
          </cell>
          <cell r="J789">
            <v>1.0502308432648386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G790">
            <v>1.15867956273659E-6</v>
          </cell>
          <cell r="H790">
            <v>3.7834481308419002E-2</v>
          </cell>
          <cell r="I790">
            <v>4.8928478454824598E-5</v>
          </cell>
          <cell r="J790">
            <v>8.0505953767992796E-6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G791">
            <v>1.15867956273659E-6</v>
          </cell>
          <cell r="H791">
            <v>3.7835639987981701E-2</v>
          </cell>
          <cell r="I791">
            <v>3.7884568466436598E-2</v>
          </cell>
          <cell r="J791">
            <v>3.7892619061813397E-2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D792">
            <v>3.6983568741098611E-5</v>
          </cell>
          <cell r="E792">
            <v>2.7316268296175845E-5</v>
          </cell>
          <cell r="F792">
            <v>3.9745680935380957E-6</v>
          </cell>
          <cell r="H792">
            <v>4.4200502689626664E-3</v>
          </cell>
          <cell r="J792">
            <v>3.6671677646508357E-6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D793">
            <v>3.5496501444931592E-5</v>
          </cell>
          <cell r="E793">
            <v>4.7095972452539598E-5</v>
          </cell>
          <cell r="F793">
            <v>2.2849689644311226E-5</v>
          </cell>
          <cell r="G793">
            <v>2.3528969586648148E-3</v>
          </cell>
          <cell r="H793">
            <v>1.1189193438967719E-3</v>
          </cell>
          <cell r="I793">
            <v>0.73268602201957511</v>
          </cell>
          <cell r="J793">
            <v>6.5726244680975677E-5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G794">
            <v>2.7391658823704102E-7</v>
          </cell>
          <cell r="H794">
            <v>5.3729717410007064E-6</v>
          </cell>
          <cell r="I794">
            <v>8.6226752431854735E-4</v>
          </cell>
          <cell r="J794">
            <v>1.9791207817954869E-5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D795">
            <v>7.2480070186030216E-5</v>
          </cell>
          <cell r="E795">
            <v>7.5767832643866624E-5</v>
          </cell>
          <cell r="F795">
            <v>2.7613841216760876E-5</v>
          </cell>
          <cell r="G795">
            <v>2.3545039842977466E-3</v>
          </cell>
          <cell r="H795">
            <v>5.54434258460044E-3</v>
          </cell>
          <cell r="I795">
            <v>0.73354828954389373</v>
          </cell>
          <cell r="J795">
            <v>8.9184620263581415E-5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E796">
            <v>2.6572162375027748E-2</v>
          </cell>
          <cell r="F796">
            <v>8.7684961722954091E-5</v>
          </cell>
          <cell r="G796">
            <v>5.4866052373399914E-5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E797">
            <v>2.6572162375027748E-2</v>
          </cell>
          <cell r="F797">
            <v>8.7684961722954091E-5</v>
          </cell>
          <cell r="G797">
            <v>5.4866052373399914E-5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E798">
            <v>3.6905781076427432E-2</v>
          </cell>
          <cell r="F798">
            <v>1.1838238508075089E-4</v>
          </cell>
          <cell r="G798">
            <v>7.3925196644310205E-5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E799">
            <v>1.9750243466914999E-3</v>
          </cell>
          <cell r="F799">
            <v>1.86248137800415E-6</v>
          </cell>
          <cell r="H799">
            <v>3.9993802709021998E-7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E800">
            <v>1.9750243466914999E-3</v>
          </cell>
          <cell r="F800">
            <v>1.9602353375520855E-3</v>
          </cell>
          <cell r="G800">
            <v>1.8010451884007698E-3</v>
          </cell>
          <cell r="H800">
            <v>3.4527887135403024E-5</v>
          </cell>
          <cell r="I800">
            <v>3.1245261738590904E-7</v>
          </cell>
          <cell r="J800">
            <v>8.3273190135222188E-8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E801">
            <v>4.4887526630325245E-4</v>
          </cell>
          <cell r="F801">
            <v>2.1013791465128548E-3</v>
          </cell>
          <cell r="G801">
            <v>1.4789056592342774E-3</v>
          </cell>
          <cell r="H801">
            <v>2.9002393461639488E-3</v>
          </cell>
          <cell r="I801">
            <v>2.0146183477350752E-3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E802">
            <v>7.7914896441250918E-4</v>
          </cell>
          <cell r="F802">
            <v>1.1105702595187977E-2</v>
          </cell>
          <cell r="G802">
            <v>1.7768804910228344</v>
          </cell>
          <cell r="H802">
            <v>2.2223586055525759</v>
          </cell>
          <cell r="I802">
            <v>2.2897715304859889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E803">
            <v>1.228024230715763E-3</v>
          </cell>
          <cell r="F803">
            <v>1.319838016471535E-2</v>
          </cell>
          <cell r="G803">
            <v>1.7783593966820699</v>
          </cell>
          <cell r="H803">
            <v>2.2252588448987392</v>
          </cell>
          <cell r="I803">
            <v>2.2917861488337223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D804">
            <v>4514.4851021571603</v>
          </cell>
          <cell r="E804">
            <v>3797.2272180588898</v>
          </cell>
          <cell r="F804">
            <v>3720.5750780528501</v>
          </cell>
          <cell r="G804">
            <v>1663.4828497124399</v>
          </cell>
          <cell r="H804">
            <v>997.36665163578198</v>
          </cell>
          <cell r="I804">
            <v>274.946348837605</v>
          </cell>
          <cell r="J804">
            <v>1.2926108469267E-3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D805">
            <v>60.231858070432992</v>
          </cell>
          <cell r="E805">
            <v>50.662267276066935</v>
          </cell>
          <cell r="F805">
            <v>49.639897541925286</v>
          </cell>
          <cell r="G805">
            <v>22.194151460033488</v>
          </cell>
          <cell r="H805">
            <v>13.307936601770178</v>
          </cell>
          <cell r="I805">
            <v>3.6690730884967291</v>
          </cell>
          <cell r="J805">
            <v>0.37366034530108222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D806">
            <v>61.254886053692843</v>
          </cell>
          <cell r="E806">
            <v>51.522757368506042</v>
          </cell>
          <cell r="F806">
            <v>50.48270119474693</v>
          </cell>
          <cell r="G806">
            <v>22.57100203137637</v>
          </cell>
          <cell r="H806">
            <v>13.532790388545203</v>
          </cell>
          <cell r="I806">
            <v>3.730615316656785</v>
          </cell>
          <cell r="J806">
            <v>1.7538817461691966E-5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F807">
            <v>3.2164722012490977E-4</v>
          </cell>
          <cell r="G807">
            <v>1.1343248093664436E-4</v>
          </cell>
          <cell r="H807">
            <v>1.1794382208762395E-3</v>
          </cell>
          <cell r="I807">
            <v>7.764854036268979E-4</v>
          </cell>
          <cell r="J807">
            <v>0.37999672787923439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  <cell r="D808">
            <v>1.4243116286448545</v>
          </cell>
          <cell r="E808">
            <v>1.5428005324052632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  <cell r="E809">
            <v>3.552247190780667E-2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  <cell r="D810">
            <v>1.4243116286448545</v>
          </cell>
          <cell r="E810">
            <v>1.5783230043130678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D811">
            <v>6.211473984351591E-3</v>
          </cell>
          <cell r="E811">
            <v>2.4847236894384324E-3</v>
          </cell>
          <cell r="F811">
            <v>2.1877443525239702E-3</v>
          </cell>
          <cell r="G811">
            <v>1.0761375286742082E-3</v>
          </cell>
          <cell r="H811">
            <v>2.0997836304898197E-3</v>
          </cell>
          <cell r="I811">
            <v>1.4180576865571684E-3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D812">
            <v>0.58819637851774675</v>
          </cell>
          <cell r="E812">
            <v>0.62339505936179085</v>
          </cell>
          <cell r="F812">
            <v>6.6930569719494723E-2</v>
          </cell>
          <cell r="G812">
            <v>2.3356626301780432E-2</v>
          </cell>
          <cell r="H812">
            <v>6.7378927595444144E-2</v>
          </cell>
          <cell r="I812">
            <v>3.2675552965882752E-2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D813">
            <v>0.59440785250209804</v>
          </cell>
          <cell r="E813">
            <v>0.62587978305122871</v>
          </cell>
          <cell r="F813">
            <v>6.9107725847629004E-2</v>
          </cell>
          <cell r="G813">
            <v>2.443276383045466E-2</v>
          </cell>
          <cell r="H813">
            <v>6.9478711225934048E-2</v>
          </cell>
          <cell r="I813">
            <v>3.4093610652439925E-2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D814">
            <v>3.3733661863142324</v>
          </cell>
          <cell r="E814">
            <v>3.7887329294252483</v>
          </cell>
          <cell r="F814">
            <v>4.4396955840006491</v>
          </cell>
          <cell r="G814">
            <v>6.8599732626782641</v>
          </cell>
          <cell r="H814">
            <v>7.3721074191981479</v>
          </cell>
          <cell r="I814">
            <v>7.7422994023995413</v>
          </cell>
          <cell r="J814">
            <v>6.3224153076114593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D815">
            <v>3.3733661863142324</v>
          </cell>
          <cell r="E815">
            <v>3.7887329294252483</v>
          </cell>
          <cell r="F815">
            <v>4.4396955840006491</v>
          </cell>
          <cell r="G815">
            <v>6.8599732626782641</v>
          </cell>
          <cell r="H815">
            <v>7.3721074191981479</v>
          </cell>
          <cell r="I815">
            <v>7.7422994023995413</v>
          </cell>
          <cell r="J815">
            <v>6.3224153076114593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D816">
            <v>3.4074405922365978</v>
          </cell>
          <cell r="E816">
            <v>3.8270029590154051</v>
          </cell>
          <cell r="F816">
            <v>4.9764932432237199</v>
          </cell>
          <cell r="G816">
            <v>7.677571038456442</v>
          </cell>
          <cell r="H816">
            <v>8.2507432969101586</v>
          </cell>
          <cell r="I816">
            <v>8.665056172495051</v>
          </cell>
          <cell r="J816">
            <v>7.0759448761845603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D817">
            <v>1.8476513184643701E-7</v>
          </cell>
          <cell r="E817">
            <v>6.2022857495821197E-2</v>
          </cell>
          <cell r="F817">
            <v>0.147093907458583</v>
          </cell>
          <cell r="G817">
            <v>0.126540702949794</v>
          </cell>
          <cell r="H817">
            <v>0.109408000638284</v>
          </cell>
          <cell r="I817">
            <v>0.11589945781886</v>
          </cell>
          <cell r="J817">
            <v>5.1888685600249201E-2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D818">
            <v>0.31562565187681985</v>
          </cell>
          <cell r="E818">
            <v>0.27880001916056479</v>
          </cell>
          <cell r="F818">
            <v>0.40411514918354702</v>
          </cell>
          <cell r="G818">
            <v>0.48932724346572404</v>
          </cell>
          <cell r="H818">
            <v>0.52302526990929898</v>
          </cell>
          <cell r="I818">
            <v>0.54993987215940598</v>
          </cell>
          <cell r="J818">
            <v>0.48825374087025897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D819">
            <v>3.5135331564506598</v>
          </cell>
          <cell r="E819">
            <v>4.8455788609421893</v>
          </cell>
          <cell r="F819">
            <v>11.157529729106868</v>
          </cell>
          <cell r="G819">
            <v>12.112354977131268</v>
          </cell>
          <cell r="H819">
            <v>29.451008222783042</v>
          </cell>
          <cell r="I819">
            <v>37.990489259246303</v>
          </cell>
          <cell r="J819">
            <v>58.938160693659462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D820">
            <v>4.4208432568728145E-3</v>
          </cell>
          <cell r="E820">
            <v>3.0459249869294984E-3</v>
          </cell>
          <cell r="F820">
            <v>3.341094630891188E-3</v>
          </cell>
          <cell r="G820">
            <v>1.1327344162085559E-3</v>
          </cell>
          <cell r="H820">
            <v>0.24049517504371984</v>
          </cell>
          <cell r="I820">
            <v>2.8566984338302572</v>
          </cell>
          <cell r="J820">
            <v>3.9612446772314245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D821">
            <v>3.517953999707534</v>
          </cell>
          <cell r="E821">
            <v>4.848622423149628</v>
          </cell>
          <cell r="F821">
            <v>11.160870823737755</v>
          </cell>
          <cell r="G821">
            <v>12.113487711547471</v>
          </cell>
          <cell r="H821">
            <v>29.69150339782675</v>
          </cell>
          <cell r="I821">
            <v>40.847187693076513</v>
          </cell>
          <cell r="J821">
            <v>62.899405370890861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D822">
            <v>8.5743715377992569</v>
          </cell>
          <cell r="E822">
            <v>9.981750341648862</v>
          </cell>
          <cell r="F822">
            <v>9.4433689030370243</v>
          </cell>
          <cell r="G822">
            <v>8.2612891916332458</v>
          </cell>
          <cell r="H822">
            <v>6.7453505421052089</v>
          </cell>
          <cell r="I822">
            <v>5.03111442539472</v>
          </cell>
          <cell r="J822">
            <v>1.4496216206822075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D823">
            <v>8.5743715377992569</v>
          </cell>
          <cell r="E823">
            <v>9.981750341648862</v>
          </cell>
          <cell r="F823">
            <v>9.4433689030370243</v>
          </cell>
          <cell r="G823">
            <v>8.2612891916332458</v>
          </cell>
          <cell r="H823">
            <v>6.7453505421052089</v>
          </cell>
          <cell r="I823">
            <v>5.03111442539472</v>
          </cell>
          <cell r="J823">
            <v>1.4496216206822075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J824">
            <v>330.51331608266935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J825">
            <v>-330.51331608266901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J826">
            <v>0.69991055170447625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J827">
            <v>0.27218743677396318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J828">
            <v>1019.00367844991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J829">
            <v>1019.00367844991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G830">
            <v>7.0084250409013955E-4</v>
          </cell>
          <cell r="H830">
            <v>3.8576097700392901E-4</v>
          </cell>
          <cell r="I830">
            <v>2.189413499728041E-4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G831">
            <v>7.0084250409013955E-4</v>
          </cell>
          <cell r="H831">
            <v>3.8576097700392901E-4</v>
          </cell>
          <cell r="I831">
            <v>2.189413499728041E-4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G832">
            <v>8.9561404751846695E-5</v>
          </cell>
          <cell r="H832">
            <v>1.04631076496742E-4</v>
          </cell>
          <cell r="I832">
            <v>6.3661657146992E-5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G833">
            <v>8.9561404751846695E-5</v>
          </cell>
          <cell r="H833">
            <v>1.7262449399260501E-4</v>
          </cell>
          <cell r="I833">
            <v>8.2194114648971204E-5</v>
          </cell>
          <cell r="J833">
            <v>2.1805470175798599E-5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  <cell r="D834">
            <v>1.4100685123584065</v>
          </cell>
          <cell r="E834">
            <v>1.5273725270812104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  <cell r="D835">
            <v>1.4243116286448545</v>
          </cell>
          <cell r="E835">
            <v>1.5428005324052632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  <cell r="D836">
            <v>1.4100685123584065</v>
          </cell>
          <cell r="E836">
            <v>1.5273725270812104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D837">
            <v>1.39239627442933E-7</v>
          </cell>
          <cell r="E837">
            <v>5.3981255619435002E-2</v>
          </cell>
          <cell r="F837">
            <v>4.6649033116143601E-2</v>
          </cell>
          <cell r="G837">
            <v>3.5756523782620703E-2</v>
          </cell>
          <cell r="H837">
            <v>5.0311055999764202E-2</v>
          </cell>
          <cell r="I837">
            <v>4.2132160486497698E-2</v>
          </cell>
          <cell r="J837">
            <v>5.2804104552865799E-2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D838">
            <v>0.10913982681866644</v>
          </cell>
          <cell r="E838">
            <v>0.1209396521604809</v>
          </cell>
          <cell r="F838">
            <v>0.10250831654545199</v>
          </cell>
          <cell r="G838">
            <v>8.9364668904889005E-2</v>
          </cell>
          <cell r="H838">
            <v>8.9262254808601116E-2</v>
          </cell>
          <cell r="I838">
            <v>7.7078241075624707E-2</v>
          </cell>
          <cell r="J838">
            <v>7.7077946581536896E-2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G839">
            <v>6.2527808904981098E-4</v>
          </cell>
          <cell r="H839">
            <v>3.2824462754448019E-4</v>
          </cell>
          <cell r="I839">
            <v>2.2549418312787879E-4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G840">
            <v>6.3004170015156652E-4</v>
          </cell>
          <cell r="H840">
            <v>3.307453224820541E-4</v>
          </cell>
          <cell r="I840">
            <v>2.2721208531082846E-4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G841">
            <v>1.07805746065031E-4</v>
          </cell>
          <cell r="H841">
            <v>2.4325578396596001E-6</v>
          </cell>
          <cell r="I841">
            <v>5.0977786398389699E-7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G842">
            <v>1.07805746065031E-4</v>
          </cell>
          <cell r="H842">
            <v>1.10238303904691E-4</v>
          </cell>
          <cell r="I842">
            <v>1.1074808176867501E-4</v>
          </cell>
          <cell r="J842">
            <v>1.1074808176867501E-4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D843">
            <v>1043.13543397628</v>
          </cell>
          <cell r="E843">
            <v>1110.23060140082</v>
          </cell>
          <cell r="F843">
            <v>635.73343122477502</v>
          </cell>
          <cell r="G843">
            <v>409.01955426452997</v>
          </cell>
          <cell r="H843">
            <v>245.77428310302901</v>
          </cell>
          <cell r="I843">
            <v>96.578217681896405</v>
          </cell>
          <cell r="J843">
            <v>41.709420414224098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D844">
            <v>17.570543657401934</v>
          </cell>
          <cell r="E844">
            <v>18.700692754091865</v>
          </cell>
          <cell r="F844">
            <v>10.337605717131789</v>
          </cell>
          <cell r="G844">
            <v>6.6510311946906606</v>
          </cell>
          <cell r="H844">
            <v>3.9965141195029052</v>
          </cell>
          <cell r="I844">
            <v>1.5704499499661697</v>
          </cell>
          <cell r="J844">
            <v>0.69239903393267055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D845">
            <v>18.495309113054677</v>
          </cell>
          <cell r="E845">
            <v>19.684939741149332</v>
          </cell>
          <cell r="F845">
            <v>11.271869347956999</v>
          </cell>
          <cell r="G845">
            <v>7.2521197564633084</v>
          </cell>
          <cell r="H845">
            <v>4.3577000550182508</v>
          </cell>
          <cell r="I845">
            <v>1.7123797461329138</v>
          </cell>
          <cell r="J845">
            <v>0.73952873074865499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E846">
            <v>8.8888690949651405E-2</v>
          </cell>
          <cell r="F846">
            <v>2.10884820781283E-7</v>
          </cell>
          <cell r="G846">
            <v>4.6492846912057998E-7</v>
          </cell>
          <cell r="H846">
            <v>1.87946694687962E-4</v>
          </cell>
          <cell r="I846">
            <v>0.129144519733772</v>
          </cell>
          <cell r="J846">
            <v>2.53108775894209E-7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D847">
            <v>1.4219190615860799</v>
          </cell>
          <cell r="E847">
            <v>1.5108076522546137</v>
          </cell>
          <cell r="F847">
            <v>1.1601631944394573</v>
          </cell>
          <cell r="G847">
            <v>1.1600691627161333</v>
          </cell>
          <cell r="H847">
            <v>0.32351662518636493</v>
          </cell>
          <cell r="I847">
            <v>0.12933241016954453</v>
          </cell>
          <cell r="J847">
            <v>7.8031266075239192E-2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G848">
            <v>1.21607356789767E-4</v>
          </cell>
          <cell r="H848">
            <v>1.1368060600368E-4</v>
          </cell>
          <cell r="I848">
            <v>6.1706792815553301E-5</v>
          </cell>
          <cell r="J848">
            <v>3.6241064682629901E-6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G849">
            <v>1.21607356789767E-4</v>
          </cell>
          <cell r="H849">
            <v>1.506673487432125E-4</v>
          </cell>
          <cell r="I849">
            <v>9.7003950959809995E-5</v>
          </cell>
          <cell r="J849">
            <v>8.4136831740666909E-6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D850">
            <v>6.3804568217696485</v>
          </cell>
          <cell r="E850">
            <v>5.540972763150922</v>
          </cell>
          <cell r="F850">
            <v>5.0679027495091225</v>
          </cell>
          <cell r="G850">
            <v>2.9052453671407714</v>
          </cell>
          <cell r="H850">
            <v>1.7739119548462656</v>
          </cell>
          <cell r="I850">
            <v>0.7687507499237457</v>
          </cell>
          <cell r="J850">
            <v>0.33171285181909832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D851">
            <v>479.81035299707702</v>
          </cell>
          <cell r="E851">
            <v>414.47064169988403</v>
          </cell>
          <cell r="F851">
            <v>541.86084593478097</v>
          </cell>
          <cell r="G851">
            <v>297.34574182789601</v>
          </cell>
          <cell r="H851">
            <v>181.26883689264599</v>
          </cell>
          <cell r="I851">
            <v>78.555507740012601</v>
          </cell>
          <cell r="J851">
            <v>33.896385143197001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D852">
            <v>8.5072757623595319</v>
          </cell>
          <cell r="E852">
            <v>7.3487702429057356</v>
          </cell>
          <cell r="F852">
            <v>9.6074618073542766</v>
          </cell>
          <cell r="G852">
            <v>5.2720876210619805</v>
          </cell>
          <cell r="H852">
            <v>3.2139864697277631</v>
          </cell>
          <cell r="I852">
            <v>1.3928281514186642</v>
          </cell>
          <cell r="J852">
            <v>0.6009997365815074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E853">
            <v>4.6930488835189999E-7</v>
          </cell>
          <cell r="F853">
            <v>4.1008366370937001E-7</v>
          </cell>
          <cell r="G853">
            <v>6.3505763461769001E-7</v>
          </cell>
          <cell r="H853">
            <v>2.8890820682556901E-2</v>
          </cell>
          <cell r="I853">
            <v>2.3692562242333098E-2</v>
          </cell>
          <cell r="J853">
            <v>8.3681023927126903E-7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D854">
            <v>0.43610075802020798</v>
          </cell>
          <cell r="E854">
            <v>0.42754488063423574</v>
          </cell>
          <cell r="F854">
            <v>0.37938298510779145</v>
          </cell>
          <cell r="G854">
            <v>0.35680664071833645</v>
          </cell>
          <cell r="H854">
            <v>0.12142118479074859</v>
          </cell>
          <cell r="I854">
            <v>5.2582829634129309E-2</v>
          </cell>
          <cell r="J854">
            <v>2.9109259318782669E-2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D855">
            <v>4.1173735640062636</v>
          </cell>
          <cell r="E855">
            <v>4.2663305589534835</v>
          </cell>
          <cell r="F855">
            <v>5.8126793512112895</v>
          </cell>
          <cell r="G855">
            <v>5.7576210657511648</v>
          </cell>
          <cell r="H855">
            <v>5.6862460746103185</v>
          </cell>
          <cell r="I855">
            <v>5.6468761240204923</v>
          </cell>
          <cell r="J855">
            <v>2.9375715738341892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D856">
            <v>723.65959609807101</v>
          </cell>
          <cell r="E856">
            <v>749.83991642212698</v>
          </cell>
          <cell r="F856">
            <v>1021.62243142502</v>
          </cell>
          <cell r="G856">
            <v>1011.94552064717</v>
          </cell>
          <cell r="H856">
            <v>999.400825234541</v>
          </cell>
          <cell r="I856">
            <v>992.48125816117795</v>
          </cell>
          <cell r="J856">
            <v>501.11515083053803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D857">
            <v>7.7980559924360975</v>
          </cell>
          <cell r="E857">
            <v>8.0801715131694731</v>
          </cell>
          <cell r="F857">
            <v>11.008862407597146</v>
          </cell>
          <cell r="G857">
            <v>10.904585351801449</v>
          </cell>
          <cell r="H857">
            <v>10.769405444337723</v>
          </cell>
          <cell r="I857">
            <v>10.694841143978199</v>
          </cell>
          <cell r="J857">
            <v>5.3999477460187313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E858">
            <v>1.93677519744774E-5</v>
          </cell>
          <cell r="F858">
            <v>5.4754971392016098E-5</v>
          </cell>
          <cell r="G858">
            <v>4.4429388593344397E-5</v>
          </cell>
          <cell r="H858">
            <v>0.24108578381003601</v>
          </cell>
          <cell r="I858">
            <v>9.8715375769984903E-2</v>
          </cell>
          <cell r="J858">
            <v>5.0357913795973097E-3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D859">
            <v>0.35954682816669398</v>
          </cell>
          <cell r="E859">
            <v>0.35953171187081651</v>
          </cell>
          <cell r="F859">
            <v>0.35954795364291314</v>
          </cell>
          <cell r="G859">
            <v>0.35950507365335432</v>
          </cell>
          <cell r="H859">
            <v>0.33433531119512061</v>
          </cell>
          <cell r="I859">
            <v>0.33980466124683167</v>
          </cell>
          <cell r="J859">
            <v>0.17855249512834548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D860">
            <v>2.2613316574060408E-5</v>
          </cell>
          <cell r="E860">
            <v>1.0894103273027267E-4</v>
          </cell>
          <cell r="F860">
            <v>2.5422001667942787E-5</v>
          </cell>
          <cell r="G860">
            <v>2.3101749802435894E-5</v>
          </cell>
          <cell r="H860">
            <v>2.3174712484205364E-5</v>
          </cell>
          <cell r="I860">
            <v>1.7992445425814495E-5</v>
          </cell>
          <cell r="J860">
            <v>1.3090500254189977E-5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D861">
            <v>2.1538939605026742E-5</v>
          </cell>
          <cell r="E861">
            <v>1.433156467727007E-4</v>
          </cell>
          <cell r="F861">
            <v>2.9615442428639379E-5</v>
          </cell>
          <cell r="G861">
            <v>2.5820655469292498E-5</v>
          </cell>
          <cell r="H861">
            <v>2.4496038930722741E-5</v>
          </cell>
          <cell r="I861">
            <v>2.0727829034702524E-5</v>
          </cell>
          <cell r="J861">
            <v>1.4346884193746804E-5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D862">
            <v>1.6463331534428499E-2</v>
          </cell>
          <cell r="E862">
            <v>1.4136999773277799E-3</v>
          </cell>
          <cell r="F862">
            <v>4.8592000500708699E-5</v>
          </cell>
          <cell r="G862">
            <v>5.2308084061800701E-5</v>
          </cell>
          <cell r="H862">
            <v>2.6155894081767101E-3</v>
          </cell>
          <cell r="I862">
            <v>2.9630876080376802E-3</v>
          </cell>
          <cell r="J862">
            <v>9.0957930729578806E-5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D863">
            <v>1.6463331534428499E-2</v>
          </cell>
          <cell r="E863">
            <v>1.76118985829118E-2</v>
          </cell>
          <cell r="F863">
            <v>1.7122476872237218E-2</v>
          </cell>
          <cell r="G863">
            <v>9.7819188168864288E-3</v>
          </cell>
          <cell r="H863">
            <v>5.3545356826680407E-3</v>
          </cell>
          <cell r="I863">
            <v>5.5581267168643032E-3</v>
          </cell>
          <cell r="J863">
            <v>3.2327951198277706E-3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D864">
            <v>1440.94612827789</v>
          </cell>
          <cell r="E864">
            <v>1508.68796631941</v>
          </cell>
          <cell r="F864">
            <v>1220.4611049954899</v>
          </cell>
          <cell r="G864">
            <v>747.96848994358402</v>
          </cell>
          <cell r="H864">
            <v>407.54439387763802</v>
          </cell>
          <cell r="I864">
            <v>125.429007865386</v>
          </cell>
          <cell r="J864">
            <v>49.8624152369893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D865">
            <v>24.189717333773334</v>
          </cell>
          <cell r="E865">
            <v>25.326925645546122</v>
          </cell>
          <cell r="F865">
            <v>18.417033718591746</v>
          </cell>
          <cell r="G865">
            <v>11.48011012618792</v>
          </cell>
          <cell r="H865">
            <v>6.2551492287845933</v>
          </cell>
          <cell r="I865">
            <v>1.9251330004847238</v>
          </cell>
          <cell r="J865">
            <v>0.76530766439308628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D866">
            <v>25.548690217693171</v>
          </cell>
          <cell r="E866">
            <v>26.749786636868897</v>
          </cell>
          <cell r="F866">
            <v>21.639381294246217</v>
          </cell>
          <cell r="G866">
            <v>13.261852658574186</v>
          </cell>
          <cell r="H866">
            <v>7.225964430454578</v>
          </cell>
          <cell r="I866">
            <v>2.2239185791735094</v>
          </cell>
          <cell r="J866">
            <v>0.88408537654236519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D867">
            <v>3.1617264601462198E-7</v>
          </cell>
          <cell r="E867">
            <v>1.77704191481172E-6</v>
          </cell>
          <cell r="F867">
            <v>1.8831879861825799E-6</v>
          </cell>
          <cell r="G867">
            <v>2.4525097866152199E-6</v>
          </cell>
          <cell r="H867">
            <v>0.263303063980448</v>
          </cell>
          <cell r="I867">
            <v>3.6197104309444802E-5</v>
          </cell>
          <cell r="J867">
            <v>5.6229425770262002E-6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D868">
            <v>2.7746818140478657</v>
          </cell>
          <cell r="E868">
            <v>2.774263796548194</v>
          </cell>
          <cell r="F868">
            <v>1.9526431191153266</v>
          </cell>
          <cell r="G868">
            <v>1.9524980270232954</v>
          </cell>
          <cell r="H868">
            <v>0.76965299780797403</v>
          </cell>
          <cell r="I868">
            <v>0.26333722567296142</v>
          </cell>
          <cell r="J868">
            <v>0.11140409390046777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D869">
            <v>9.9025495862605499</v>
          </cell>
          <cell r="E869">
            <v>11.655205552973634</v>
          </cell>
          <cell r="F869">
            <v>11.232961736938945</v>
          </cell>
          <cell r="G869">
            <v>19.141682022688087</v>
          </cell>
          <cell r="H869">
            <v>22.391736122952853</v>
          </cell>
          <cell r="I869">
            <v>26.539574688827258</v>
          </cell>
          <cell r="J869">
            <v>23.457691366186143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D870">
            <v>9.9025495862605499</v>
          </cell>
          <cell r="E870">
            <v>11.655205552973634</v>
          </cell>
          <cell r="F870">
            <v>11.232961736938945</v>
          </cell>
          <cell r="G870">
            <v>19.141682022688087</v>
          </cell>
          <cell r="H870">
            <v>22.391736122952853</v>
          </cell>
          <cell r="I870">
            <v>26.539574688827258</v>
          </cell>
          <cell r="J870">
            <v>23.457691366186143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D871">
            <v>3.09454674570642</v>
          </cell>
          <cell r="E871">
            <v>3.5825426904632054</v>
          </cell>
          <cell r="F871">
            <v>3.5863623374061762</v>
          </cell>
          <cell r="G871">
            <v>5.5251352312157067</v>
          </cell>
          <cell r="H871">
            <v>6.1688828308556305</v>
          </cell>
          <cell r="I871">
            <v>6.9565323613715799</v>
          </cell>
          <cell r="J871">
            <v>5.6403909887704637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D872">
            <v>1.1017236607866499E-6</v>
          </cell>
          <cell r="E872">
            <v>0.123761941007553</v>
          </cell>
          <cell r="F872">
            <v>1.04551861556148E-6</v>
          </cell>
          <cell r="G872">
            <v>0.528682795758598</v>
          </cell>
          <cell r="H872">
            <v>0.807780656697479</v>
          </cell>
          <cell r="I872">
            <v>0.70629400730666303</v>
          </cell>
          <cell r="J872">
            <v>0.802172984897495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D873">
            <v>0.6992530521156598</v>
          </cell>
          <cell r="E873">
            <v>0.82301490131302812</v>
          </cell>
          <cell r="F873">
            <v>0.82301455614853414</v>
          </cell>
          <cell r="G873">
            <v>1.3516977209070906</v>
          </cell>
          <cell r="H873">
            <v>1.5812117863458415</v>
          </cell>
          <cell r="I873">
            <v>1.8751573695793262</v>
          </cell>
          <cell r="J873">
            <v>1.6564408728802527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E874">
            <v>2.1366988646068126E-2</v>
          </cell>
          <cell r="F874">
            <v>1.4623016721421249E-4</v>
          </cell>
          <cell r="G874">
            <v>2.578466105815178E-4</v>
          </cell>
          <cell r="H874">
            <v>2.9522774318472905E-4</v>
          </cell>
          <cell r="I874">
            <v>4.4308246435438103E-4</v>
          </cell>
          <cell r="J874">
            <v>1.6238373050829328E-4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E875">
            <v>2.1388355634714203E-2</v>
          </cell>
          <cell r="F875">
            <v>1.4637639738142674E-4</v>
          </cell>
          <cell r="G875">
            <v>2.5810445719209933E-4</v>
          </cell>
          <cell r="H875">
            <v>2.955229709279138E-4</v>
          </cell>
          <cell r="I875">
            <v>4.4352554681873494E-4</v>
          </cell>
          <cell r="J875">
            <v>1.6254611423880159E-4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E876">
            <v>2.1364582285591887E-2</v>
          </cell>
          <cell r="F876">
            <v>1.4345590548367905E-4</v>
          </cell>
          <cell r="G876">
            <v>2.5720658898718704E-4</v>
          </cell>
          <cell r="H876">
            <v>2.9587333849914515E-4</v>
          </cell>
          <cell r="I876">
            <v>4.4441470552470205E-4</v>
          </cell>
          <cell r="J876">
            <v>1.646461083466658E-4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D877">
            <v>1.72325255567436E-4</v>
          </cell>
          <cell r="E877">
            <v>2.7210101880891799E-3</v>
          </cell>
          <cell r="F877">
            <v>1.04906449846809E-4</v>
          </cell>
          <cell r="G877">
            <v>8.6096782874098404E-5</v>
          </cell>
          <cell r="H877">
            <v>2.8867838831168798E-4</v>
          </cell>
          <cell r="I877">
            <v>7.2366188731858393E-5</v>
          </cell>
          <cell r="J877">
            <v>5.7687878452596199E-5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D878">
            <v>1.72325255567436E-4</v>
          </cell>
          <cell r="E878">
            <v>2.8818711847960216E-3</v>
          </cell>
          <cell r="F878">
            <v>2.8909553526092601E-3</v>
          </cell>
          <cell r="G878">
            <v>2.860785840157361E-3</v>
          </cell>
          <cell r="H878">
            <v>1.750736153313358E-3</v>
          </cell>
          <cell r="I878">
            <v>2.94821550879514E-4</v>
          </cell>
          <cell r="J878">
            <v>1.25147201875886E-4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D879">
            <v>13.723015686138497</v>
          </cell>
          <cell r="E879">
            <v>13.331599971512595</v>
          </cell>
          <cell r="F879">
            <v>15.518627302805301</v>
          </cell>
          <cell r="G879">
            <v>13.098243034735372</v>
          </cell>
          <cell r="H879">
            <v>11.015860299659185</v>
          </cell>
          <cell r="I879">
            <v>10.5402932652887</v>
          </cell>
          <cell r="J879">
            <v>2.6072311877718919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D880">
            <v>13.723015686138497</v>
          </cell>
          <cell r="E880">
            <v>13.331599971512595</v>
          </cell>
          <cell r="F880">
            <v>15.518627302805301</v>
          </cell>
          <cell r="G880">
            <v>13.098243034735372</v>
          </cell>
          <cell r="H880">
            <v>11.015860299659185</v>
          </cell>
          <cell r="I880">
            <v>10.5402932652887</v>
          </cell>
          <cell r="J880">
            <v>2.6072311877718919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G881">
            <v>1.47077490621027E-4</v>
          </cell>
          <cell r="H881">
            <v>2.8137728987040098E-4</v>
          </cell>
          <cell r="I881">
            <v>1.5759896047926099E-4</v>
          </cell>
          <cell r="J881">
            <v>1.45719790348489E-5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G882">
            <v>1.47077490621027E-4</v>
          </cell>
          <cell r="H882">
            <v>3.5894740829512089E-4</v>
          </cell>
          <cell r="I882">
            <v>2.8359222732195194E-4</v>
          </cell>
          <cell r="J882">
            <v>3.6580060067745976E-5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E883">
            <v>0.15438843446207662</v>
          </cell>
          <cell r="F883">
            <v>1.3256447584531713E-3</v>
          </cell>
          <cell r="G883">
            <v>2.1207448636598116E-3</v>
          </cell>
          <cell r="H883">
            <v>2.2044493454550628E-3</v>
          </cell>
          <cell r="I883">
            <v>2.1119379271950468E-3</v>
          </cell>
          <cell r="J883">
            <v>1.3300833700364745E-3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E884">
            <v>0.16251414153902799</v>
          </cell>
          <cell r="F884">
            <v>1.3954155352138642E-3</v>
          </cell>
          <cell r="G884">
            <v>2.2323630143787471E-3</v>
          </cell>
          <cell r="H884">
            <v>2.3204729952158525E-3</v>
          </cell>
          <cell r="I884">
            <v>2.2230925549421576E-3</v>
          </cell>
          <cell r="J884">
            <v>1.4000877579331307E-3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E885">
            <v>1.2331442059445599E-2</v>
          </cell>
          <cell r="H885">
            <v>1.25428933602121E-3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E886">
            <v>1.2331442059445599E-2</v>
          </cell>
          <cell r="F886">
            <v>1.2284535386839901E-2</v>
          </cell>
          <cell r="G886">
            <v>1.2156298641408858E-2</v>
          </cell>
          <cell r="H886">
            <v>7.4473515460286204E-3</v>
          </cell>
          <cell r="I886">
            <v>1.2536602077166217E-3</v>
          </cell>
          <cell r="J886">
            <v>5.2930025312493878E-4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F887">
            <v>8.2129243795118489E-3</v>
          </cell>
          <cell r="G887">
            <v>2.3422018270194946E-2</v>
          </cell>
          <cell r="H887">
            <v>3.4077597880015825E-2</v>
          </cell>
          <cell r="I887">
            <v>4.1965028315700453E-2</v>
          </cell>
          <cell r="J887">
            <v>4.6275842628317992E-2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F888">
            <v>8.2211373038913651E-3</v>
          </cell>
          <cell r="G888">
            <v>2.3445440288465142E-2</v>
          </cell>
          <cell r="H888">
            <v>3.4111675477895863E-2</v>
          </cell>
          <cell r="I888">
            <v>4.2006993344016072E-2</v>
          </cell>
          <cell r="J888">
            <v>4.6322118470946298E-2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F889">
            <v>8.2365022968750104E-3</v>
          </cell>
          <cell r="G889">
            <v>2.3439190264626021E-2</v>
          </cell>
          <cell r="H889">
            <v>3.4089934156924004E-2</v>
          </cell>
          <cell r="I889">
            <v>4.1978391619167395E-2</v>
          </cell>
          <cell r="J889">
            <v>4.6293483065906624E-2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D890">
            <v>1.6720828575738199E-5</v>
          </cell>
          <cell r="E890">
            <v>1.23421486859894E-5</v>
          </cell>
          <cell r="F890">
            <v>2.45780522439428E-3</v>
          </cell>
          <cell r="G890">
            <v>4.0012026865965502E-3</v>
          </cell>
          <cell r="H890">
            <v>2.6903760785349702E-3</v>
          </cell>
          <cell r="I890">
            <v>5.2700915796201802E-3</v>
          </cell>
          <cell r="J890">
            <v>7.26320079417967E-3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D891">
            <v>1.6720828575738199E-5</v>
          </cell>
          <cell r="E891">
            <v>6.770054557988008E-7</v>
          </cell>
          <cell r="F891">
            <v>2.4499419983268467E-3</v>
          </cell>
          <cell r="G891">
            <v>6.4358824618930711E-3</v>
          </cell>
          <cell r="H891">
            <v>9.0781471450728495E-3</v>
          </cell>
          <cell r="I891">
            <v>1.1037648344052377E-2</v>
          </cell>
          <cell r="J891">
            <v>1.2167118740113583E-2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E892">
            <v>5.3922047974936271E-2</v>
          </cell>
          <cell r="F892">
            <v>3.2288865251710007E-3</v>
          </cell>
          <cell r="G892">
            <v>0.21263584253941509</v>
          </cell>
          <cell r="H892">
            <v>0.24297596282512191</v>
          </cell>
          <cell r="I892">
            <v>0.26204363789100305</v>
          </cell>
          <cell r="J892">
            <v>0.28196439544069851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E893">
            <v>5.4466715126198308E-2</v>
          </cell>
          <cell r="F893">
            <v>3.5711495836613133E-3</v>
          </cell>
          <cell r="G893">
            <v>0.23385493386082948</v>
          </cell>
          <cell r="H893">
            <v>0.26706857905136189</v>
          </cell>
          <cell r="I893">
            <v>0.28786613754790208</v>
          </cell>
          <cell r="J893">
            <v>0.30974994124949889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E894">
            <v>5.3922047974936271E-2</v>
          </cell>
          <cell r="F894">
            <v>3.2288865251710007E-3</v>
          </cell>
          <cell r="G894">
            <v>0.21263584253941509</v>
          </cell>
          <cell r="H894">
            <v>0.24297596282512191</v>
          </cell>
          <cell r="I894">
            <v>0.26204363789100305</v>
          </cell>
          <cell r="J894">
            <v>0.28196439544069851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E895">
            <v>6.6373471059038604E-3</v>
          </cell>
          <cell r="F895">
            <v>2.5880339376810401E-2</v>
          </cell>
          <cell r="G895">
            <v>8.2622215334356708E-3</v>
          </cell>
          <cell r="H895">
            <v>1.02275756870263E-2</v>
          </cell>
          <cell r="I895">
            <v>1.02641438394112E-2</v>
          </cell>
          <cell r="J895">
            <v>1.9818946880787999E-2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E896">
            <v>6.6373471059038604E-3</v>
          </cell>
          <cell r="F896">
            <v>3.0440441094085773E-2</v>
          </cell>
          <cell r="G896">
            <v>1.5564737742895001E-2</v>
          </cell>
          <cell r="H896">
            <v>1.9064967509778402E-2</v>
          </cell>
          <cell r="I896">
            <v>2.0113929196727796E-2</v>
          </cell>
          <cell r="J896">
            <v>3.0272878684187203E-2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6.0430647972070598E-3</v>
          </cell>
          <cell r="I897">
            <v>1.4671409315838921E-3</v>
          </cell>
          <cell r="J897">
            <v>0.51296808960842399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0.17397251866519101</v>
          </cell>
          <cell r="I898">
            <v>4.1457701717528099E-2</v>
          </cell>
          <cell r="J898">
            <v>13.979197725037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6.0430647972070598E-3</v>
          </cell>
          <cell r="I899">
            <v>1.4671409315838921E-3</v>
          </cell>
          <cell r="J899">
            <v>0.51296808960842399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3.0846191252693429E-3</v>
          </cell>
          <cell r="I900">
            <v>7.350656332895056E-4</v>
          </cell>
          <cell r="J900">
            <v>0.24785811569214555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E901">
            <v>8.0338376275369697E-5</v>
          </cell>
          <cell r="F901">
            <v>5.4584814894748698E-4</v>
          </cell>
          <cell r="G901">
            <v>4.9741044371003898E-6</v>
          </cell>
          <cell r="H901">
            <v>2.7430596216651699E-5</v>
          </cell>
          <cell r="I901">
            <v>3.1086726467858797E-5</v>
          </cell>
          <cell r="J901">
            <v>2.8462525178302299E-2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E902">
            <v>8.0338376275369697E-5</v>
          </cell>
          <cell r="F902">
            <v>6.2552648939029505E-4</v>
          </cell>
          <cell r="G902">
            <v>6.2847461374013875E-4</v>
          </cell>
          <cell r="H902">
            <v>6.0895434557105407E-4</v>
          </cell>
          <cell r="I902">
            <v>1.5401809760009214E-4</v>
          </cell>
          <cell r="J902">
            <v>2.8494004776300461E-2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D903">
            <v>726.71291352626304</v>
          </cell>
          <cell r="E903">
            <v>571.56827830834197</v>
          </cell>
          <cell r="F903">
            <v>662.24465246274997</v>
          </cell>
          <cell r="G903">
            <v>261.47214566421502</v>
          </cell>
          <cell r="H903">
            <v>168.23681897474799</v>
          </cell>
          <cell r="I903">
            <v>59.542624488302998</v>
          </cell>
          <cell r="J903">
            <v>3.5925094772706698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D904">
            <v>6.9844637776721381</v>
          </cell>
          <cell r="E904">
            <v>5.5418339964880516</v>
          </cell>
          <cell r="F904">
            <v>4.5163214769155244</v>
          </cell>
          <cell r="G904">
            <v>1.9156966048350057</v>
          </cell>
          <cell r="H904">
            <v>1.2597309284848472</v>
          </cell>
          <cell r="I904">
            <v>0.45236276881813819</v>
          </cell>
          <cell r="J904">
            <v>2.8683652084208672E-2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D905">
            <v>9.8604194508312464</v>
          </cell>
          <cell r="E905">
            <v>7.7553362049978629</v>
          </cell>
          <cell r="F905">
            <v>8.9856804947455906</v>
          </cell>
          <cell r="G905">
            <v>3.5477903075198682</v>
          </cell>
          <cell r="H905">
            <v>2.2827248164823319</v>
          </cell>
          <cell r="I905">
            <v>0.80790535262283603</v>
          </cell>
          <cell r="J905">
            <v>4.8745040397159732E-2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E906">
            <v>8.5938721003759096E-7</v>
          </cell>
          <cell r="F906">
            <v>2.3683463974355999E-7</v>
          </cell>
          <cell r="G906">
            <v>5.2186213866202805E-7</v>
          </cell>
          <cell r="H906">
            <v>1.42617212129571E-2</v>
          </cell>
          <cell r="I906">
            <v>1.6674299620241001E-2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D907">
            <v>0.47738433216181703</v>
          </cell>
          <cell r="E907">
            <v>0.46812091910172032</v>
          </cell>
          <cell r="F907">
            <v>0.32232637739807479</v>
          </cell>
          <cell r="G907">
            <v>0.2775346453361735</v>
          </cell>
          <cell r="H907">
            <v>8.6234674321679597E-2</v>
          </cell>
          <cell r="I907">
            <v>3.0935552696996188E-2</v>
          </cell>
          <cell r="J907">
            <v>2.6425543994604006E-3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D908">
            <v>1068.1310608165199</v>
          </cell>
          <cell r="E908">
            <v>1094.4827034714999</v>
          </cell>
          <cell r="F908">
            <v>1024.6422551360899</v>
          </cell>
          <cell r="G908">
            <v>1013.19810868274</v>
          </cell>
          <cell r="H908">
            <v>1001.7553907487101</v>
          </cell>
          <cell r="I908">
            <v>996.69825874104697</v>
          </cell>
          <cell r="J908">
            <v>986.585780886355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D909">
            <v>11.51003298293662</v>
          </cell>
          <cell r="E909">
            <v>11.793994649477408</v>
          </cell>
          <cell r="F909">
            <v>11.041403611380291</v>
          </cell>
          <cell r="G909">
            <v>10.918083067701946</v>
          </cell>
          <cell r="H909">
            <v>10.794777917550743</v>
          </cell>
          <cell r="I909">
            <v>10.740282960571635</v>
          </cell>
          <cell r="J909">
            <v>10.631312294034007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D910">
            <v>11.51003298293662</v>
          </cell>
          <cell r="E910">
            <v>11.793994649477408</v>
          </cell>
          <cell r="F910">
            <v>11.041403611380291</v>
          </cell>
          <cell r="G910">
            <v>10.918083067701946</v>
          </cell>
          <cell r="H910">
            <v>10.794777917550743</v>
          </cell>
          <cell r="I910">
            <v>10.740282960571635</v>
          </cell>
          <cell r="J910">
            <v>10.631312294034007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D911">
            <v>1783.6635808881899</v>
          </cell>
          <cell r="E911">
            <v>1640.9695667764599</v>
          </cell>
          <cell r="F911">
            <v>1238.72756876876</v>
          </cell>
          <cell r="G911">
            <v>533.44534325173902</v>
          </cell>
          <cell r="H911">
            <v>292.98345796759401</v>
          </cell>
          <cell r="I911">
            <v>68.810521604390402</v>
          </cell>
          <cell r="J911">
            <v>8.5678816710572203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D912">
            <v>21.680668808851248</v>
          </cell>
          <cell r="E912">
            <v>19.946204028546951</v>
          </cell>
          <cell r="F912">
            <v>14.282158962884949</v>
          </cell>
          <cell r="G912">
            <v>6.2646573870339592</v>
          </cell>
          <cell r="H912">
            <v>3.4378325092935937</v>
          </cell>
          <cell r="I912">
            <v>0.8059304678886442</v>
          </cell>
          <cell r="J912">
            <v>0.10050978755344907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D913">
            <v>24.20167680988046</v>
          </cell>
          <cell r="E913">
            <v>22.265530078377978</v>
          </cell>
          <cell r="F913">
            <v>16.807701068775579</v>
          </cell>
          <cell r="G913">
            <v>7.2380643589109761</v>
          </cell>
          <cell r="H913">
            <v>3.9753522112292239</v>
          </cell>
          <cell r="I913">
            <v>0.93365700955753428</v>
          </cell>
          <cell r="J913">
            <v>0.11625348264663796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E914">
            <v>2.9384217060324302E-7</v>
          </cell>
          <cell r="F914">
            <v>1.61452744032563E-7</v>
          </cell>
          <cell r="G914">
            <v>3.47916135058893E-7</v>
          </cell>
          <cell r="H914">
            <v>3.6351186380405702E-5</v>
          </cell>
          <cell r="I914">
            <v>6.51386959341924E-2</v>
          </cell>
          <cell r="J914">
            <v>1.39116882484749E-7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D915">
            <v>1.7515307393373001</v>
          </cell>
          <cell r="E915">
            <v>1.7513708783901529</v>
          </cell>
          <cell r="F915">
            <v>1.1587476234682148</v>
          </cell>
          <cell r="G915">
            <v>1.0829103888862246</v>
          </cell>
          <cell r="H915">
            <v>0.28087033906848347</v>
          </cell>
          <cell r="I915">
            <v>6.5174878242745649E-2</v>
          </cell>
          <cell r="J915">
            <v>1.18528353527163E-2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D916">
            <v>1.137920635699338E-5</v>
          </cell>
          <cell r="E916">
            <v>1.0613230582071738E-3</v>
          </cell>
          <cell r="F916">
            <v>6.2265133189647465E-3</v>
          </cell>
          <cell r="G916">
            <v>1.2693738466758385E-3</v>
          </cell>
          <cell r="H916">
            <v>3.9892811496752218E-3</v>
          </cell>
          <cell r="I916">
            <v>6.7987956566558832E-3</v>
          </cell>
          <cell r="J916">
            <v>0.1849851174727902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D917">
            <v>1.1379206356993356E-5</v>
          </cell>
          <cell r="E917">
            <v>1.060456274024063E-3</v>
          </cell>
          <cell r="F917">
            <v>6.2185713376905613E-3</v>
          </cell>
          <cell r="G917">
            <v>1.2693738466758406E-3</v>
          </cell>
          <cell r="H917">
            <v>3.9848486150644777E-3</v>
          </cell>
          <cell r="I917">
            <v>6.798795656655891E-3</v>
          </cell>
          <cell r="J917">
            <v>0.18498511747279023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D918">
            <v>1.4048869521888035E-5</v>
          </cell>
          <cell r="E918">
            <v>1.2911328334063975E-3</v>
          </cell>
          <cell r="F918">
            <v>7.41251585747775E-3</v>
          </cell>
          <cell r="G918">
            <v>1.4590504293442222E-3</v>
          </cell>
          <cell r="H918">
            <v>4.4325345683569033E-3</v>
          </cell>
          <cell r="I918">
            <v>7.310532884561423E-3</v>
          </cell>
          <cell r="J918">
            <v>0.18685365236943235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D919">
            <v>1.4048869521888035E-5</v>
          </cell>
          <cell r="E919">
            <v>1.2911328334063975E-3</v>
          </cell>
          <cell r="F919">
            <v>7.41251585747775E-3</v>
          </cell>
          <cell r="G919">
            <v>1.4590504293442222E-3</v>
          </cell>
          <cell r="H919">
            <v>4.4325345683569033E-3</v>
          </cell>
          <cell r="I919">
            <v>7.310532884561423E-3</v>
          </cell>
          <cell r="J919">
            <v>0.18685365236943235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D920">
            <v>1.6323368701901999E-3</v>
          </cell>
          <cell r="E920">
            <v>9.1677538919963295E-6</v>
          </cell>
          <cell r="F920">
            <v>1.13543196833885E-5</v>
          </cell>
          <cell r="G920">
            <v>7.4025262201893598E-6</v>
          </cell>
          <cell r="H920">
            <v>2.0541812525406702E-3</v>
          </cell>
          <cell r="I920">
            <v>2.2732595185375601E-4</v>
          </cell>
          <cell r="J920">
            <v>4.7728105738467003E-2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D921">
            <v>1.6323368701901999E-3</v>
          </cell>
          <cell r="E921">
            <v>1.6402199342107219E-3</v>
          </cell>
          <cell r="F921">
            <v>1.6492982474489324E-3</v>
          </cell>
          <cell r="G921">
            <v>1.6504924392650691E-3</v>
          </cell>
          <cell r="H921">
            <v>2.4851111909407414E-3</v>
          </cell>
          <cell r="I921">
            <v>2.2815430036705205E-3</v>
          </cell>
          <cell r="J921">
            <v>4.8752611096822392E-2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D922">
            <v>2229.9140452941301</v>
          </cell>
          <cell r="E922">
            <v>1725.43430450964</v>
          </cell>
          <cell r="F922">
            <v>1897.5392545320501</v>
          </cell>
          <cell r="G922">
            <v>960.39445411010001</v>
          </cell>
          <cell r="H922">
            <v>631.20254069830105</v>
          </cell>
          <cell r="I922">
            <v>202.36731552845299</v>
          </cell>
          <cell r="J922">
            <v>12.875659435505099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D923">
            <v>24.843070914595856</v>
          </cell>
          <cell r="E923">
            <v>19.260817804174788</v>
          </cell>
          <cell r="F923">
            <v>20.306601398888024</v>
          </cell>
          <cell r="G923">
            <v>10.66267258222752</v>
          </cell>
          <cell r="H923">
            <v>7.0078559863951133</v>
          </cell>
          <cell r="I923">
            <v>2.2467606071545001</v>
          </cell>
          <cell r="J923">
            <v>0.14295057645691076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D924">
            <v>30.256635621358559</v>
          </cell>
          <cell r="E924">
            <v>23.411591648706132</v>
          </cell>
          <cell r="F924">
            <v>25.746801282660122</v>
          </cell>
          <cell r="G924">
            <v>13.031132348848018</v>
          </cell>
          <cell r="H924">
            <v>8.5644849484165597</v>
          </cell>
          <cell r="I924">
            <v>2.7458251767768371</v>
          </cell>
          <cell r="J924">
            <v>0.17470365584131678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D925">
            <v>2.32413958126165E-6</v>
          </cell>
          <cell r="E925">
            <v>1.62985990115554E-6</v>
          </cell>
          <cell r="F925">
            <v>1.52209550494033E-6</v>
          </cell>
          <cell r="G925">
            <v>1.86076836266184E-6</v>
          </cell>
          <cell r="H925">
            <v>0.18875058392462599</v>
          </cell>
          <cell r="I925">
            <v>7.68538753109316E-6</v>
          </cell>
          <cell r="J925">
            <v>4.7697839319464798E-7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D926">
            <v>1.9285759813647012</v>
          </cell>
          <cell r="E926">
            <v>1.6677321677131136</v>
          </cell>
          <cell r="F926">
            <v>1.5781049545347885</v>
          </cell>
          <cell r="G926">
            <v>1.5778741926932058</v>
          </cell>
          <cell r="H926">
            <v>0.59794737877734938</v>
          </cell>
          <cell r="I926">
            <v>0.18875772378039693</v>
          </cell>
          <cell r="J926">
            <v>2.4353270816420296E-2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E927">
            <v>7.3542163125034268E-2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E928">
            <v>8.1713514583371366E-2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E929">
            <v>7.3542163125034268E-2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E930">
            <v>5.77950198169821E-3</v>
          </cell>
          <cell r="F930">
            <v>2.37094220351408E-7</v>
          </cell>
          <cell r="G930">
            <v>3.53874988205038E-7</v>
          </cell>
          <cell r="H930">
            <v>2.20797030199239E-7</v>
          </cell>
          <cell r="I930">
            <v>2.2447467721530701E-7</v>
          </cell>
          <cell r="J930">
            <v>1.9179926525610599E-7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E931">
            <v>5.77950198169821E-3</v>
          </cell>
          <cell r="F931">
            <v>2.9338810721950791E-5</v>
          </cell>
          <cell r="G931">
            <v>1.3908605056390383E-5</v>
          </cell>
          <cell r="H931">
            <v>3.1430444045201476E-6</v>
          </cell>
          <cell r="I931">
            <v>-7.0732999581039004E-7</v>
          </cell>
          <cell r="J931">
            <v>-5.4913187960637107E-7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D932">
            <v>1.4161640303500013E-2</v>
          </cell>
          <cell r="E932">
            <v>8.6132975499931034E-4</v>
          </cell>
          <cell r="F932">
            <v>3.4740599282350186E-3</v>
          </cell>
          <cell r="G932">
            <v>4.2676735805739566E-3</v>
          </cell>
          <cell r="H932">
            <v>3.4601932459369495E-3</v>
          </cell>
          <cell r="I932">
            <v>1.8017661884923168E-3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D933">
            <v>3.5400545696773426E-3</v>
          </cell>
          <cell r="E933">
            <v>4.5430002015240788E-4</v>
          </cell>
          <cell r="F933">
            <v>1.2791075558022951E-3</v>
          </cell>
          <cell r="G933">
            <v>8.0436037129988337E-4</v>
          </cell>
          <cell r="H933">
            <v>1.1876639629585471E-3</v>
          </cell>
          <cell r="I933">
            <v>7.0654144445040647E-4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D934">
            <v>1.7701694873177368E-2</v>
          </cell>
          <cell r="E934">
            <v>1.3156297751517189E-3</v>
          </cell>
          <cell r="F934">
            <v>4.7444896517576125E-3</v>
          </cell>
          <cell r="G934">
            <v>5.0720339518738359E-3</v>
          </cell>
          <cell r="H934">
            <v>4.6478572088954973E-3</v>
          </cell>
          <cell r="I934">
            <v>2.5083076329427234E-3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D935">
            <v>4.4835223828477413E-5</v>
          </cell>
          <cell r="E935">
            <v>4.948055572873417E-5</v>
          </cell>
          <cell r="F935">
            <v>3.0522356130562625E-5</v>
          </cell>
          <cell r="G935">
            <v>2.8939692128553724E-5</v>
          </cell>
          <cell r="H935">
            <v>2.7038766281078386E-5</v>
          </cell>
          <cell r="I935">
            <v>2.2269813028519197E-5</v>
          </cell>
          <cell r="J935">
            <v>1.9478374779903172E-5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D936">
            <v>4.4099334440978748E-5</v>
          </cell>
          <cell r="E936">
            <v>4.8506825035332065E-5</v>
          </cell>
          <cell r="F936">
            <v>2.5560208480304193E-5</v>
          </cell>
          <cell r="G936">
            <v>2.1967128661455528E-5</v>
          </cell>
          <cell r="H936">
            <v>2.178797737664149E-5</v>
          </cell>
          <cell r="I936">
            <v>1.7250209103526611E-5</v>
          </cell>
          <cell r="J936">
            <v>1.3051044453459874E-5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D937">
            <v>2.0446388301450801E-2</v>
          </cell>
          <cell r="E937">
            <v>3.0519865390575599E-3</v>
          </cell>
          <cell r="F937">
            <v>1.51554374490256E-6</v>
          </cell>
          <cell r="G937">
            <v>4.3931059092413996E-3</v>
          </cell>
          <cell r="H937">
            <v>2.1471939424267599E-2</v>
          </cell>
          <cell r="I937">
            <v>1.43333227309406E-2</v>
          </cell>
          <cell r="J937">
            <v>3.2208881764764302E-2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D938">
            <v>2.0446388301450801E-2</v>
          </cell>
          <cell r="E938">
            <v>2.3498374840508401E-2</v>
          </cell>
          <cell r="F938">
            <v>2.3499890384253298E-2</v>
          </cell>
          <cell r="G938">
            <v>2.7892996293494701E-2</v>
          </cell>
          <cell r="H938">
            <v>3.2732681457810102E-2</v>
          </cell>
          <cell r="I938">
            <v>3.8805961784110797E-2</v>
          </cell>
          <cell r="J938">
            <v>5.1693570109572401E-2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E939">
            <v>0.15439084082255286</v>
          </cell>
          <cell r="F939">
            <v>1.3284227434065363E-3</v>
          </cell>
          <cell r="G939">
            <v>2.1214016455315303E-3</v>
          </cell>
          <cell r="H939">
            <v>2.2038118806821062E-3</v>
          </cell>
          <cell r="I939">
            <v>2.1105912483954012E-3</v>
          </cell>
          <cell r="J939">
            <v>1.3278223538168903E-3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E940">
            <v>0.15439084082255286</v>
          </cell>
          <cell r="F940">
            <v>1.3284227434065363E-3</v>
          </cell>
          <cell r="G940">
            <v>2.1214016455315303E-3</v>
          </cell>
          <cell r="H940">
            <v>2.2038118806821062E-3</v>
          </cell>
          <cell r="I940">
            <v>2.1105912483954012E-3</v>
          </cell>
          <cell r="J940">
            <v>1.3278223538168903E-3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E941">
            <v>1.2331442059445599E-2</v>
          </cell>
          <cell r="H941">
            <v>1.3347512682164999E-3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E942">
            <v>1.2331442059445599E-2</v>
          </cell>
          <cell r="F942">
            <v>1.2284582114455168E-2</v>
          </cell>
          <cell r="G942">
            <v>1.2156377413398865E-2</v>
          </cell>
          <cell r="H942">
            <v>7.4474006850549709E-3</v>
          </cell>
          <cell r="I942">
            <v>1.2551091056574148E-3</v>
          </cell>
          <cell r="J942">
            <v>5.2978649268878015E-4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E943">
            <v>1.403118289463874E-3</v>
          </cell>
          <cell r="F943">
            <v>2.1263895657771859E-5</v>
          </cell>
          <cell r="G943">
            <v>8.3927217700092136E-5</v>
          </cell>
          <cell r="H943">
            <v>1.1107496520252043E-4</v>
          </cell>
          <cell r="I943">
            <v>1.4794751489679092E-4</v>
          </cell>
          <cell r="J943">
            <v>1.4463238843315842E-4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E944">
            <v>1.4017165728909835E-3</v>
          </cell>
          <cell r="F944">
            <v>2.1242653004767102E-5</v>
          </cell>
          <cell r="G944">
            <v>8.3843374325766432E-5</v>
          </cell>
          <cell r="H944">
            <v>1.1096400120131906E-4</v>
          </cell>
          <cell r="I944">
            <v>1.4779971518160952E-4</v>
          </cell>
          <cell r="J944">
            <v>1.4448790053262574E-4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E945">
            <v>1.3761039195303642E-3</v>
          </cell>
          <cell r="F945">
            <v>1.2650594713198424E-5</v>
          </cell>
          <cell r="G945">
            <v>7.4960079195116299E-5</v>
          </cell>
          <cell r="H945">
            <v>1.0956746340789382E-4</v>
          </cell>
          <cell r="I945">
            <v>1.497500246344654E-4</v>
          </cell>
          <cell r="J945">
            <v>1.4871190944782168E-4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D946">
            <v>3.5829783597628298E-4</v>
          </cell>
          <cell r="E946">
            <v>9.4042752913460106E-6</v>
          </cell>
          <cell r="F946">
            <v>2.6208388187564399E-4</v>
          </cell>
          <cell r="G946">
            <v>5.5053075541980199E-6</v>
          </cell>
          <cell r="H946">
            <v>2.3551163237863699E-6</v>
          </cell>
          <cell r="I946">
            <v>3.8678242879901803E-5</v>
          </cell>
          <cell r="J946">
            <v>3.4035661817387997E-5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D947">
            <v>3.5829783597628298E-4</v>
          </cell>
          <cell r="E947">
            <v>3.6770211126762898E-4</v>
          </cell>
          <cell r="F947">
            <v>6.2978599314327303E-4</v>
          </cell>
          <cell r="G947">
            <v>6.3529130069747101E-4</v>
          </cell>
          <cell r="H947">
            <v>3.6768152356605799E-4</v>
          </cell>
          <cell r="I947">
            <v>9.1214210107191205E-5</v>
          </cell>
          <cell r="J947">
            <v>6.3101960928193805E-5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E948">
            <v>0.14011119085582457</v>
          </cell>
          <cell r="F948">
            <v>1.1213060823639922</v>
          </cell>
          <cell r="G948">
            <v>1.7971006147277833</v>
          </cell>
          <cell r="H948">
            <v>2.2201684265745905</v>
          </cell>
          <cell r="I948">
            <v>2.5685340575934044</v>
          </cell>
          <cell r="J948">
            <v>2.9940742479486064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E949">
            <v>4.3066964402405129E-2</v>
          </cell>
          <cell r="F949">
            <v>0.3316437838957923</v>
          </cell>
          <cell r="G949">
            <v>0.50093644713656016</v>
          </cell>
          <cell r="H949">
            <v>0.59488085736520357</v>
          </cell>
          <cell r="I949">
            <v>0.66447707165041203</v>
          </cell>
          <cell r="J949">
            <v>0.70516380128135892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E950">
            <v>0.14011119085582457</v>
          </cell>
          <cell r="F950">
            <v>1.1213060823639922</v>
          </cell>
          <cell r="G950">
            <v>1.7971006147277833</v>
          </cell>
          <cell r="H950">
            <v>2.2201684265745905</v>
          </cell>
          <cell r="I950">
            <v>2.5685340575934044</v>
          </cell>
          <cell r="J950">
            <v>2.9940742479486064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E951">
            <v>1.02760931608124E-2</v>
          </cell>
          <cell r="F951">
            <v>7.1598726163088502E-2</v>
          </cell>
          <cell r="G951">
            <v>4.97618649140706E-2</v>
          </cell>
          <cell r="H951">
            <v>3.5242093464465801E-2</v>
          </cell>
          <cell r="I951">
            <v>0.10609549531781801</v>
          </cell>
          <cell r="J951">
            <v>0.12623064242061699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E952">
            <v>1.02760931608124E-2</v>
          </cell>
          <cell r="F952">
            <v>8.1874604514341962E-2</v>
          </cell>
          <cell r="G952">
            <v>0.13163574636763115</v>
          </cell>
          <cell r="H952">
            <v>0.16186638043696858</v>
          </cell>
          <cell r="I952">
            <v>0.18800539491795268</v>
          </cell>
          <cell r="J952">
            <v>0.21813469284785941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  <cell r="D953">
            <v>1.2230696044865601</v>
          </cell>
          <cell r="E953">
            <v>1.3407709085938346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  <cell r="D954">
            <v>1.4022811333255694</v>
          </cell>
          <cell r="E954">
            <v>1.5372287417952686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D955">
            <v>1.1677623480490299E-6</v>
          </cell>
          <cell r="E955">
            <v>1.2152745485903701E-5</v>
          </cell>
          <cell r="F955">
            <v>1.04190307211049E-6</v>
          </cell>
          <cell r="G955">
            <v>1.83085511718802E-6</v>
          </cell>
          <cell r="H955">
            <v>8.4169472895260196E-5</v>
          </cell>
          <cell r="I955">
            <v>8.9549963686952401E-5</v>
          </cell>
          <cell r="J955">
            <v>4.2517946739363202E-5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D956">
            <v>0.10534209323102404</v>
          </cell>
          <cell r="E956">
            <v>0.10535053220696793</v>
          </cell>
          <cell r="F956">
            <v>0.10528582956975024</v>
          </cell>
          <cell r="G956">
            <v>0.10526939446722683</v>
          </cell>
          <cell r="H956">
            <v>2.7382953415905787E-2</v>
          </cell>
          <cell r="I956">
            <v>1.724710107238262E-4</v>
          </cell>
          <cell r="J956">
            <v>1.4103032551171074E-4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D957">
            <v>62.024837503894084</v>
          </cell>
          <cell r="E957">
            <v>67.815394581973521</v>
          </cell>
          <cell r="F957">
            <v>56.594389005718597</v>
          </cell>
          <cell r="G957">
            <v>54.316467403566712</v>
          </cell>
          <cell r="H957">
            <v>52.240665800230332</v>
          </cell>
          <cell r="I957">
            <v>50.492580823238107</v>
          </cell>
          <cell r="J957">
            <v>48.150470321027335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D958">
            <v>1.2931477632463244</v>
          </cell>
          <cell r="E958">
            <v>1.4868544210108037</v>
          </cell>
          <cell r="F958">
            <v>1.5742053160630282E-2</v>
          </cell>
          <cell r="G958">
            <v>1.3712022417073925E-2</v>
          </cell>
          <cell r="H958">
            <v>1.0614769753868722E-2</v>
          </cell>
          <cell r="I958">
            <v>7.8944686509401941E-3</v>
          </cell>
          <cell r="J958">
            <v>3.4573967483049642E-3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D959">
            <v>3.5197239472132498E-2</v>
          </cell>
          <cell r="E959">
            <v>3.0221750143510427E-3</v>
          </cell>
          <cell r="F959">
            <v>1.6869776000944865E-6</v>
          </cell>
          <cell r="G959">
            <v>1.1485628112330791E-6</v>
          </cell>
          <cell r="H959">
            <v>3.8128542876824568E-6</v>
          </cell>
          <cell r="I959">
            <v>5.9343854981823306E-7</v>
          </cell>
          <cell r="J959">
            <v>1.0134569908338922E-6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D960">
            <v>0.37369029006031884</v>
          </cell>
          <cell r="E960">
            <v>0.4354284407192705</v>
          </cell>
          <cell r="F960">
            <v>2.4698434577858402E-2</v>
          </cell>
          <cell r="G960">
            <v>2.9518305881621899E-2</v>
          </cell>
          <cell r="H960">
            <v>3.0174193570220852E-2</v>
          </cell>
          <cell r="I960">
            <v>3.0662510059967021E-2</v>
          </cell>
          <cell r="J960">
            <v>2.9435692839013504E-2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D961">
            <v>8.2818836274280031E-4</v>
          </cell>
          <cell r="E961">
            <v>1.1092875694852777E-5</v>
          </cell>
          <cell r="F961">
            <v>1.6392232384155077E-6</v>
          </cell>
          <cell r="G961">
            <v>1.1163099146471279E-6</v>
          </cell>
          <cell r="H961">
            <v>5.3953228601289734E-7</v>
          </cell>
          <cell r="I961">
            <v>5.9282052363945522E-7</v>
          </cell>
          <cell r="J961">
            <v>6.5148220588448889E-8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D962">
            <v>17.56612438351225</v>
          </cell>
          <cell r="E962">
            <v>18.700660206788861</v>
          </cell>
          <cell r="F962">
            <v>10.337617826636519</v>
          </cell>
          <cell r="G962">
            <v>6.6510420234964318</v>
          </cell>
          <cell r="H962">
            <v>3.9965256731226879</v>
          </cell>
          <cell r="I962">
            <v>1.5704587307099256</v>
          </cell>
          <cell r="J962">
            <v>0.69240681491320333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D963">
            <v>9.8475298778647521E-4</v>
          </cell>
          <cell r="E963">
            <v>1.4786343429116488E-5</v>
          </cell>
          <cell r="F963">
            <v>1.6066853097921194</v>
          </cell>
          <cell r="G963">
            <v>1.5445239146545338</v>
          </cell>
          <cell r="H963">
            <v>1.4259903030240819</v>
          </cell>
          <cell r="I963">
            <v>1.313818191835217</v>
          </cell>
          <cell r="J963">
            <v>1.0171649040051387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D964">
            <v>7.4723657077446215E-2</v>
          </cell>
          <cell r="E964">
            <v>7.1979066910909675E-2</v>
          </cell>
          <cell r="F964">
            <v>2.1061448897721866E-2</v>
          </cell>
          <cell r="G964">
            <v>1.2792207427550981E-6</v>
          </cell>
          <cell r="H964">
            <v>2.705331286518279E-7</v>
          </cell>
          <cell r="I964">
            <v>1.8155522956394566E-6</v>
          </cell>
          <cell r="J964">
            <v>3.2363277602244868E-6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D965">
            <v>21.674646426261745</v>
          </cell>
          <cell r="E965">
            <v>19.946164554474308</v>
          </cell>
          <cell r="F965">
            <v>14.282171224395441</v>
          </cell>
          <cell r="G965">
            <v>6.2646681004619467</v>
          </cell>
          <cell r="H965">
            <v>3.4378441597993703</v>
          </cell>
          <cell r="I965">
            <v>0.80594014963205352</v>
          </cell>
          <cell r="J965">
            <v>0.1005172673435747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D966">
            <v>4.8077477302360935E-2</v>
          </cell>
          <cell r="E966">
            <v>3.8717657914985457</v>
          </cell>
          <cell r="F966">
            <v>2.2703364650599038</v>
          </cell>
          <cell r="G966">
            <v>5.2561708310779824</v>
          </cell>
          <cell r="H966">
            <v>7.7511792937154151</v>
          </cell>
          <cell r="I966">
            <v>9.8149404297237428</v>
          </cell>
          <cell r="J966">
            <v>14.611813567231168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D967">
            <v>4.3833540677038902</v>
          </cell>
          <cell r="E967">
            <v>5.0318902356004127</v>
          </cell>
          <cell r="F967">
            <v>5.0318254675916965</v>
          </cell>
          <cell r="G967">
            <v>3.819996321199397</v>
          </cell>
          <cell r="H967">
            <v>2.866062336408727</v>
          </cell>
          <cell r="I967">
            <v>2.0471367568061156</v>
          </cell>
          <cell r="J967">
            <v>0.87451917490917375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D968">
            <v>3.1429981738659762</v>
          </cell>
          <cell r="E968">
            <v>3.5037631958835962</v>
          </cell>
          <cell r="F968">
            <v>1.4376079692389623</v>
          </cell>
          <cell r="G968">
            <v>3.1279890425957011</v>
          </cell>
          <cell r="H968">
            <v>3.4887123021530084</v>
          </cell>
          <cell r="I968">
            <v>3.6903952718953246</v>
          </cell>
          <cell r="J968">
            <v>3.1290815116385926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D969">
            <v>4.2761904702080082</v>
          </cell>
          <cell r="E969">
            <v>4.4886346787246758</v>
          </cell>
          <cell r="F969">
            <v>0.788905513301424</v>
          </cell>
          <cell r="G969">
            <v>0.13124520094094383</v>
          </cell>
          <cell r="H969">
            <v>5.9357060642566102E-3</v>
          </cell>
          <cell r="I969">
            <v>1.9664034849281491E-3</v>
          </cell>
          <cell r="J969">
            <v>5.6734906388464842E-4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D970">
            <v>9.1536090575621838</v>
          </cell>
          <cell r="E970">
            <v>10.2758762383329</v>
          </cell>
          <cell r="F970">
            <v>20.778521317044341</v>
          </cell>
          <cell r="G970">
            <v>27.478130331196315</v>
          </cell>
          <cell r="H970">
            <v>29.228328454058886</v>
          </cell>
          <cell r="I970">
            <v>31.209873032954718</v>
          </cell>
          <cell r="J970">
            <v>27.691925425804722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D971">
            <v>1.7381538520195978E-3</v>
          </cell>
          <cell r="E971">
            <v>4.6205858004137061E-5</v>
          </cell>
          <cell r="F971">
            <v>1.103052372647387E-6</v>
          </cell>
          <cell r="G971">
            <v>8.7272035127569646E-7</v>
          </cell>
          <cell r="I971">
            <v>5.154916691104273E-7</v>
          </cell>
          <cell r="J971">
            <v>1.1407973128183608E-7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D972">
            <v>2.7139008298185919E-3</v>
          </cell>
          <cell r="E972">
            <v>1.5348302681919709E-5</v>
          </cell>
          <cell r="F972">
            <v>8.7483472070971728E-3</v>
          </cell>
          <cell r="G972">
            <v>1.2076462907895531E-2</v>
          </cell>
          <cell r="H972">
            <v>2.826675979216042E-2</v>
          </cell>
          <cell r="I972">
            <v>2.6217241864266976E-2</v>
          </cell>
          <cell r="J972">
            <v>4.5166966160668811E-5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D973">
            <v>5.0799144766616733E-2</v>
          </cell>
          <cell r="E973">
            <v>1.0604141119198828E-3</v>
          </cell>
          <cell r="F973">
            <v>8.0773923260476343E-3</v>
          </cell>
          <cell r="G973">
            <v>1.2569408659032798E-2</v>
          </cell>
          <cell r="H973">
            <v>9.5187308303970803E-4</v>
          </cell>
          <cell r="I973">
            <v>3.5243153442933531E-4</v>
          </cell>
          <cell r="J973">
            <v>2.4612385831118022E-5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F974">
            <v>4.2794542980574368E-6</v>
          </cell>
          <cell r="G974">
            <v>1.7212799528517042E-5</v>
          </cell>
          <cell r="H974">
            <v>3.2523944232231188E-5</v>
          </cell>
          <cell r="I974">
            <v>5.3868444953815404E-5</v>
          </cell>
          <cell r="J974">
            <v>1.9807332025965646E-5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D975">
            <v>5.3513045596435299E-2</v>
          </cell>
          <cell r="E975">
            <v>1.0759899189282834E-3</v>
          </cell>
          <cell r="F975">
            <v>1.6831074498701793E-2</v>
          </cell>
          <cell r="G975">
            <v>2.4663084366456849E-2</v>
          </cell>
          <cell r="H975">
            <v>2.9251156819432359E-2</v>
          </cell>
          <cell r="I975">
            <v>2.6623619889612211E-2</v>
          </cell>
          <cell r="J975">
            <v>8.9586684017752479E-5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  <cell r="D976">
            <v>4.9120188842506442E-2</v>
          </cell>
          <cell r="E976">
            <v>1.0408028227165997E-3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  <cell r="D977">
            <v>4.961635236616814E-2</v>
          </cell>
          <cell r="E977">
            <v>1.0513159825420192E-3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  <cell r="D978">
            <v>4.9120188842506442E-2</v>
          </cell>
          <cell r="E978">
            <v>1.0408028227165997E-3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D979">
            <v>3.55573210892498E-6</v>
          </cell>
          <cell r="E979">
            <v>6.9239836205180802E-5</v>
          </cell>
          <cell r="F979">
            <v>1.2636466341006099E-3</v>
          </cell>
          <cell r="G979">
            <v>1.7800911927339999E-3</v>
          </cell>
          <cell r="H979">
            <v>1.9734114050822598E-3</v>
          </cell>
          <cell r="I979">
            <v>1.52804677649276E-3</v>
          </cell>
          <cell r="J979">
            <v>6.7476797471167894E-5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D980">
            <v>6.801756730657655E-3</v>
          </cell>
          <cell r="E980">
            <v>1.2410391515170482E-4</v>
          </cell>
          <cell r="F980">
            <v>1.3547377238665092E-3</v>
          </cell>
          <cell r="G980">
            <v>2.533191112735261E-3</v>
          </cell>
          <cell r="H980">
            <v>3.1737039177656902E-3</v>
          </cell>
          <cell r="I980">
            <v>2.6036744099584702E-3</v>
          </cell>
          <cell r="J980">
            <v>1.7449017011032992E-4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D981">
            <v>2.1306595754718702</v>
          </cell>
          <cell r="E981">
            <v>3.3889880574624263</v>
          </cell>
          <cell r="F981">
            <v>4.0381543499405108</v>
          </cell>
          <cell r="G981">
            <v>4.342450287548715</v>
          </cell>
          <cell r="H981">
            <v>4.6088125760390897</v>
          </cell>
          <cell r="I981">
            <v>4.8929095072882802</v>
          </cell>
          <cell r="J981">
            <v>5.5134802511434993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D982">
            <v>4.2795132627914409E-3</v>
          </cell>
          <cell r="E982">
            <v>1.6797372050170322E-3</v>
          </cell>
          <cell r="F982">
            <v>1.8028748182671128E-3</v>
          </cell>
          <cell r="G982">
            <v>9.0618443193805052E-4</v>
          </cell>
          <cell r="H982">
            <v>1.7948522137711841E-3</v>
          </cell>
          <cell r="I982">
            <v>1.3938850129976295E-3</v>
          </cell>
          <cell r="J982">
            <v>8.5992238156312262E-4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D983">
            <v>2.1349390887346629</v>
          </cell>
          <cell r="E983">
            <v>3.3906652747043364</v>
          </cell>
          <cell r="F983">
            <v>4.0399572247587781</v>
          </cell>
          <cell r="G983">
            <v>4.3433564719806563</v>
          </cell>
          <cell r="H983">
            <v>4.6106074282528624</v>
          </cell>
          <cell r="I983">
            <v>4.8943033923012838</v>
          </cell>
          <cell r="J983">
            <v>5.5143401735250617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F984">
            <v>375</v>
          </cell>
          <cell r="G984">
            <v>2.0497129073435398</v>
          </cell>
          <cell r="H984">
            <v>1.8727439559277399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F985">
            <v>375</v>
          </cell>
          <cell r="G985">
            <v>5.0174976329839751</v>
          </cell>
          <cell r="H985">
            <v>4.718293953086004</v>
          </cell>
          <cell r="I985">
            <v>2.7313547071370294</v>
          </cell>
          <cell r="J985">
            <v>1.2262918919309982</v>
          </cell>
        </row>
        <row r="986">
          <cell r="A986" t="str">
            <v>ITOT-SWHHFOBR</v>
          </cell>
          <cell r="B986" t="str">
            <v>VAR_fout</v>
          </cell>
          <cell r="C986" t="str">
            <v>ITOT-SWH</v>
          </cell>
          <cell r="D986">
            <v>1.8458296733957211</v>
          </cell>
          <cell r="E986">
            <v>1.8458243781353956</v>
          </cell>
          <cell r="F986">
            <v>4.1020313488166985E-3</v>
          </cell>
          <cell r="G986">
            <v>3.8861555790906094E-4</v>
          </cell>
          <cell r="H986">
            <v>1.0187933699331588E-3</v>
          </cell>
          <cell r="I986">
            <v>2.6365650575499813E-5</v>
          </cell>
        </row>
        <row r="987">
          <cell r="A987" t="str">
            <v>ITOT-SWHHFOBR</v>
          </cell>
          <cell r="B987" t="str">
            <v>VAR_fout</v>
          </cell>
          <cell r="C987" t="str">
            <v>CO2_I</v>
          </cell>
          <cell r="D987">
            <v>210.210959292247</v>
          </cell>
          <cell r="E987">
            <v>209.30487757370699</v>
          </cell>
          <cell r="F987">
            <v>0.46215844734724898</v>
          </cell>
          <cell r="G987">
            <v>4.3320156292432403E-2</v>
          </cell>
          <cell r="H987">
            <v>0.112378317822334</v>
          </cell>
          <cell r="I987">
            <v>2.8781217002494899E-3</v>
          </cell>
        </row>
        <row r="988">
          <cell r="A988" t="str">
            <v>ITOT-SWHHFOBR</v>
          </cell>
          <cell r="B988" t="str">
            <v>VAR_fin</v>
          </cell>
          <cell r="C988" t="str">
            <v>IHFO</v>
          </cell>
          <cell r="D988">
            <v>2.7300124583408691</v>
          </cell>
          <cell r="E988">
            <v>2.7182451632948927</v>
          </cell>
          <cell r="F988">
            <v>6.0020577577564859E-3</v>
          </cell>
          <cell r="G988">
            <v>5.6259943236925249E-4</v>
          </cell>
          <cell r="H988">
            <v>1.459458673017327E-3</v>
          </cell>
          <cell r="I988">
            <v>3.7378203899344037E-5</v>
          </cell>
        </row>
        <row r="989">
          <cell r="A989" t="str">
            <v>ITOT-SWHHFOBR</v>
          </cell>
          <cell r="B989" t="str">
            <v>VAR_ncap</v>
          </cell>
          <cell r="C989" t="str">
            <v>-</v>
          </cell>
          <cell r="D989">
            <v>2.0721867494158299E-3</v>
          </cell>
          <cell r="E989">
            <v>5.7862726141876699E-5</v>
          </cell>
          <cell r="F989">
            <v>2.53393044073498E-5</v>
          </cell>
          <cell r="G989">
            <v>1.90079563878487E-5</v>
          </cell>
          <cell r="H989">
            <v>7.9194075859796202E-5</v>
          </cell>
          <cell r="I989">
            <v>6.9897722975793199E-6</v>
          </cell>
          <cell r="J989">
            <v>1.4550918437897801E-6</v>
          </cell>
        </row>
        <row r="990">
          <cell r="A990" t="str">
            <v>ITOT-SWHHFOBR</v>
          </cell>
          <cell r="B990" t="str">
            <v>VAR_cap</v>
          </cell>
          <cell r="C990" t="str">
            <v>-</v>
          </cell>
          <cell r="D990">
            <v>0.10278918674941583</v>
          </cell>
          <cell r="E990">
            <v>0.10283455737627692</v>
          </cell>
          <cell r="F990">
            <v>3.8907613218305825E-4</v>
          </cell>
          <cell r="G990">
            <v>3.695562684090381E-5</v>
          </cell>
          <cell r="H990">
            <v>9.6127878407716028E-5</v>
          </cell>
          <cell r="I990">
            <v>2.3965586152470045E-6</v>
          </cell>
          <cell r="J990">
            <v>-2.3209966654141987E-6</v>
          </cell>
        </row>
        <row r="991">
          <cell r="A991" t="str">
            <v>RHNM-SHCONBR2</v>
          </cell>
          <cell r="B991" t="str">
            <v>VAR_ncap</v>
          </cell>
          <cell r="C991" t="str">
            <v>-</v>
          </cell>
          <cell r="F991">
            <v>375</v>
          </cell>
          <cell r="G991">
            <v>2.0497129073434501</v>
          </cell>
          <cell r="H991">
            <v>1.87274395592756</v>
          </cell>
        </row>
        <row r="992">
          <cell r="A992" t="str">
            <v>RHNM-SHCONBR2</v>
          </cell>
          <cell r="B992" t="str">
            <v>VAR_cap</v>
          </cell>
          <cell r="C992" t="str">
            <v>-</v>
          </cell>
          <cell r="F992">
            <v>375</v>
          </cell>
          <cell r="G992">
            <v>5.0174976329810193</v>
          </cell>
          <cell r="H992">
            <v>4.7182939530849808</v>
          </cell>
          <cell r="I992">
            <v>2.7313547071349831</v>
          </cell>
          <cell r="J992">
            <v>1.2262918919290087</v>
          </cell>
        </row>
        <row r="993">
          <cell r="A993" t="str">
            <v>RHSA-WHSTG-ELCHP</v>
          </cell>
          <cell r="B993" t="str">
            <v>VAR_fout</v>
          </cell>
          <cell r="C993" t="str">
            <v>AUX_RHSA-WHSTG-ELCHP_OUT</v>
          </cell>
          <cell r="D993">
            <v>0.59267365843512865</v>
          </cell>
          <cell r="E993">
            <v>0.5971324206910229</v>
          </cell>
          <cell r="F993">
            <v>0.89130412160986916</v>
          </cell>
          <cell r="G993">
            <v>1.7439306283663132</v>
          </cell>
          <cell r="H993">
            <v>2.0080502939669671</v>
          </cell>
          <cell r="I993">
            <v>2.6181147648426322</v>
          </cell>
          <cell r="J993">
            <v>2.3704042081499139</v>
          </cell>
        </row>
        <row r="994">
          <cell r="A994" t="str">
            <v>RHSA-WHSTG-ELCHP</v>
          </cell>
          <cell r="B994" t="str">
            <v>VAR_fout</v>
          </cell>
          <cell r="C994" t="str">
            <v>RHSA-WHAELCH</v>
          </cell>
          <cell r="D994">
            <v>0.59208157685827045</v>
          </cell>
          <cell r="E994">
            <v>0.59653588480621678</v>
          </cell>
          <cell r="F994">
            <v>0.89041370790196717</v>
          </cell>
          <cell r="G994">
            <v>1.7421884399263869</v>
          </cell>
          <cell r="H994">
            <v>2.0060442497172493</v>
          </cell>
          <cell r="I994">
            <v>2.6154992655770553</v>
          </cell>
          <cell r="J994">
            <v>2.3680361719779355</v>
          </cell>
        </row>
        <row r="995">
          <cell r="A995" t="str">
            <v>RHSA-WHSTG-ELCHP</v>
          </cell>
          <cell r="B995" t="str">
            <v>VAR_fin</v>
          </cell>
          <cell r="C995" t="str">
            <v>RHSA-WHAELCH</v>
          </cell>
          <cell r="D995">
            <v>0.59210168504644434</v>
          </cell>
          <cell r="E995">
            <v>0.5965417093751274</v>
          </cell>
          <cell r="F995">
            <v>0.89041529052801816</v>
          </cell>
          <cell r="G995">
            <v>1.7421946067759704</v>
          </cell>
          <cell r="H995">
            <v>2.0060543661309427</v>
          </cell>
          <cell r="I995">
            <v>2.6155098652184559</v>
          </cell>
          <cell r="J995">
            <v>2.3680431275760512</v>
          </cell>
        </row>
        <row r="996">
          <cell r="A996" t="str">
            <v>RHSA-WHSTG-ELCHP</v>
          </cell>
          <cell r="B996" t="str">
            <v>VAR_ncap</v>
          </cell>
          <cell r="C996" t="str">
            <v>-</v>
          </cell>
          <cell r="D996">
            <v>5.7966490855831998E-2</v>
          </cell>
          <cell r="E996">
            <v>1.4965294534678201E-4</v>
          </cell>
          <cell r="F996">
            <v>2.4825158521021899E-2</v>
          </cell>
          <cell r="G996">
            <v>6.1957131402957402E-2</v>
          </cell>
          <cell r="H996">
            <v>8.1823434638071499E-2</v>
          </cell>
          <cell r="I996">
            <v>0.100375799788187</v>
          </cell>
          <cell r="J996">
            <v>0.14339857931866401</v>
          </cell>
        </row>
        <row r="997">
          <cell r="A997" t="str">
            <v>RHSA-WHSTG-ELCHP</v>
          </cell>
          <cell r="B997" t="str">
            <v>VAR_cap</v>
          </cell>
          <cell r="C997" t="str">
            <v>-</v>
          </cell>
          <cell r="D997">
            <v>5.7967730385235089E-2</v>
          </cell>
          <cell r="E997">
            <v>5.7915005221745371E-2</v>
          </cell>
          <cell r="F997">
            <v>8.2705500714857966E-2</v>
          </cell>
          <cell r="G997">
            <v>0.14462200695557123</v>
          </cell>
          <cell r="H997">
            <v>0.18340332739828613</v>
          </cell>
          <cell r="I997">
            <v>0.22877134409704003</v>
          </cell>
          <cell r="J997">
            <v>0.2507613609957593</v>
          </cell>
        </row>
        <row r="998">
          <cell r="A998" t="str">
            <v>RHNM-SHCONBR3</v>
          </cell>
          <cell r="B998" t="str">
            <v>VAR_ncap</v>
          </cell>
          <cell r="C998" t="str">
            <v>-</v>
          </cell>
          <cell r="F998">
            <v>375</v>
          </cell>
          <cell r="G998">
            <v>2.0497129073435398</v>
          </cell>
          <cell r="H998">
            <v>1.8727439559277399</v>
          </cell>
        </row>
        <row r="999">
          <cell r="A999" t="str">
            <v>RHNM-SHCONBR3</v>
          </cell>
          <cell r="B999" t="str">
            <v>VAR_cap</v>
          </cell>
          <cell r="C999" t="str">
            <v>-</v>
          </cell>
          <cell r="F999">
            <v>375</v>
          </cell>
          <cell r="G999">
            <v>5.0174976329839751</v>
          </cell>
          <cell r="H999">
            <v>4.718293953086004</v>
          </cell>
          <cell r="I999">
            <v>2.7313547071370294</v>
          </cell>
          <cell r="J999">
            <v>1.2262918919309982</v>
          </cell>
        </row>
        <row r="1000">
          <cell r="A1000" t="str">
            <v>RES-ELCSPECADV</v>
          </cell>
          <cell r="B1000" t="str">
            <v>VAR_fout</v>
          </cell>
          <cell r="C1000" t="str">
            <v>RHSA-ELS</v>
          </cell>
          <cell r="G1000">
            <v>10.954532865598008</v>
          </cell>
          <cell r="H1000">
            <v>20.073415462346571</v>
          </cell>
          <cell r="I1000">
            <v>29.400509553837953</v>
          </cell>
          <cell r="J1000">
            <v>46.697441847567148</v>
          </cell>
        </row>
        <row r="1001">
          <cell r="A1001" t="str">
            <v>RES-ELCSPECADV</v>
          </cell>
          <cell r="B1001" t="str">
            <v>VAR_fin</v>
          </cell>
          <cell r="C1001" t="str">
            <v>RHSA_ELC</v>
          </cell>
          <cell r="G1001">
            <v>7.3030219103986704</v>
          </cell>
          <cell r="H1001">
            <v>13.382276974897708</v>
          </cell>
          <cell r="I1001">
            <v>19.600339702558621</v>
          </cell>
          <cell r="J1001">
            <v>31.131627898378113</v>
          </cell>
        </row>
        <row r="1002">
          <cell r="A1002" t="str">
            <v>RES-ELCSPECADV</v>
          </cell>
          <cell r="B1002" t="str">
            <v>VAR_ncap</v>
          </cell>
          <cell r="C1002" t="str">
            <v>-</v>
          </cell>
          <cell r="F1002">
            <v>2.5715733421175E-7</v>
          </cell>
          <cell r="G1002">
            <v>1.15788609025741</v>
          </cell>
          <cell r="H1002">
            <v>0.96385948318945103</v>
          </cell>
          <cell r="I1002">
            <v>0.98586763034485603</v>
          </cell>
          <cell r="J1002">
            <v>2.2302588571902699</v>
          </cell>
        </row>
        <row r="1003">
          <cell r="A1003" t="str">
            <v>RES-ELCSPECADV</v>
          </cell>
          <cell r="B1003" t="str">
            <v>VAR_cap</v>
          </cell>
          <cell r="C1003" t="str">
            <v>-</v>
          </cell>
          <cell r="F1003">
            <v>2.5715733421175E-7</v>
          </cell>
          <cell r="G1003">
            <v>1.1578863030326683</v>
          </cell>
          <cell r="H1003">
            <v>2.1217456621996775</v>
          </cell>
          <cell r="I1003">
            <v>3.1076131934203164</v>
          </cell>
          <cell r="J1003">
            <v>4.9358869199945206</v>
          </cell>
        </row>
        <row r="1004">
          <cell r="A1004" t="str">
            <v>ITOT-SWHSTG-ELCHP</v>
          </cell>
          <cell r="B1004" t="str">
            <v>VAR_fout</v>
          </cell>
          <cell r="C1004" t="str">
            <v>ITOT-SWHAELCH</v>
          </cell>
          <cell r="D1004">
            <v>1.1967780005830402E-4</v>
          </cell>
          <cell r="E1004">
            <v>2.828603044610986E-5</v>
          </cell>
          <cell r="F1004">
            <v>6.5528589639970367E-3</v>
          </cell>
          <cell r="G1004">
            <v>7.3852107391341913E-4</v>
          </cell>
          <cell r="H1004">
            <v>2.2045516327328465E-3</v>
          </cell>
          <cell r="I1004">
            <v>4.3511092974511962E-3</v>
          </cell>
          <cell r="J1004">
            <v>2.3801308220057125E-2</v>
          </cell>
        </row>
        <row r="1005">
          <cell r="A1005" t="str">
            <v>ITOT-SWHSTG-ELCHP</v>
          </cell>
          <cell r="B1005" t="str">
            <v>VAR_fin</v>
          </cell>
          <cell r="C1005" t="str">
            <v>ITOT-SWHAELCH</v>
          </cell>
          <cell r="D1005">
            <v>1.5454401676566121E-4</v>
          </cell>
          <cell r="E1005">
            <v>3.1352156992748643E-5</v>
          </cell>
          <cell r="F1005">
            <v>8.4623931585267233E-3</v>
          </cell>
          <cell r="G1005">
            <v>9.3358898627008921E-4</v>
          </cell>
          <cell r="H1005">
            <v>2.6932209112827013E-3</v>
          </cell>
          <cell r="I1005">
            <v>5.1537678627234448E-3</v>
          </cell>
          <cell r="J1005">
            <v>2.6472314609904485E-2</v>
          </cell>
        </row>
        <row r="1006">
          <cell r="A1006" t="str">
            <v>ITOT-SWHSTG-ELCHP</v>
          </cell>
          <cell r="B1006" t="str">
            <v>VAR_ncap</v>
          </cell>
          <cell r="C1006" t="str">
            <v>-</v>
          </cell>
          <cell r="D1006">
            <v>1.8601788883918901E-2</v>
          </cell>
          <cell r="E1006">
            <v>8.2638899892278699E-5</v>
          </cell>
          <cell r="F1006">
            <v>2.75084116785806E-4</v>
          </cell>
          <cell r="G1006">
            <v>2.7685397105078301E-2</v>
          </cell>
          <cell r="H1006">
            <v>5.6215705921904502E-2</v>
          </cell>
          <cell r="I1006">
            <v>1.41610624280965E-2</v>
          </cell>
          <cell r="J1006">
            <v>5.5169960725418403E-2</v>
          </cell>
        </row>
        <row r="1007">
          <cell r="A1007" t="str">
            <v>ITOT-SWHSTG-ELCHP</v>
          </cell>
          <cell r="B1007" t="str">
            <v>VAR_cap</v>
          </cell>
          <cell r="C1007" t="str">
            <v>-</v>
          </cell>
          <cell r="D1007">
            <v>1.8601788883918901E-2</v>
          </cell>
          <cell r="E1007">
            <v>1.8001512108154889E-2</v>
          </cell>
          <cell r="F1007">
            <v>1.8139976151148273E-2</v>
          </cell>
          <cell r="G1007">
            <v>4.5839866010162073E-2</v>
          </cell>
          <cell r="H1007">
            <v>8.8457451366292877E-2</v>
          </cell>
          <cell r="I1007">
            <v>8.9214602570092033E-2</v>
          </cell>
          <cell r="J1007">
            <v>8.9123696174351147E-2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RHNS_LTH_CHPWOD_ON</v>
          </cell>
          <cell r="D1008">
            <v>4.0182424990013588E-5</v>
          </cell>
          <cell r="E1008">
            <v>1.5530527891033934E-5</v>
          </cell>
          <cell r="F1008">
            <v>5.7085176337819363E-6</v>
          </cell>
          <cell r="I1008">
            <v>4.4473042785741758E-4</v>
          </cell>
          <cell r="J1008">
            <v>8.8291313274736707E-6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RHSA_LTH</v>
          </cell>
          <cell r="D1009">
            <v>3.0428156980296018E-5</v>
          </cell>
          <cell r="E1009">
            <v>4.0411424947328685E-5</v>
          </cell>
          <cell r="F1009">
            <v>1.8115963749876157E-5</v>
          </cell>
          <cell r="G1009">
            <v>1.5603253566020216E-3</v>
          </cell>
          <cell r="H1009">
            <v>3.0366259822419573E-3</v>
          </cell>
          <cell r="I1009">
            <v>2.3759472045901332E-3</v>
          </cell>
          <cell r="J1009">
            <v>3.5773368254982062E-5</v>
          </cell>
        </row>
        <row r="1010">
          <cell r="A1010" t="str">
            <v>D-RHNS_LTH_CHPWOD</v>
          </cell>
          <cell r="B1010" t="str">
            <v>VAR_fout</v>
          </cell>
          <cell r="C1010" t="str">
            <v>LTH</v>
          </cell>
          <cell r="H1010">
            <v>1.6736176079934597E-6</v>
          </cell>
          <cell r="I1010">
            <v>3.2118812712857966E-6</v>
          </cell>
          <cell r="J1010">
            <v>1.7680719940623393E-5</v>
          </cell>
        </row>
        <row r="1011">
          <cell r="A1011" t="str">
            <v>D-RHNS_LTH_CHPWOD</v>
          </cell>
          <cell r="B1011" t="str">
            <v>VAR_fin</v>
          </cell>
          <cell r="C1011" t="str">
            <v>RHNS_LTH_CHPWOD</v>
          </cell>
          <cell r="D1011">
            <v>7.0610581970309579E-5</v>
          </cell>
          <cell r="E1011">
            <v>5.7270678971479048E-5</v>
          </cell>
          <cell r="F1011">
            <v>2.4611171640345839E-5</v>
          </cell>
          <cell r="G1011">
            <v>1.5614367159281536E-3</v>
          </cell>
          <cell r="H1011">
            <v>3.0396251459035651E-3</v>
          </cell>
          <cell r="I1011">
            <v>2.8246485954449116E-3</v>
          </cell>
          <cell r="J1011">
            <v>6.2283219523079131E-5</v>
          </cell>
        </row>
        <row r="1012">
          <cell r="A1012" t="str">
            <v>RHNM-SHCONBR4</v>
          </cell>
          <cell r="B1012" t="str">
            <v>VAR_ncap</v>
          </cell>
          <cell r="C1012" t="str">
            <v>-</v>
          </cell>
          <cell r="F1012">
            <v>375</v>
          </cell>
          <cell r="G1012">
            <v>2.0497129073434501</v>
          </cell>
          <cell r="H1012">
            <v>1.87274395592756</v>
          </cell>
        </row>
        <row r="1013">
          <cell r="A1013" t="str">
            <v>RHNM-SHCONBR4</v>
          </cell>
          <cell r="B1013" t="str">
            <v>VAR_cap</v>
          </cell>
          <cell r="C1013" t="str">
            <v>-</v>
          </cell>
          <cell r="F1013">
            <v>375</v>
          </cell>
          <cell r="G1013">
            <v>5.0174976329810193</v>
          </cell>
          <cell r="H1013">
            <v>4.7182939530849808</v>
          </cell>
          <cell r="I1013">
            <v>2.7313547071349831</v>
          </cell>
          <cell r="J1013">
            <v>1.2262918919290087</v>
          </cell>
        </row>
        <row r="1014">
          <cell r="A1014" t="str">
            <v>D-SBIO</v>
          </cell>
          <cell r="B1014" t="str">
            <v>VAR_fout</v>
          </cell>
          <cell r="C1014" t="str">
            <v>SBIO</v>
          </cell>
          <cell r="D1014">
            <v>4.0476837461877153</v>
          </cell>
          <cell r="E1014">
            <v>4.5832956814341541</v>
          </cell>
          <cell r="F1014">
            <v>3.3327771513619973</v>
          </cell>
          <cell r="G1014">
            <v>3.0323782025761243</v>
          </cell>
          <cell r="H1014">
            <v>2.9930691914410996</v>
          </cell>
          <cell r="I1014">
            <v>2.9497944517210204</v>
          </cell>
          <cell r="J1014">
            <v>2.8714346448432329</v>
          </cell>
        </row>
        <row r="1015">
          <cell r="A1015" t="str">
            <v>D-SBIO</v>
          </cell>
          <cell r="B1015" t="str">
            <v>VAR_fin</v>
          </cell>
          <cell r="C1015" t="str">
            <v>BIO</v>
          </cell>
          <cell r="D1015">
            <v>4.0476837461877153</v>
          </cell>
          <cell r="E1015">
            <v>4.5832956814341541</v>
          </cell>
          <cell r="F1015">
            <v>3.3327771513619973</v>
          </cell>
          <cell r="G1015">
            <v>3.0323782025761243</v>
          </cell>
          <cell r="H1015">
            <v>2.9930691914410996</v>
          </cell>
          <cell r="I1015">
            <v>2.9497944517210204</v>
          </cell>
          <cell r="J1015">
            <v>2.8714346448432329</v>
          </cell>
        </row>
        <row r="1016">
          <cell r="A1016" t="str">
            <v>RHEM-SHDEM</v>
          </cell>
          <cell r="B1016" t="str">
            <v>VAR_fout</v>
          </cell>
          <cell r="C1016" t="str">
            <v>RHEM-SHD</v>
          </cell>
          <cell r="D1016">
            <v>66.986774791699034</v>
          </cell>
          <cell r="E1016">
            <v>66.782026660973159</v>
          </cell>
          <cell r="F1016">
            <v>66.369299634330218</v>
          </cell>
          <cell r="G1016">
            <v>63.259729002155353</v>
          </cell>
          <cell r="H1016">
            <v>59.935781844877276</v>
          </cell>
          <cell r="I1016">
            <v>57.0197896241596</v>
          </cell>
          <cell r="J1016">
            <v>53.241862855165344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RHEM-SHNST</v>
          </cell>
          <cell r="D1017">
            <v>3.7193062502915807E-4</v>
          </cell>
          <cell r="E1017">
            <v>6.8158636897137711E-5</v>
          </cell>
          <cell r="F1017">
            <v>1.8900119718129484E-6</v>
          </cell>
          <cell r="G1017">
            <v>2.3850743555661031E-6</v>
          </cell>
          <cell r="H1017">
            <v>2.7577712671453417E-6</v>
          </cell>
          <cell r="I1017">
            <v>1.5453436487375925E-6</v>
          </cell>
          <cell r="J1017">
            <v>4.4707872405159328E-6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RHEM-SHPLT</v>
          </cell>
          <cell r="D1018">
            <v>1.4004866029036862</v>
          </cell>
          <cell r="E1018">
            <v>1.6077634606735123</v>
          </cell>
          <cell r="F1018">
            <v>0.14762291227961433</v>
          </cell>
          <cell r="G1018">
            <v>0.12760628398590221</v>
          </cell>
          <cell r="H1018">
            <v>0.10115667540076743</v>
          </cell>
          <cell r="I1018">
            <v>7.2351077184864152E-2</v>
          </cell>
          <cell r="J1018">
            <v>2.4233672807749858E-2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RHEM-SHNGAH</v>
          </cell>
          <cell r="D1019">
            <v>3.7243092110879697E-4</v>
          </cell>
          <cell r="E1019">
            <v>7.8570391449409215E-6</v>
          </cell>
          <cell r="F1019">
            <v>2.0943761171467319</v>
          </cell>
          <cell r="G1019">
            <v>3.6998386644042878</v>
          </cell>
          <cell r="H1019">
            <v>4.3811243739382499</v>
          </cell>
          <cell r="I1019">
            <v>5.0648819394599389</v>
          </cell>
          <cell r="J1019">
            <v>3.9792454534523545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RHEM-SHLTHC-WOD</v>
          </cell>
          <cell r="D1020">
            <v>3.5211935845424152E-4</v>
          </cell>
          <cell r="E1020">
            <v>1.4065639000162869E-6</v>
          </cell>
          <cell r="F1020">
            <v>1.5124302836090732E-6</v>
          </cell>
          <cell r="G1020">
            <v>1.867960987715281E-6</v>
          </cell>
          <cell r="H1020">
            <v>2.9575137537990048E-6</v>
          </cell>
          <cell r="I1020">
            <v>6.0697188760341362E-7</v>
          </cell>
          <cell r="J1020">
            <v>5.0251355235754794E-7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RHEM-SHSOL</v>
          </cell>
          <cell r="D1021">
            <v>0.40756028986184994</v>
          </cell>
          <cell r="E1021">
            <v>0.47083530126216661</v>
          </cell>
          <cell r="F1021">
            <v>1.2196896204484772E-2</v>
          </cell>
          <cell r="G1021">
            <v>1.5720107672379607E-2</v>
          </cell>
          <cell r="H1021">
            <v>1.6449675389258529E-2</v>
          </cell>
          <cell r="I1021">
            <v>1.6391726456453117E-2</v>
          </cell>
          <cell r="J1021">
            <v>1.4814715348534449E-2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RHEM-SHLTHD</v>
          </cell>
          <cell r="D1022">
            <v>3.372587541863028</v>
          </cell>
          <cell r="E1022">
            <v>3.7886881640117251</v>
          </cell>
          <cell r="F1022">
            <v>4.4396996228081456</v>
          </cell>
          <cell r="G1022">
            <v>6.8599755533660618</v>
          </cell>
          <cell r="H1022">
            <v>7.3721088590687867</v>
          </cell>
          <cell r="I1022">
            <v>7.7423012031623388</v>
          </cell>
          <cell r="J1022">
            <v>6.3224144666451894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</v>
          </cell>
          <cell r="D1023">
            <v>18.998414668591611</v>
          </cell>
          <cell r="E1023">
            <v>19.346741824010312</v>
          </cell>
          <cell r="F1023">
            <v>20.818021693414817</v>
          </cell>
          <cell r="G1023">
            <v>13.44378597608266</v>
          </cell>
          <cell r="H1023">
            <v>7.2397037836019003</v>
          </cell>
          <cell r="I1023">
            <v>1.9038874378751538</v>
          </cell>
          <cell r="J1023">
            <v>0.66483343837150521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RHEM-SHELCB</v>
          </cell>
          <cell r="D1024">
            <v>4.6271830609327926</v>
          </cell>
          <cell r="E1024">
            <v>3.1705919320947693</v>
          </cell>
          <cell r="F1024">
            <v>3.5700723792028051E-2</v>
          </cell>
          <cell r="G1024">
            <v>9.3447755211379432E-3</v>
          </cell>
          <cell r="H1024">
            <v>4.2943271176636207E-3</v>
          </cell>
          <cell r="I1024">
            <v>3.4892576649615185E-3</v>
          </cell>
          <cell r="J1024">
            <v>1.943109396842459E-3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RHEM-SHELCH</v>
          </cell>
          <cell r="D1025">
            <v>9.9015995673452295</v>
          </cell>
          <cell r="E1025">
            <v>11.655159584601845</v>
          </cell>
          <cell r="F1025">
            <v>11.232970429072745</v>
          </cell>
          <cell r="G1025">
            <v>19.141680104947238</v>
          </cell>
          <cell r="H1025">
            <v>22.391727616619651</v>
          </cell>
          <cell r="I1025">
            <v>26.539569008869069</v>
          </cell>
          <cell r="J1025">
            <v>23.457681477405384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RHEM-SHLFO</v>
          </cell>
          <cell r="D1026">
            <v>23.44265073396738</v>
          </cell>
          <cell r="E1026">
            <v>18.491169395829377</v>
          </cell>
          <cell r="F1026">
            <v>20.297898646537558</v>
          </cell>
          <cell r="G1026">
            <v>9.7906819244603689</v>
          </cell>
          <cell r="H1026">
            <v>6.000864476222084</v>
          </cell>
          <cell r="I1026">
            <v>1.5979661933588738</v>
          </cell>
          <cell r="J1026">
            <v>0.18186542282768109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RHEM-SHCON</v>
          </cell>
          <cell r="D1027">
            <v>4.3462579297590558E-2</v>
          </cell>
          <cell r="E1027">
            <v>4.6516416601548967</v>
          </cell>
          <cell r="F1027">
            <v>2.8674689766521348</v>
          </cell>
          <cell r="G1027">
            <v>6.5787281331887222</v>
          </cell>
          <cell r="H1027">
            <v>9.6398952050258977</v>
          </cell>
          <cell r="I1027">
            <v>12.149884046219437</v>
          </cell>
          <cell r="J1027">
            <v>17.88622787733874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RHEM-SHWOD</v>
          </cell>
          <cell r="D1028">
            <v>4.7430859759537682</v>
          </cell>
          <cell r="E1028">
            <v>3.599040311603678</v>
          </cell>
          <cell r="F1028">
            <v>4.4241376669490009</v>
          </cell>
          <cell r="G1028">
            <v>3.5929047715570865</v>
          </cell>
          <cell r="H1028">
            <v>2.789163048229145</v>
          </cell>
          <cell r="I1028">
            <v>1.9295900048089427</v>
          </cell>
          <cell r="J1028">
            <v>0.70904606916057455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RHEM-SHLTHC-NGA</v>
          </cell>
          <cell r="D1029">
            <v>4.930633466093054E-2</v>
          </cell>
          <cell r="E1029">
            <v>1.0477126294012567E-3</v>
          </cell>
          <cell r="F1029">
            <v>1.3404012134937446E-6</v>
          </cell>
          <cell r="G1029">
            <v>1.9566108679605059E-6</v>
          </cell>
          <cell r="I1029">
            <v>1.8343022132488098E-6</v>
          </cell>
          <cell r="J1029">
            <v>5.848434147060704E-7</v>
          </cell>
        </row>
        <row r="1030">
          <cell r="A1030" t="str">
            <v>ITOT-SWHH2BR</v>
          </cell>
          <cell r="B1030" t="str">
            <v>VAR_fout</v>
          </cell>
          <cell r="C1030" t="str">
            <v>ITOT-SWH</v>
          </cell>
          <cell r="H1030">
            <v>4.4244205059563475</v>
          </cell>
          <cell r="I1030">
            <v>5.260428833055486</v>
          </cell>
          <cell r="J1030">
            <v>5.2603979046828808</v>
          </cell>
        </row>
        <row r="1031">
          <cell r="A1031" t="str">
            <v>ITOT-SWHH2BR</v>
          </cell>
          <cell r="B1031" t="str">
            <v>VAR_fin</v>
          </cell>
          <cell r="C1031" t="str">
            <v>IH2</v>
          </cell>
          <cell r="H1031">
            <v>5.4841510303956396</v>
          </cell>
          <cell r="I1031">
            <v>6.5061926330826507</v>
          </cell>
          <cell r="J1031">
            <v>6.4779270937263274</v>
          </cell>
        </row>
        <row r="1032">
          <cell r="A1032" t="str">
            <v>ITOT-SWHH2BR</v>
          </cell>
          <cell r="B1032" t="str">
            <v>VAR_ncap</v>
          </cell>
          <cell r="C1032" t="str">
            <v>-</v>
          </cell>
          <cell r="H1032">
            <v>0.36364417207482602</v>
          </cell>
          <cell r="I1032">
            <v>9.0284982199174205E-2</v>
          </cell>
          <cell r="J1032">
            <v>0.20793163679551599</v>
          </cell>
        </row>
        <row r="1033">
          <cell r="A1033" t="str">
            <v>ITOT-SWHH2BR</v>
          </cell>
          <cell r="B1033" t="str">
            <v>VAR_cap</v>
          </cell>
          <cell r="C1033" t="str">
            <v>-</v>
          </cell>
          <cell r="H1033">
            <v>0.36364417207482602</v>
          </cell>
          <cell r="I1033">
            <v>0.45391900396477147</v>
          </cell>
          <cell r="J1033">
            <v>0.4272516267112238</v>
          </cell>
        </row>
        <row r="1034">
          <cell r="A1034" t="str">
            <v>RHNS-SHSTG-ELC</v>
          </cell>
          <cell r="B1034" t="str">
            <v>VAR_fout</v>
          </cell>
          <cell r="C1034" t="str">
            <v>RHNS-SHAELCB</v>
          </cell>
          <cell r="E1034">
            <v>5.215557378348612E-3</v>
          </cell>
          <cell r="F1034">
            <v>1.3884318196839473E-3</v>
          </cell>
          <cell r="G1034">
            <v>1.4040908628269791E-3</v>
          </cell>
          <cell r="H1034">
            <v>1.6328998711641366E-3</v>
          </cell>
          <cell r="I1034">
            <v>1.3369135114574559E-3</v>
          </cell>
          <cell r="J1034">
            <v>7.0784338469276483E-4</v>
          </cell>
        </row>
        <row r="1035">
          <cell r="A1035" t="str">
            <v>RHNS-SHSTG-ELC</v>
          </cell>
          <cell r="B1035" t="str">
            <v>VAR_fout</v>
          </cell>
          <cell r="C1035" t="str">
            <v>AUX_RHNS-SHSTG-ELC_OUT</v>
          </cell>
          <cell r="E1035">
            <v>5.2207729357269597E-3</v>
          </cell>
          <cell r="F1035">
            <v>1.3898202515036304E-3</v>
          </cell>
          <cell r="G1035">
            <v>1.4054949536898074E-3</v>
          </cell>
          <cell r="H1035">
            <v>1.6345327710353011E-3</v>
          </cell>
          <cell r="I1035">
            <v>1.3382504249689132E-3</v>
          </cell>
          <cell r="J1035">
            <v>7.0855122807745772E-4</v>
          </cell>
        </row>
        <row r="1036">
          <cell r="A1036" t="str">
            <v>RHNS-SHSTG-ELC</v>
          </cell>
          <cell r="B1036" t="str">
            <v>VAR_fin</v>
          </cell>
          <cell r="C1036" t="str">
            <v>RHNS-SHAELCB</v>
          </cell>
          <cell r="E1036">
            <v>5.2119367992773877E-3</v>
          </cell>
          <cell r="F1036">
            <v>1.3840679916591481E-3</v>
          </cell>
          <cell r="G1036">
            <v>1.4018482378847996E-3</v>
          </cell>
          <cell r="H1036">
            <v>1.632904423103211E-3</v>
          </cell>
          <cell r="I1036">
            <v>1.3379674497535508E-3</v>
          </cell>
          <cell r="J1036">
            <v>7.1000216293339176E-4</v>
          </cell>
        </row>
        <row r="1037">
          <cell r="A1037" t="str">
            <v>RHNS-SHSTG-ELC</v>
          </cell>
          <cell r="B1037" t="str">
            <v>VAR_ncap</v>
          </cell>
          <cell r="C1037" t="str">
            <v>-</v>
          </cell>
          <cell r="D1037">
            <v>1.1365096685321701E-4</v>
          </cell>
          <cell r="E1037">
            <v>7.2014140159558295E-4</v>
          </cell>
          <cell r="F1037">
            <v>1.8552855392396699E-4</v>
          </cell>
          <cell r="G1037">
            <v>5.5157919082210498E-5</v>
          </cell>
          <cell r="H1037">
            <v>2.9983724790005401E-4</v>
          </cell>
          <cell r="I1037">
            <v>7.1061298684682906E-5</v>
          </cell>
          <cell r="J1037">
            <v>4.1372578983864998E-5</v>
          </cell>
        </row>
        <row r="1038">
          <cell r="A1038" t="str">
            <v>RHNS-SHSTG-ELC</v>
          </cell>
          <cell r="B1038" t="str">
            <v>VAR_cap</v>
          </cell>
          <cell r="C1038" t="str">
            <v>-</v>
          </cell>
          <cell r="D1038">
            <v>1.1365096685321701E-4</v>
          </cell>
          <cell r="E1038">
            <v>8.2672399636760964E-4</v>
          </cell>
          <cell r="F1038">
            <v>9.277438179021351E-4</v>
          </cell>
          <cell r="G1038">
            <v>9.2670829824586891E-4</v>
          </cell>
          <cell r="H1038">
            <v>8.2710273331563209E-4</v>
          </cell>
          <cell r="I1038">
            <v>3.5570114164039271E-4</v>
          </cell>
          <cell r="J1038">
            <v>1.5056260188372821E-4</v>
          </cell>
        </row>
        <row r="1039">
          <cell r="A1039" t="str">
            <v>RHES-SHCOABR</v>
          </cell>
          <cell r="B1039" t="str">
            <v>VAR_fout</v>
          </cell>
          <cell r="C1039" t="str">
            <v>CO2_R</v>
          </cell>
          <cell r="D1039">
            <v>9.27043618018185</v>
          </cell>
          <cell r="E1039">
            <v>9.2701690974975293</v>
          </cell>
          <cell r="F1039">
            <v>2.4418263597140499</v>
          </cell>
        </row>
        <row r="1040">
          <cell r="A1040" t="str">
            <v>RHES-SHCOABR</v>
          </cell>
          <cell r="B1040" t="str">
            <v>VAR_fout</v>
          </cell>
          <cell r="C1040" t="str">
            <v>RHES-SHCOA</v>
          </cell>
          <cell r="D1040">
            <v>7.2003387807237682E-2</v>
          </cell>
          <cell r="E1040">
            <v>7.2001313378621534E-2</v>
          </cell>
          <cell r="F1040">
            <v>2.1051899413794289E-2</v>
          </cell>
        </row>
        <row r="1041">
          <cell r="A1041" t="str">
            <v>RHES-SHCOABR</v>
          </cell>
          <cell r="B1041" t="str">
            <v>VAR_fin</v>
          </cell>
          <cell r="C1041" t="str">
            <v>RCOA</v>
          </cell>
          <cell r="D1041">
            <v>0.10000470528783008</v>
          </cell>
          <cell r="E1041">
            <v>0.10000182413697438</v>
          </cell>
          <cell r="F1041">
            <v>2.6341168928954148E-2</v>
          </cell>
        </row>
        <row r="1042">
          <cell r="A1042" t="str">
            <v>RHES-SHCOABR</v>
          </cell>
          <cell r="B1042" t="str">
            <v>VAR_cap</v>
          </cell>
          <cell r="C1042" t="str">
            <v>-</v>
          </cell>
          <cell r="D1042">
            <v>7.0000000000000001E-3</v>
          </cell>
          <cell r="E1042">
            <v>6.9784923519878236E-3</v>
          </cell>
          <cell r="F1042">
            <v>2.7613932808527005E-3</v>
          </cell>
          <cell r="G1042">
            <v>3.051148290400367E-6</v>
          </cell>
          <cell r="H1042">
            <v>1.213800940199055E-7</v>
          </cell>
        </row>
        <row r="1043">
          <cell r="A1043" t="str">
            <v>D-INGA</v>
          </cell>
          <cell r="B1043" t="str">
            <v>VAR_fout</v>
          </cell>
          <cell r="C1043" t="str">
            <v>CO2</v>
          </cell>
          <cell r="D1043">
            <v>2102.5026804803001</v>
          </cell>
          <cell r="E1043">
            <v>1728.02641639235</v>
          </cell>
          <cell r="F1043">
            <v>1903.2230314215501</v>
          </cell>
          <cell r="G1043">
            <v>1348.2119329965601</v>
          </cell>
          <cell r="H1043">
            <v>577.322434767338</v>
          </cell>
          <cell r="I1043">
            <v>132.67544282206899</v>
          </cell>
          <cell r="J1043">
            <v>253.542744561082</v>
          </cell>
        </row>
        <row r="1044">
          <cell r="A1044" t="str">
            <v>D-INGA</v>
          </cell>
          <cell r="B1044" t="str">
            <v>VAR_fout</v>
          </cell>
          <cell r="C1044" t="str">
            <v>IH2</v>
          </cell>
          <cell r="H1044">
            <v>0.32928174301946606</v>
          </cell>
          <cell r="I1044">
            <v>0.12379825519277605</v>
          </cell>
          <cell r="J1044">
            <v>0.16664662276101208</v>
          </cell>
        </row>
        <row r="1045">
          <cell r="A1045" t="str">
            <v>D-INGA</v>
          </cell>
          <cell r="B1045" t="str">
            <v>VAR_fout</v>
          </cell>
          <cell r="C1045" t="str">
            <v>INGA</v>
          </cell>
          <cell r="D1045">
            <v>37.484375396996811</v>
          </cell>
          <cell r="E1045">
            <v>30.541083717978672</v>
          </cell>
          <cell r="F1045">
            <v>35.2832142442209</v>
          </cell>
          <cell r="G1045">
            <v>25.473929335097257</v>
          </cell>
          <cell r="H1045">
            <v>11.848137170614045</v>
          </cell>
          <cell r="I1045">
            <v>3.9900494268276065</v>
          </cell>
          <cell r="J1045">
            <v>6.126002794623826</v>
          </cell>
        </row>
        <row r="1046">
          <cell r="A1046" t="str">
            <v>D-INGA</v>
          </cell>
          <cell r="B1046" t="str">
            <v>VAR_fin</v>
          </cell>
          <cell r="C1046" t="str">
            <v>NGA</v>
          </cell>
          <cell r="D1046">
            <v>37.278416320572767</v>
          </cell>
          <cell r="E1046">
            <v>30.638766248091262</v>
          </cell>
          <cell r="F1046">
            <v>33.745089209601879</v>
          </cell>
          <cell r="G1046">
            <v>23.90446689710215</v>
          </cell>
          <cell r="H1046">
            <v>10.236213382399615</v>
          </cell>
          <cell r="I1046">
            <v>2.3524014684763905</v>
          </cell>
          <cell r="J1046">
            <v>4.4954387333525103</v>
          </cell>
        </row>
        <row r="1047">
          <cell r="A1047" t="str">
            <v>D-INGA</v>
          </cell>
          <cell r="B1047" t="str">
            <v>VAR_fin</v>
          </cell>
          <cell r="C1047" t="str">
            <v>BNGA</v>
          </cell>
          <cell r="D1047">
            <v>0.32570739631357049</v>
          </cell>
          <cell r="E1047">
            <v>3.1651609187382755E-5</v>
          </cell>
          <cell r="F1047">
            <v>1.6509964168619402</v>
          </cell>
          <cell r="G1047">
            <v>1.6510381848639177</v>
          </cell>
          <cell r="H1047">
            <v>1.6510387411292282</v>
          </cell>
          <cell r="I1047">
            <v>1.6510396301712364</v>
          </cell>
          <cell r="J1047">
            <v>1.6510416064815361</v>
          </cell>
        </row>
        <row r="1048">
          <cell r="A1048" t="str">
            <v>D-INGA</v>
          </cell>
          <cell r="B1048" t="str">
            <v>VAR_fin</v>
          </cell>
          <cell r="C1048" t="str">
            <v>H2</v>
          </cell>
          <cell r="H1048">
            <v>0.329279145869114</v>
          </cell>
          <cell r="I1048">
            <v>0.12379769259924382</v>
          </cell>
          <cell r="J1048">
            <v>0.16664662276106545</v>
          </cell>
        </row>
        <row r="1049">
          <cell r="A1049" t="str">
            <v>D-INGA</v>
          </cell>
          <cell r="B1049" t="str">
            <v>VAR_ncap</v>
          </cell>
          <cell r="C1049" t="str">
            <v>-</v>
          </cell>
          <cell r="D1049">
            <v>2.7200769290024599E-6</v>
          </cell>
          <cell r="E1049">
            <v>8.6261151815734195E-7</v>
          </cell>
          <cell r="F1049">
            <v>1.10542962452421E-6</v>
          </cell>
          <cell r="G1049">
            <v>1.4742025611665501E-6</v>
          </cell>
          <cell r="H1049">
            <v>2.70698007931407E-6</v>
          </cell>
          <cell r="I1049">
            <v>3.56884456717276E-6</v>
          </cell>
          <cell r="J1049">
            <v>6.1798435607529997E-6</v>
          </cell>
        </row>
        <row r="1050">
          <cell r="A1050" t="str">
            <v>D-INGA</v>
          </cell>
          <cell r="B1050" t="str">
            <v>VAR_cap</v>
          </cell>
          <cell r="C1050" t="str">
            <v>-</v>
          </cell>
          <cell r="D1050">
            <v>1.984486090343029</v>
          </cell>
          <cell r="E1050">
            <v>1.9844869529545472</v>
          </cell>
          <cell r="F1050">
            <v>1.9844880583841717</v>
          </cell>
          <cell r="G1050">
            <v>1.9844895325867329</v>
          </cell>
          <cell r="H1050">
            <v>1.9844922395668121</v>
          </cell>
          <cell r="I1050">
            <v>1.9844958084113793</v>
          </cell>
          <cell r="J1050">
            <v>1.0954780554347601</v>
          </cell>
        </row>
        <row r="1051">
          <cell r="A1051" t="str">
            <v>RHEM-SHNGAHP</v>
          </cell>
          <cell r="B1051" t="str">
            <v>VAR_fout</v>
          </cell>
          <cell r="C1051" t="str">
            <v>CO2_R</v>
          </cell>
          <cell r="F1051">
            <v>62.408230088026201</v>
          </cell>
          <cell r="G1051">
            <v>106.28638960279</v>
          </cell>
          <cell r="H1051">
            <v>123.982264381208</v>
          </cell>
          <cell r="I1051">
            <v>141.24461869452199</v>
          </cell>
          <cell r="J1051">
            <v>105.495903506345</v>
          </cell>
        </row>
        <row r="1052">
          <cell r="A1052" t="str">
            <v>RHEM-SHNGAHP</v>
          </cell>
          <cell r="B1052" t="str">
            <v>VAR_fout</v>
          </cell>
          <cell r="C1052" t="str">
            <v>RHEM-SHANGAH</v>
          </cell>
          <cell r="F1052">
            <v>2.0944010903394812</v>
          </cell>
          <cell r="G1052">
            <v>3.6998623967585553</v>
          </cell>
          <cell r="H1052">
            <v>4.3811358242372842</v>
          </cell>
          <cell r="I1052">
            <v>5.0648864321900149</v>
          </cell>
          <cell r="J1052">
            <v>3.9792572290380441</v>
          </cell>
        </row>
        <row r="1053">
          <cell r="A1053" t="str">
            <v>RHEM-SHNGAHP</v>
          </cell>
          <cell r="B1053" t="str">
            <v>VAR_fin</v>
          </cell>
          <cell r="C1053" t="str">
            <v>RHEMELCHPC</v>
          </cell>
          <cell r="F1053">
            <v>2.0944010903394812</v>
          </cell>
          <cell r="G1053">
            <v>3.6998623967585553</v>
          </cell>
          <cell r="H1053">
            <v>4.3811358242372842</v>
          </cell>
          <cell r="I1053">
            <v>5.0648864321900149</v>
          </cell>
          <cell r="J1053">
            <v>3.9792572290380441</v>
          </cell>
        </row>
        <row r="1054">
          <cell r="A1054" t="str">
            <v>RHEM-SHNGAHP</v>
          </cell>
          <cell r="B1054" t="str">
            <v>VAR_fin</v>
          </cell>
          <cell r="C1054" t="str">
            <v>RNGA</v>
          </cell>
          <cell r="F1054">
            <v>1.1065289022699671</v>
          </cell>
          <cell r="G1054">
            <v>1.8845104539501794</v>
          </cell>
          <cell r="H1054">
            <v>2.1982670989575919</v>
          </cell>
          <cell r="I1054">
            <v>2.5043372108957787</v>
          </cell>
          <cell r="J1054">
            <v>1.8704947430203049</v>
          </cell>
        </row>
        <row r="1055">
          <cell r="A1055" t="str">
            <v>RHEM-SHNGAHP</v>
          </cell>
          <cell r="B1055" t="str">
            <v>VAR_ncap</v>
          </cell>
          <cell r="C1055" t="str">
            <v>-</v>
          </cell>
          <cell r="D1055">
            <v>2.5228321053852198E-7</v>
          </cell>
          <cell r="E1055">
            <v>8.1055621817951404E-7</v>
          </cell>
          <cell r="F1055">
            <v>0.14793710476267699</v>
          </cell>
          <cell r="G1055">
            <v>0.113337176168749</v>
          </cell>
          <cell r="H1055">
            <v>4.8148075872479303E-2</v>
          </cell>
          <cell r="I1055">
            <v>0.20748117523784701</v>
          </cell>
          <cell r="J1055">
            <v>0.110566713725907</v>
          </cell>
        </row>
        <row r="1056">
          <cell r="A1056" t="str">
            <v>RHEM-SHNGAHP</v>
          </cell>
          <cell r="B1056" t="str">
            <v>VAR_cap</v>
          </cell>
          <cell r="C1056" t="str">
            <v>-</v>
          </cell>
          <cell r="D1056">
            <v>2.5228321053852198E-7</v>
          </cell>
          <cell r="E1056">
            <v>7.4423739200465107E-7</v>
          </cell>
          <cell r="F1056">
            <v>0.14793773738490615</v>
          </cell>
          <cell r="G1056">
            <v>0.26127496911238723</v>
          </cell>
          <cell r="H1056">
            <v>0.30942193340405788</v>
          </cell>
          <cell r="I1056">
            <v>0.35923924204266494</v>
          </cell>
          <cell r="J1056">
            <v>0.2815088892631985</v>
          </cell>
        </row>
        <row r="1057">
          <cell r="A1057" t="str">
            <v>D-SPLT</v>
          </cell>
          <cell r="B1057" t="str">
            <v>VAR_fout</v>
          </cell>
          <cell r="C1057" t="str">
            <v>SPLT</v>
          </cell>
          <cell r="D1057">
            <v>2.0856376609209204</v>
          </cell>
          <cell r="E1057">
            <v>2.4000941335506005</v>
          </cell>
          <cell r="F1057">
            <v>0.28283870769214003</v>
          </cell>
          <cell r="G1057">
            <v>0.24781517944486917</v>
          </cell>
          <cell r="H1057">
            <v>0.19825628298833378</v>
          </cell>
          <cell r="I1057">
            <v>0.12674222293417042</v>
          </cell>
          <cell r="J1057">
            <v>4.0252690567704724E-2</v>
          </cell>
        </row>
        <row r="1058">
          <cell r="A1058" t="str">
            <v>D-SPLT</v>
          </cell>
          <cell r="B1058" t="str">
            <v>VAR_fin</v>
          </cell>
          <cell r="C1058" t="str">
            <v>PLT</v>
          </cell>
          <cell r="D1058">
            <v>2.0856376609209204</v>
          </cell>
          <cell r="E1058">
            <v>2.4000941335506005</v>
          </cell>
          <cell r="F1058">
            <v>0.28283870769214003</v>
          </cell>
          <cell r="G1058">
            <v>0.24781517944486917</v>
          </cell>
          <cell r="H1058">
            <v>0.19825628298833378</v>
          </cell>
          <cell r="I1058">
            <v>0.12674222293417042</v>
          </cell>
          <cell r="J1058">
            <v>4.0252690567704724E-2</v>
          </cell>
        </row>
        <row r="1059">
          <cell r="A1059" t="str">
            <v>RHES-SHCONBR</v>
          </cell>
          <cell r="B1059" t="str">
            <v>VAR_fout</v>
          </cell>
          <cell r="C1059" t="str">
            <v>RHES-SHCON</v>
          </cell>
          <cell r="F1059">
            <v>1.6503329430738429E-4</v>
          </cell>
          <cell r="G1059">
            <v>1.4734054961016978E-4</v>
          </cell>
          <cell r="H1059">
            <v>3.086208862477995E-4</v>
          </cell>
          <cell r="I1059">
            <v>3.0704124552615348E-4</v>
          </cell>
          <cell r="J1059">
            <v>3.2209031353930929E-4</v>
          </cell>
        </row>
        <row r="1060">
          <cell r="A1060" t="str">
            <v>RHES-SHCONBR</v>
          </cell>
          <cell r="B1060" t="str">
            <v>VAR_fin</v>
          </cell>
          <cell r="C1060" t="str">
            <v>CON</v>
          </cell>
          <cell r="F1060">
            <v>1.6503329430738429E-4</v>
          </cell>
          <cell r="G1060">
            <v>1.4734054961016978E-4</v>
          </cell>
          <cell r="H1060">
            <v>3.086208862477995E-4</v>
          </cell>
          <cell r="I1060">
            <v>3.0704124552615348E-4</v>
          </cell>
          <cell r="J1060">
            <v>3.2209031353930929E-4</v>
          </cell>
        </row>
        <row r="1061">
          <cell r="A1061" t="str">
            <v>RHES-SHCONBR</v>
          </cell>
          <cell r="B1061" t="str">
            <v>VAR_ncap</v>
          </cell>
          <cell r="C1061" t="str">
            <v>-</v>
          </cell>
          <cell r="E1061">
            <v>5.21651989273081E-8</v>
          </cell>
          <cell r="F1061">
            <v>9.9672703293174702E-6</v>
          </cell>
          <cell r="G1061">
            <v>1.39436748460154E-7</v>
          </cell>
          <cell r="H1061">
            <v>1.2834308802221899E-5</v>
          </cell>
          <cell r="I1061">
            <v>7.7082875735657304E-7</v>
          </cell>
          <cell r="J1061">
            <v>5.2376603967470602E-7</v>
          </cell>
        </row>
        <row r="1062">
          <cell r="A1062" t="str">
            <v>RHES-SHCONBR</v>
          </cell>
          <cell r="B1062" t="str">
            <v>VAR_cap</v>
          </cell>
          <cell r="C1062" t="str">
            <v>-</v>
          </cell>
          <cell r="E1062">
            <v>5.21651989273081E-8</v>
          </cell>
          <cell r="F1062">
            <v>9.9851959921019103E-6</v>
          </cell>
          <cell r="G1062">
            <v>1.0091648148074142E-5</v>
          </cell>
          <cell r="H1062">
            <v>2.2865191540419148E-5</v>
          </cell>
          <cell r="I1062">
            <v>2.360387479143476E-5</v>
          </cell>
          <cell r="J1062">
            <v>2.4256680937144882E-5</v>
          </cell>
        </row>
        <row r="1063">
          <cell r="A1063" t="str">
            <v>RHSA-WHSOLBR</v>
          </cell>
          <cell r="B1063" t="str">
            <v>VAR_fout</v>
          </cell>
          <cell r="C1063" t="str">
            <v>RHSA-WHASOL</v>
          </cell>
          <cell r="D1063">
            <v>1.721488024659851</v>
          </cell>
          <cell r="E1063">
            <v>1.9867383755897494</v>
          </cell>
          <cell r="F1063">
            <v>1.0124041724445625</v>
          </cell>
          <cell r="G1063">
            <v>1.4702698119522439</v>
          </cell>
          <cell r="H1063">
            <v>1.7315490246136502</v>
          </cell>
          <cell r="I1063">
            <v>2.0217939996363272</v>
          </cell>
          <cell r="J1063">
            <v>2.2765943758825351</v>
          </cell>
        </row>
        <row r="1064">
          <cell r="A1064" t="str">
            <v>RHSA-WHSOLBR</v>
          </cell>
          <cell r="B1064" t="str">
            <v>VAR_fin</v>
          </cell>
          <cell r="C1064" t="str">
            <v>SOL</v>
          </cell>
          <cell r="D1064">
            <v>1.721488024659851</v>
          </cell>
          <cell r="E1064">
            <v>1.9867383755897494</v>
          </cell>
          <cell r="F1064">
            <v>1.0124041724445625</v>
          </cell>
          <cell r="G1064">
            <v>1.4702698119522439</v>
          </cell>
          <cell r="H1064">
            <v>1.7315490246136502</v>
          </cell>
          <cell r="I1064">
            <v>2.0217939996363272</v>
          </cell>
          <cell r="J1064">
            <v>2.2765943758825351</v>
          </cell>
        </row>
        <row r="1065">
          <cell r="A1065" t="str">
            <v>RHSA-WHSOLBR</v>
          </cell>
          <cell r="B1065" t="str">
            <v>VAR_fin</v>
          </cell>
          <cell r="C1065" t="str">
            <v>RHSASOLBRC</v>
          </cell>
          <cell r="D1065">
            <v>1.721488024659851</v>
          </cell>
          <cell r="E1065">
            <v>1.9867383755897494</v>
          </cell>
          <cell r="F1065">
            <v>1.0124041724445625</v>
          </cell>
          <cell r="G1065">
            <v>1.4702698119522439</v>
          </cell>
          <cell r="H1065">
            <v>1.7315490246136502</v>
          </cell>
          <cell r="I1065">
            <v>2.0217939996363272</v>
          </cell>
          <cell r="J1065">
            <v>2.2765943758825351</v>
          </cell>
        </row>
        <row r="1066">
          <cell r="A1066" t="str">
            <v>RHSA-WHSOLBR</v>
          </cell>
          <cell r="B1066" t="str">
            <v>VAR_ncap</v>
          </cell>
          <cell r="C1066" t="str">
            <v>-</v>
          </cell>
          <cell r="E1066">
            <v>8.4096226542638805E-2</v>
          </cell>
          <cell r="F1066">
            <v>3.0571973461501701E-6</v>
          </cell>
          <cell r="G1066">
            <v>4.3259550039262899E-2</v>
          </cell>
          <cell r="H1066">
            <v>0.30647134139781701</v>
          </cell>
          <cell r="I1066">
            <v>0.24102795343826899</v>
          </cell>
          <cell r="J1066">
            <v>0.38393718643583602</v>
          </cell>
        </row>
        <row r="1067">
          <cell r="A1067" t="str">
            <v>RHSA-WHSOLBR</v>
          </cell>
          <cell r="B1067" t="str">
            <v>VAR_cap</v>
          </cell>
          <cell r="C1067" t="str">
            <v>-</v>
          </cell>
          <cell r="D1067">
            <v>0.25000991745774798</v>
          </cell>
          <cell r="E1067">
            <v>0.33410592365409292</v>
          </cell>
          <cell r="F1067">
            <v>0.334106877860953</v>
          </cell>
          <cell r="G1067">
            <v>0.3773671885350976</v>
          </cell>
          <cell r="H1067">
            <v>0.45765358041723364</v>
          </cell>
          <cell r="I1067">
            <v>0.57704435827607825</v>
          </cell>
          <cell r="J1067">
            <v>0.68849442986779263</v>
          </cell>
        </row>
        <row r="1068">
          <cell r="A1068" t="str">
            <v>SCOM-SHCONBR</v>
          </cell>
          <cell r="B1068" t="str">
            <v>VAR_ncap</v>
          </cell>
          <cell r="C1068" t="str">
            <v>-</v>
          </cell>
          <cell r="D1068">
            <v>2.59012424381718E-8</v>
          </cell>
          <cell r="E1068">
            <v>2.97464738852151E-8</v>
          </cell>
          <cell r="F1068">
            <v>2.98008676782074E-8</v>
          </cell>
          <cell r="G1068">
            <v>2.94642847162959E-8</v>
          </cell>
          <cell r="H1068">
            <v>4.7106084930858903E-7</v>
          </cell>
          <cell r="I1068">
            <v>1.30382240367464E-7</v>
          </cell>
          <cell r="J1068">
            <v>1.5077175810275099E-7</v>
          </cell>
        </row>
        <row r="1069">
          <cell r="A1069" t="str">
            <v>SCOM-SHCONBR</v>
          </cell>
          <cell r="B1069" t="str">
            <v>VAR_cap</v>
          </cell>
          <cell r="C1069" t="str">
            <v>-</v>
          </cell>
          <cell r="D1069">
            <v>2.59012424381718E-8</v>
          </cell>
          <cell r="E1069">
            <v>2.79038529943695E-8</v>
          </cell>
          <cell r="F1069">
            <v>2.8312285337230204E-8</v>
          </cell>
          <cell r="G1069">
            <v>2.6948732481173906E-8</v>
          </cell>
          <cell r="H1069">
            <v>4.9623032516105665E-7</v>
          </cell>
          <cell r="I1069">
            <v>6.0967455778625504E-7</v>
          </cell>
          <cell r="J1069">
            <v>8.6712771649669396E-7</v>
          </cell>
        </row>
        <row r="1070">
          <cell r="A1070" t="str">
            <v>RHNM-SHNGABR</v>
          </cell>
          <cell r="B1070" t="str">
            <v>VAR_fout</v>
          </cell>
          <cell r="C1070" t="str">
            <v>CO2_R</v>
          </cell>
          <cell r="E1070">
            <v>43.099153193112201</v>
          </cell>
          <cell r="F1070">
            <v>0.737156926096315</v>
          </cell>
          <cell r="G1070">
            <v>1.05558476545605</v>
          </cell>
          <cell r="H1070">
            <v>0.86941567280187204</v>
          </cell>
        </row>
        <row r="1071">
          <cell r="A1071" t="str">
            <v>RHNM-SHNGABR</v>
          </cell>
          <cell r="B1071" t="str">
            <v>VAR_fout</v>
          </cell>
          <cell r="C1071" t="str">
            <v>RHNM-SHNGA</v>
          </cell>
          <cell r="E1071">
            <v>0.72596091371377069</v>
          </cell>
          <cell r="F1071">
            <v>1.2547707717504041E-2</v>
          </cell>
          <cell r="G1071">
            <v>1.7967909734137144E-2</v>
          </cell>
          <cell r="H1071">
            <v>1.4798984261201459E-2</v>
          </cell>
        </row>
        <row r="1072">
          <cell r="A1072" t="str">
            <v>RHNM-SHNGABR</v>
          </cell>
          <cell r="B1072" t="str">
            <v>VAR_fin</v>
          </cell>
          <cell r="C1072" t="str">
            <v>RNGA</v>
          </cell>
          <cell r="E1072">
            <v>0.7641693828566003</v>
          </cell>
          <cell r="F1072">
            <v>1.307015826411906E-2</v>
          </cell>
          <cell r="G1072">
            <v>1.8716041940710137E-2</v>
          </cell>
          <cell r="H1072">
            <v>1.5415171503579302E-2</v>
          </cell>
        </row>
        <row r="1073">
          <cell r="A1073" t="str">
            <v>RHNM-SHNGABR</v>
          </cell>
          <cell r="B1073" t="str">
            <v>VAR_ncap</v>
          </cell>
          <cell r="C1073" t="str">
            <v>-</v>
          </cell>
          <cell r="E1073">
            <v>5.64154482654751E-2</v>
          </cell>
          <cell r="F1073">
            <v>1.74755985791731E-6</v>
          </cell>
          <cell r="G1073">
            <v>1.10688855260567E-6</v>
          </cell>
          <cell r="H1073">
            <v>1.1197812586854401E-6</v>
          </cell>
          <cell r="I1073">
            <v>1.03221834685572E-6</v>
          </cell>
          <cell r="J1073">
            <v>6.8169247547401403E-7</v>
          </cell>
        </row>
        <row r="1074">
          <cell r="A1074" t="str">
            <v>RHNM-SHNGABR</v>
          </cell>
          <cell r="B1074" t="str">
            <v>VAR_cap</v>
          </cell>
          <cell r="C1074" t="str">
            <v>-</v>
          </cell>
          <cell r="E1074">
            <v>5.64154482654751E-2</v>
          </cell>
          <cell r="F1074">
            <v>7.8315651443403994E-3</v>
          </cell>
          <cell r="G1074">
            <v>6.7968722408882978E-3</v>
          </cell>
          <cell r="H1074">
            <v>3.4720860133569988E-3</v>
          </cell>
          <cell r="I1074">
            <v>1.4423937267945898E-6</v>
          </cell>
          <cell r="J1074">
            <v>6.0383041394323995E-7</v>
          </cell>
        </row>
        <row r="1075">
          <cell r="A1075" t="str">
            <v>RHES-SHSOLBR</v>
          </cell>
          <cell r="B1075" t="str">
            <v>VAR_fout</v>
          </cell>
          <cell r="C1075" t="str">
            <v>RHES-SHASOL</v>
          </cell>
          <cell r="D1075">
            <v>0.37732610756439694</v>
          </cell>
          <cell r="E1075">
            <v>0.43546865062010198</v>
          </cell>
          <cell r="F1075">
            <v>2.4688487075487625E-2</v>
          </cell>
          <cell r="G1075">
            <v>2.9503468194593718E-2</v>
          </cell>
          <cell r="H1075">
            <v>3.0165807029861564E-2</v>
          </cell>
          <cell r="I1075">
            <v>3.0655632122639297E-2</v>
          </cell>
          <cell r="J1075">
            <v>2.9432164213364295E-2</v>
          </cell>
        </row>
        <row r="1076">
          <cell r="A1076" t="str">
            <v>RHES-SHSOLBR</v>
          </cell>
          <cell r="B1076" t="str">
            <v>VAR_fin</v>
          </cell>
          <cell r="C1076" t="str">
            <v>SOL</v>
          </cell>
          <cell r="D1076">
            <v>0.37732610756439694</v>
          </cell>
          <cell r="E1076">
            <v>0.43546865062010198</v>
          </cell>
          <cell r="F1076">
            <v>2.4688487075487625E-2</v>
          </cell>
          <cell r="G1076">
            <v>2.9503468194593718E-2</v>
          </cell>
          <cell r="H1076">
            <v>3.0165807029861564E-2</v>
          </cell>
          <cell r="I1076">
            <v>3.0655632122639297E-2</v>
          </cell>
          <cell r="J1076">
            <v>2.9432164213364295E-2</v>
          </cell>
        </row>
        <row r="1077">
          <cell r="A1077" t="str">
            <v>RHES-SHSOLBR</v>
          </cell>
          <cell r="B1077" t="str">
            <v>VAR_ncap</v>
          </cell>
          <cell r="C1077" t="str">
            <v>-</v>
          </cell>
          <cell r="E1077">
            <v>8.4633252686659808E-3</v>
          </cell>
          <cell r="F1077">
            <v>4.8861446471712004E-7</v>
          </cell>
          <cell r="G1077">
            <v>8.8582620626725598E-7</v>
          </cell>
          <cell r="H1077">
            <v>3.01953270309889E-6</v>
          </cell>
          <cell r="I1077">
            <v>4.5412873442452796E-3</v>
          </cell>
          <cell r="J1077">
            <v>1.03285492375899E-3</v>
          </cell>
        </row>
        <row r="1078">
          <cell r="A1078" t="str">
            <v>RHES-SHSOLBR</v>
          </cell>
          <cell r="B1078" t="str">
            <v>VAR_cap</v>
          </cell>
          <cell r="C1078" t="str">
            <v>-</v>
          </cell>
          <cell r="D1078">
            <v>5.4798678617278197E-2</v>
          </cell>
          <cell r="E1078">
            <v>6.3261915942742317E-2</v>
          </cell>
          <cell r="F1078">
            <v>6.3260800986563059E-2</v>
          </cell>
          <cell r="G1078">
            <v>6.326016983038299E-2</v>
          </cell>
          <cell r="H1078">
            <v>1.8519963648616616E-2</v>
          </cell>
          <cell r="I1078">
            <v>4.544453407822475E-3</v>
          </cell>
          <cell r="J1078">
            <v>4.3296328478145728E-3</v>
          </cell>
        </row>
        <row r="1079">
          <cell r="A1079" t="str">
            <v>SCOM-SHSOLBR</v>
          </cell>
          <cell r="B1079" t="str">
            <v>VAR_fout</v>
          </cell>
          <cell r="C1079" t="str">
            <v>SCOM-SHASOL</v>
          </cell>
          <cell r="D1079">
            <v>0.62700122087710108</v>
          </cell>
          <cell r="E1079">
            <v>0.68733971440478714</v>
          </cell>
          <cell r="F1079">
            <v>0.5697971565956419</v>
          </cell>
          <cell r="G1079">
            <v>0.81009781478217058</v>
          </cell>
          <cell r="H1079">
            <v>0.95698512169586469</v>
          </cell>
          <cell r="I1079">
            <v>1.1346638164508012</v>
          </cell>
          <cell r="J1079">
            <v>1.244858172039188</v>
          </cell>
        </row>
        <row r="1080">
          <cell r="A1080" t="str">
            <v>SCOM-SHSOLBR</v>
          </cell>
          <cell r="B1080" t="str">
            <v>VAR_fin</v>
          </cell>
          <cell r="C1080" t="str">
            <v>SOL</v>
          </cell>
          <cell r="D1080">
            <v>0.62700122087710108</v>
          </cell>
          <cell r="E1080">
            <v>0.68733971440478714</v>
          </cell>
          <cell r="F1080">
            <v>0.5697971565956419</v>
          </cell>
          <cell r="G1080">
            <v>0.81009781478217058</v>
          </cell>
          <cell r="H1080">
            <v>0.95698512169586469</v>
          </cell>
          <cell r="I1080">
            <v>1.1346638164508012</v>
          </cell>
          <cell r="J1080">
            <v>1.244858172039188</v>
          </cell>
        </row>
        <row r="1081">
          <cell r="A1081" t="str">
            <v>SCOM-SHSOLBR</v>
          </cell>
          <cell r="B1081" t="str">
            <v>VAR_ncap</v>
          </cell>
          <cell r="C1081" t="str">
            <v>-</v>
          </cell>
          <cell r="D1081">
            <v>3.4076322548331601E-5</v>
          </cell>
          <cell r="E1081">
            <v>8.7755701277736596E-3</v>
          </cell>
          <cell r="F1081">
            <v>3.3217660079181102E-6</v>
          </cell>
          <cell r="G1081">
            <v>1.8668359518979698E-2</v>
          </cell>
          <cell r="H1081">
            <v>9.2317868477494597E-2</v>
          </cell>
          <cell r="I1081">
            <v>5.9852315386612398E-2</v>
          </cell>
          <cell r="J1081">
            <v>0.137207467631553</v>
          </cell>
        </row>
        <row r="1082">
          <cell r="A1082" t="str">
            <v>SCOM-SHSOLBR</v>
          </cell>
          <cell r="B1082" t="str">
            <v>VAR_cap</v>
          </cell>
          <cell r="C1082" t="str">
            <v>-</v>
          </cell>
          <cell r="D1082">
            <v>9.1091669798627831E-2</v>
          </cell>
          <cell r="E1082">
            <v>9.9867047114685276E-2</v>
          </cell>
          <cell r="F1082">
            <v>9.9868385402586954E-2</v>
          </cell>
          <cell r="G1082">
            <v>0.118537612023297</v>
          </cell>
          <cell r="H1082">
            <v>0.13910650045089856</v>
          </cell>
          <cell r="I1082">
            <v>0.16491988540837049</v>
          </cell>
          <cell r="J1082">
            <v>0.21969368878493742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RHEM-SHAELCH</v>
          </cell>
          <cell r="D1083">
            <v>1.6877303342682735</v>
          </cell>
          <cell r="E1083">
            <v>1.7823176126314919</v>
          </cell>
          <cell r="F1083">
            <v>1.8181095556908045</v>
          </cell>
          <cell r="G1083">
            <v>2.7998044049513955</v>
          </cell>
          <cell r="H1083">
            <v>3.0936612837320547</v>
          </cell>
          <cell r="I1083">
            <v>4.4846051453899838</v>
          </cell>
          <cell r="J1083">
            <v>3.5921637919146381</v>
          </cell>
        </row>
        <row r="1084">
          <cell r="A1084" t="str">
            <v>RHEM-SHSTG-ELCHP</v>
          </cell>
          <cell r="B1084" t="str">
            <v>VAR_fout</v>
          </cell>
          <cell r="C1084" t="str">
            <v>AUX_RHEM-SHSTG-ELCHP_OUT</v>
          </cell>
          <cell r="D1084">
            <v>1.6894180646025416</v>
          </cell>
          <cell r="E1084">
            <v>1.7840999302441227</v>
          </cell>
          <cell r="F1084">
            <v>1.8199276652464964</v>
          </cell>
          <cell r="G1084">
            <v>2.8026042093563475</v>
          </cell>
          <cell r="H1084">
            <v>3.0967549450157881</v>
          </cell>
          <cell r="I1084">
            <v>4.4890897505353724</v>
          </cell>
          <cell r="J1084">
            <v>3.5957559557065513</v>
          </cell>
        </row>
        <row r="1085">
          <cell r="A1085" t="str">
            <v>RHEM-SHSTG-ELCHP</v>
          </cell>
          <cell r="B1085" t="str">
            <v>VAR_fin</v>
          </cell>
          <cell r="C1085" t="str">
            <v>RHEM-SHAELCH</v>
          </cell>
          <cell r="D1085">
            <v>1.6877561088174426</v>
          </cell>
          <cell r="E1085">
            <v>1.7823258214782487</v>
          </cell>
          <cell r="F1085">
            <v>1.8181134700851982</v>
          </cell>
          <cell r="G1085">
            <v>2.7998165307646099</v>
          </cell>
          <cell r="H1085">
            <v>3.0936786988117913</v>
          </cell>
          <cell r="I1085">
            <v>4.4846184717566153</v>
          </cell>
          <cell r="J1085">
            <v>3.592178757773909</v>
          </cell>
        </row>
        <row r="1086">
          <cell r="A1086" t="str">
            <v>RHEM-SHSTG-ELCHP</v>
          </cell>
          <cell r="B1086" t="str">
            <v>VAR_ncap</v>
          </cell>
          <cell r="C1086" t="str">
            <v>-</v>
          </cell>
          <cell r="D1086">
            <v>0.192800461668339</v>
          </cell>
          <cell r="E1086">
            <v>9.5766707219372999E-4</v>
          </cell>
          <cell r="F1086">
            <v>1.0945362595339601E-4</v>
          </cell>
          <cell r="G1086">
            <v>0.124448221548008</v>
          </cell>
          <cell r="H1086">
            <v>0.19731287588277099</v>
          </cell>
          <cell r="I1086">
            <v>0.159007809123177</v>
          </cell>
          <cell r="J1086">
            <v>0.19100388458913201</v>
          </cell>
        </row>
        <row r="1087">
          <cell r="A1087" t="str">
            <v>RHEM-SHSTG-ELCHP</v>
          </cell>
          <cell r="B1087" t="str">
            <v>VAR_cap</v>
          </cell>
          <cell r="C1087" t="str">
            <v>-</v>
          </cell>
          <cell r="D1087">
            <v>0.192800461668339</v>
          </cell>
          <cell r="E1087">
            <v>0.19365144820320579</v>
          </cell>
          <cell r="F1087">
            <v>0.19365137494743073</v>
          </cell>
          <cell r="G1087">
            <v>0.31804950404658772</v>
          </cell>
          <cell r="H1087">
            <v>0.37205167626313185</v>
          </cell>
          <cell r="I1087">
            <v>0.44121839350353353</v>
          </cell>
          <cell r="J1087">
            <v>0.38975378943894923</v>
          </cell>
        </row>
        <row r="1088">
          <cell r="A1088" t="str">
            <v>ITOT-SWHELCBR</v>
          </cell>
          <cell r="B1088" t="str">
            <v>VAR_fout</v>
          </cell>
          <cell r="C1088" t="str">
            <v>ITOT-SWHAELC</v>
          </cell>
          <cell r="D1088">
            <v>9.8139095624007151</v>
          </cell>
          <cell r="E1088">
            <v>10.335085018705572</v>
          </cell>
          <cell r="F1088">
            <v>10.335097206580622</v>
          </cell>
          <cell r="G1088">
            <v>10.335108166049295</v>
          </cell>
          <cell r="H1088">
            <v>10.335108164184762</v>
          </cell>
          <cell r="I1088">
            <v>10.335107924269025</v>
          </cell>
          <cell r="J1088">
            <v>10.335106412045851</v>
          </cell>
        </row>
        <row r="1089">
          <cell r="A1089" t="str">
            <v>ITOT-SWHELCBR</v>
          </cell>
          <cell r="B1089" t="str">
            <v>VAR_fin</v>
          </cell>
          <cell r="C1089" t="str">
            <v>ITOT_ELC</v>
          </cell>
          <cell r="D1089">
            <v>11.646961614783354</v>
          </cell>
          <cell r="E1089">
            <v>12.258980410056761</v>
          </cell>
          <cell r="F1089">
            <v>12.249254253975176</v>
          </cell>
          <cell r="G1089">
            <v>12.233067224138876</v>
          </cell>
          <cell r="H1089">
            <v>12.216909996248917</v>
          </cell>
          <cell r="I1089">
            <v>12.20079511141752</v>
          </cell>
          <cell r="J1089">
            <v>12.168691327769533</v>
          </cell>
        </row>
        <row r="1090">
          <cell r="A1090" t="str">
            <v>ITOT-SWHELCBR</v>
          </cell>
          <cell r="B1090" t="str">
            <v>VAR_ncap</v>
          </cell>
          <cell r="C1090" t="str">
            <v>-</v>
          </cell>
          <cell r="E1090">
            <v>0.198647821397168</v>
          </cell>
          <cell r="F1090">
            <v>3.23620482200469E-4</v>
          </cell>
          <cell r="G1090">
            <v>3.2792576169938202E-4</v>
          </cell>
          <cell r="H1090">
            <v>0.60225248345314897</v>
          </cell>
          <cell r="I1090">
            <v>0.20798095504095199</v>
          </cell>
          <cell r="J1090">
            <v>0.47436408423269399</v>
          </cell>
        </row>
        <row r="1091">
          <cell r="A1091" t="str">
            <v>ITOT-SWHELCBR</v>
          </cell>
          <cell r="B1091" t="str">
            <v>VAR_cap</v>
          </cell>
          <cell r="C1091" t="str">
            <v>-</v>
          </cell>
          <cell r="D1091">
            <v>0.55644997413134401</v>
          </cell>
          <cell r="E1091">
            <v>0.7550896977193895</v>
          </cell>
          <cell r="F1091">
            <v>0.7553883693263802</v>
          </cell>
          <cell r="G1091">
            <v>0.75567571006213663</v>
          </cell>
          <cell r="H1091">
            <v>0.84885051413527879</v>
          </cell>
          <cell r="I1091">
            <v>0.81045248050879359</v>
          </cell>
          <cell r="J1091">
            <v>0.88002437594601191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276.58836718432224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H15">
            <v>276.58836718432224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F17">
            <v>1.28273475749754E-3</v>
          </cell>
          <cell r="G17">
            <v>9.0352350681409508</v>
          </cell>
          <cell r="H17">
            <v>9.7482048167733399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G18">
            <v>5.5499392649233599</v>
          </cell>
          <cell r="H18">
            <v>14.129417319808701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H19">
            <v>4.3749353385729897E-2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E20">
            <v>5.2462005380130403</v>
          </cell>
          <cell r="F20">
            <v>0.27957583831036897</v>
          </cell>
          <cell r="G20">
            <v>1.23679531819501</v>
          </cell>
          <cell r="H20">
            <v>1.07265817618724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H21">
            <v>0.217458172593746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E22">
            <v>1127.96344672224</v>
          </cell>
          <cell r="F22">
            <v>1148.58783857451</v>
          </cell>
          <cell r="G22">
            <v>1245.3174551419499</v>
          </cell>
          <cell r="H22">
            <v>804.19645285042304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G23">
            <v>27.466985577793501</v>
          </cell>
          <cell r="H23">
            <v>48.644986425906801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E24">
            <v>1928.71144537646</v>
          </cell>
          <cell r="F24">
            <v>1521.2678790851701</v>
          </cell>
          <cell r="G24">
            <v>1746.1053213796699</v>
          </cell>
          <cell r="H24">
            <v>827.93519191355904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G25">
            <v>50.436196862177098</v>
          </cell>
          <cell r="H25">
            <v>47.147876254392401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F26">
            <v>6.0646093958941902</v>
          </cell>
          <cell r="G26">
            <v>1.5631523230751001</v>
          </cell>
          <cell r="H26">
            <v>2.2981523163494502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F27">
            <v>2.0913414011849902E-3</v>
          </cell>
          <cell r="G27">
            <v>2.3500318613880098</v>
          </cell>
          <cell r="H27">
            <v>3.1088591617623802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H28">
            <v>4.7669906243703701E-2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F29">
            <v>0.23936389756000201</v>
          </cell>
          <cell r="G29">
            <v>2.77655403275249</v>
          </cell>
          <cell r="H29">
            <v>334.39454866832602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G30">
            <v>8.7998207234598507</v>
          </cell>
          <cell r="H30">
            <v>18.494408388149498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E31">
            <v>1043.13543397628</v>
          </cell>
          <cell r="F31">
            <v>1110.23060140082</v>
          </cell>
          <cell r="G31">
            <v>635.73343122477502</v>
          </cell>
          <cell r="H31">
            <v>409.01955426452997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E32">
            <v>479.81035299707702</v>
          </cell>
          <cell r="F32">
            <v>414.47064169988403</v>
          </cell>
          <cell r="G32">
            <v>541.86084593478097</v>
          </cell>
          <cell r="H32">
            <v>297.34574182789601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E33">
            <v>726.71291352626304</v>
          </cell>
          <cell r="F33">
            <v>571.56827830834197</v>
          </cell>
          <cell r="G33">
            <v>662.24465246274997</v>
          </cell>
          <cell r="H33">
            <v>261.47214566421502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E34">
            <v>1783.6635808881899</v>
          </cell>
          <cell r="F34">
            <v>1640.9695667764599</v>
          </cell>
          <cell r="G34">
            <v>1238.72756876876</v>
          </cell>
          <cell r="H34">
            <v>533.44534325173902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F35">
            <v>8.4793452762907895E-2</v>
          </cell>
          <cell r="G35">
            <v>0.88884308452170002</v>
          </cell>
          <cell r="H35">
            <v>0.77233397848473295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H36">
            <v>0.18827244766040799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E37">
            <v>7.1982443720762399</v>
          </cell>
          <cell r="F37">
            <v>0.107186643990035</v>
          </cell>
          <cell r="G37">
            <v>2.1502453116128302</v>
          </cell>
          <cell r="H37">
            <v>3.5052040878508901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  <cell r="E38">
            <v>9.27043618018185</v>
          </cell>
          <cell r="F38">
            <v>9.2701690974975293</v>
          </cell>
          <cell r="G38">
            <v>2.4418263597140499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G39">
            <v>62.408230088026201</v>
          </cell>
          <cell r="H39">
            <v>106.28638960279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F40">
            <v>43.099153193112201</v>
          </cell>
          <cell r="G40">
            <v>0.737156926096315</v>
          </cell>
          <cell r="H40">
            <v>1.05558476545605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E41">
            <v>7111.7120545767802</v>
          </cell>
          <cell r="F41">
            <v>6466.2430314404701</v>
          </cell>
          <cell r="G41">
            <v>6247.8302877145597</v>
          </cell>
          <cell r="H41">
            <v>3724.5702036144799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G42">
            <v>66.5785602024974</v>
          </cell>
          <cell r="H42">
            <v>109.66818523218799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E43">
            <v>94.896719080762097</v>
          </cell>
          <cell r="F43">
            <v>98.055009043344597</v>
          </cell>
          <cell r="G43">
            <v>11.073091584107701</v>
          </cell>
          <cell r="H43">
            <v>3.8306986086192598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E44">
            <v>1440.94612827789</v>
          </cell>
          <cell r="F44">
            <v>1508.68796631941</v>
          </cell>
          <cell r="G44">
            <v>1220.4611049954899</v>
          </cell>
          <cell r="H44">
            <v>747.96848994358402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H45">
            <v>7.5284365926597901E-2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E46">
            <v>2229.9140452941301</v>
          </cell>
          <cell r="F46">
            <v>1725.43430450964</v>
          </cell>
          <cell r="G46">
            <v>1897.5392545320501</v>
          </cell>
          <cell r="H46">
            <v>960.39445411010001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E47">
            <v>3765.7568926527802</v>
          </cell>
          <cell r="F47">
            <v>3332.17727987239</v>
          </cell>
          <cell r="G47">
            <v>3195.6520113141401</v>
          </cell>
          <cell r="H47">
            <v>1821.93711226042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  <cell r="E48">
            <v>1.7787892806539401E-2</v>
          </cell>
          <cell r="F48">
            <v>1.7870350737805199E-2</v>
          </cell>
          <cell r="G48">
            <v>1.78307373900802E-2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E49">
            <v>3.4983422022140491</v>
          </cell>
          <cell r="F49">
            <v>8.1751349407521906E-2</v>
          </cell>
          <cell r="G49">
            <v>0.10104620984070618</v>
          </cell>
          <cell r="H49">
            <v>0.10007475891819971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E50">
            <v>1.9989848485310598E-2</v>
          </cell>
          <cell r="F50">
            <v>0.10093671467010989</v>
          </cell>
          <cell r="G50">
            <v>0.16807066294679912</v>
          </cell>
          <cell r="H50">
            <v>0.17890288852880432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E51">
            <v>5.2106007434301898</v>
          </cell>
          <cell r="F51">
            <v>10.97437766219277</v>
          </cell>
          <cell r="G51">
            <v>10.253462991839825</v>
          </cell>
          <cell r="H51">
            <v>7.8021994843704867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E52">
            <v>5.6114388586981701</v>
          </cell>
          <cell r="F52">
            <v>76.379672167907898</v>
          </cell>
          <cell r="G52">
            <v>129.17043007356131</v>
          </cell>
          <cell r="H52">
            <v>95.502659366484011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E53">
            <v>9.1771968276547504</v>
          </cell>
          <cell r="F53">
            <v>19.94247652490877</v>
          </cell>
          <cell r="G53">
            <v>20.197969896896801</v>
          </cell>
          <cell r="H53">
            <v>13.60835449369892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F54">
            <v>26.992134836936899</v>
          </cell>
          <cell r="G54">
            <v>138.09125258672199</v>
          </cell>
          <cell r="H54">
            <v>230.54589867682512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  <cell r="E55">
            <v>61.349025736297399</v>
          </cell>
          <cell r="F55">
            <v>129.89889760991201</v>
          </cell>
          <cell r="G55">
            <v>40.077355142812003</v>
          </cell>
          <cell r="H55">
            <v>20.000252731438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  <cell r="E56">
            <v>824.19122517871699</v>
          </cell>
          <cell r="F56">
            <v>545.34094828189598</v>
          </cell>
          <cell r="G56">
            <v>399.65186399180698</v>
          </cell>
          <cell r="H56">
            <v>199.78052068978701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E57">
            <v>0.20776610945197033</v>
          </cell>
          <cell r="F57">
            <v>0.11489652285500912</v>
          </cell>
          <cell r="G57">
            <v>0.12393076115196405</v>
          </cell>
          <cell r="H57">
            <v>1.1822712155756818E-2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E58">
            <v>3.0752438916355951</v>
          </cell>
          <cell r="F58">
            <v>1.8114357144195949</v>
          </cell>
          <cell r="G58">
            <v>2.4700799512934792</v>
          </cell>
          <cell r="H58">
            <v>1.5229292853007427E-2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E59">
            <v>325.8164261918032</v>
          </cell>
          <cell r="F59">
            <v>384.78386290105658</v>
          </cell>
          <cell r="G59">
            <v>373.42476465858175</v>
          </cell>
          <cell r="H59">
            <v>153.46880478921926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E60">
            <v>0.2378954710633123</v>
          </cell>
          <cell r="F60">
            <v>0.1825643294175891</v>
          </cell>
          <cell r="G60">
            <v>0.24532823373186019</v>
          </cell>
          <cell r="H60">
            <v>3.5283116272437881E-2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E61">
            <v>2.7273715944879426</v>
          </cell>
          <cell r="F61">
            <v>1.8683572982904391</v>
          </cell>
          <cell r="G61">
            <v>2.4779530503613554</v>
          </cell>
          <cell r="H61">
            <v>8.7260409305725747E-3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F62">
            <v>7.2195459225361594E-2</v>
          </cell>
          <cell r="G62">
            <v>0.1497548821695448</v>
          </cell>
          <cell r="H62">
            <v>0.30437936133752896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F63">
            <v>6.1899049039931903E-2</v>
          </cell>
          <cell r="G63">
            <v>0.16474745444942809</v>
          </cell>
          <cell r="H63">
            <v>0.34801433033184304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F64">
            <v>5.6685261844310601E-2</v>
          </cell>
          <cell r="G64">
            <v>0.1185655747024405</v>
          </cell>
          <cell r="H64">
            <v>0.2355149028636484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F65">
            <v>9.3406558656039002E-2</v>
          </cell>
          <cell r="G65">
            <v>0.22070005202583659</v>
          </cell>
          <cell r="H65">
            <v>0.42102798037727218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F66">
            <v>5.1078851067699903E-2</v>
          </cell>
          <cell r="G66">
            <v>0.1349800063986592</v>
          </cell>
          <cell r="H66">
            <v>0.35049632347033077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F67">
            <v>0.12891802740130001</v>
          </cell>
          <cell r="G67">
            <v>0.29094264364435102</v>
          </cell>
          <cell r="H67">
            <v>0.66077163420285867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F68">
            <v>7.1681071811111496E-2</v>
          </cell>
          <cell r="G68">
            <v>0.17099677734422342</v>
          </cell>
          <cell r="H68">
            <v>0.3706575328848935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F69">
            <v>0.107458864771261</v>
          </cell>
          <cell r="G69">
            <v>0.16492488704813521</v>
          </cell>
          <cell r="H69">
            <v>0.12682089340508601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F70">
            <v>5.1104827783284901E-2</v>
          </cell>
          <cell r="G70">
            <v>0.1082036464887195</v>
          </cell>
          <cell r="H70">
            <v>0.16836613633243769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F71">
            <v>4.8919341138589797E-2</v>
          </cell>
          <cell r="G71">
            <v>3.2970086935685381</v>
          </cell>
          <cell r="H71">
            <v>7.8498458906417037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F72">
            <v>3.2341388785119198E-2</v>
          </cell>
          <cell r="G72">
            <v>1.4255734384909651</v>
          </cell>
          <cell r="H72">
            <v>9.9991298721362032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F73">
            <v>9.4082894720308903E-3</v>
          </cell>
          <cell r="G73">
            <v>1.6786585188971991E-2</v>
          </cell>
          <cell r="H73">
            <v>1.3765963845821721E-2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  <cell r="E74">
            <v>1402.04925703407</v>
          </cell>
          <cell r="F74">
            <v>1170.3071351163401</v>
          </cell>
          <cell r="G74">
            <v>841.69401332276504</v>
          </cell>
          <cell r="H74">
            <v>362.76618348489302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E75">
            <v>129.873812963153</v>
          </cell>
          <cell r="F75">
            <v>63.200651545372601</v>
          </cell>
          <cell r="G75">
            <v>20.620001736097599</v>
          </cell>
          <cell r="H75">
            <v>17.693792297029301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E76">
            <v>3.2722323397197624</v>
          </cell>
          <cell r="F76">
            <v>2.9615653284519814</v>
          </cell>
          <cell r="G76">
            <v>15.546950823968908</v>
          </cell>
          <cell r="H76">
            <v>37.124507818518481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E77">
            <v>1273.9831592043399</v>
          </cell>
          <cell r="F77">
            <v>1263.29062573438</v>
          </cell>
          <cell r="G77">
            <v>1231.3150570805301</v>
          </cell>
          <cell r="H77">
            <v>962.50767873637596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E78">
            <v>2.0070017359149062</v>
          </cell>
          <cell r="F78">
            <v>6.2353953020322139</v>
          </cell>
          <cell r="G78">
            <v>6.2326990016407375</v>
          </cell>
          <cell r="H78">
            <v>4.509115250897735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E79">
            <v>3.4607028001080793</v>
          </cell>
          <cell r="F79">
            <v>1.0541000713628963</v>
          </cell>
          <cell r="G79">
            <v>1.0683076445046567</v>
          </cell>
          <cell r="H79">
            <v>1.0259216188973481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  <cell r="E80">
            <v>4722.2882567844199</v>
          </cell>
          <cell r="F80">
            <v>3894.8800761320399</v>
          </cell>
          <cell r="G80">
            <v>3131.5575853506002</v>
          </cell>
          <cell r="H80">
            <v>864.26878193483799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E81">
            <v>2.1434289189155598</v>
          </cell>
          <cell r="F81">
            <v>3.847656258950559</v>
          </cell>
          <cell r="G81">
            <v>3.8763208203115447</v>
          </cell>
          <cell r="H81">
            <v>3.8120660776996633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  <cell r="E82">
            <v>4179.22001499817</v>
          </cell>
          <cell r="F82">
            <v>3569.7775124099198</v>
          </cell>
          <cell r="G82">
            <v>2545.6259652357098</v>
          </cell>
          <cell r="H82">
            <v>1175.14964952382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  <cell r="E83">
            <v>110.750239060575</v>
          </cell>
          <cell r="F83">
            <v>103.59584283915601</v>
          </cell>
          <cell r="G83">
            <v>70.360630669165602</v>
          </cell>
          <cell r="H83">
            <v>33.444115372501699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E84">
            <v>0.50444680422663679</v>
          </cell>
          <cell r="F84">
            <v>6.6084642728186288E-2</v>
          </cell>
          <cell r="G84">
            <v>8.777819131607556E-2</v>
          </cell>
          <cell r="H84">
            <v>1.0958914543915082E-2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F85">
            <v>5.9106684024613203E-3</v>
          </cell>
          <cell r="G85">
            <v>4.994530886625706E-2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F86">
            <v>4.8812829872491997E-3</v>
          </cell>
          <cell r="G86">
            <v>3.9191801265400839E-2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E87">
            <v>2.0162109820142788E-2</v>
          </cell>
          <cell r="F87">
            <v>19.047749212667796</v>
          </cell>
          <cell r="G87">
            <v>33.735504530227018</v>
          </cell>
          <cell r="H87">
            <v>3.0828756141006398E-3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F88">
            <v>4.2764238579741801E-3</v>
          </cell>
          <cell r="G88">
            <v>2.5030350747210918E-2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E89">
            <v>7.9986046120233603</v>
          </cell>
          <cell r="F89">
            <v>9.8048166890383577</v>
          </cell>
          <cell r="G89">
            <v>16.669551510461261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F90">
            <v>1.29018679652365E-3</v>
          </cell>
          <cell r="G90">
            <v>7.3812305112770007E-3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E91">
            <v>44.957812017951227</v>
          </cell>
          <cell r="F91">
            <v>66.315531069241032</v>
          </cell>
          <cell r="G91">
            <v>66.683690594141055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E92">
            <v>0.36899274558953643</v>
          </cell>
          <cell r="F92">
            <v>7.9108896657987288E-2</v>
          </cell>
          <cell r="G92">
            <v>7.9226683913661805E-2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  <cell r="E93">
            <v>7.8095947986046204E-3</v>
          </cell>
          <cell r="F93">
            <v>7.7610111255909499E-3</v>
          </cell>
          <cell r="G93">
            <v>7.7107613302654504E-3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  <cell r="E94">
            <v>1.2708372102865799</v>
          </cell>
          <cell r="F94">
            <v>1.2693115152477501</v>
          </cell>
          <cell r="G94">
            <v>1.2642032534460499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  <cell r="E95">
            <v>92.549173955290797</v>
          </cell>
          <cell r="F95">
            <v>91.724410419527899</v>
          </cell>
          <cell r="G95">
            <v>68.277853422220005</v>
          </cell>
          <cell r="H95">
            <v>32.395353994393801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E96">
            <v>79.576349423418094</v>
          </cell>
          <cell r="F96">
            <v>100.796237247683</v>
          </cell>
          <cell r="G96">
            <v>132.626068984081</v>
          </cell>
          <cell r="H96">
            <v>185.675788544743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E97">
            <v>26.02929834513348</v>
          </cell>
          <cell r="F97">
            <v>29.527152476913962</v>
          </cell>
          <cell r="G97">
            <v>91.0846574957679</v>
          </cell>
          <cell r="H97">
            <v>76.910468216734131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E98">
            <v>12.591300085875011</v>
          </cell>
          <cell r="F98">
            <v>42.440776378172231</v>
          </cell>
          <cell r="G98">
            <v>57.723943410727195</v>
          </cell>
          <cell r="H98">
            <v>100.34394778907176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E99">
            <v>252.76096063840612</v>
          </cell>
          <cell r="F99">
            <v>391.785843002609</v>
          </cell>
          <cell r="G99">
            <v>369.16873777108367</v>
          </cell>
          <cell r="H99">
            <v>303.98419374876772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E100">
            <v>0.38995593513063942</v>
          </cell>
          <cell r="F100">
            <v>0.46267146718245922</v>
          </cell>
          <cell r="G100">
            <v>0.53877965418744667</v>
          </cell>
          <cell r="H100">
            <v>0.47625765268310771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E101">
            <v>265.46031187587329</v>
          </cell>
          <cell r="F101">
            <v>559.36960696964434</v>
          </cell>
          <cell r="G101">
            <v>655.45472051463014</v>
          </cell>
          <cell r="H101">
            <v>536.36993885633728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E102">
            <v>67.051760524802191</v>
          </cell>
          <cell r="F102">
            <v>93.795832018654096</v>
          </cell>
          <cell r="G102">
            <v>76.299572131912925</v>
          </cell>
          <cell r="H102">
            <v>68.045491103577092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E103">
            <v>237.8184072440759</v>
          </cell>
          <cell r="F103">
            <v>389.01611189966104</v>
          </cell>
          <cell r="G103">
            <v>614.62924400522002</v>
          </cell>
          <cell r="H103">
            <v>2109.3870953894289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E104">
            <v>292.68422968040659</v>
          </cell>
          <cell r="F104">
            <v>390.52923505527315</v>
          </cell>
          <cell r="G104">
            <v>386.86615005378923</v>
          </cell>
          <cell r="H104">
            <v>295.62785307931858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E105">
            <v>142.22555150122361</v>
          </cell>
          <cell r="F105">
            <v>162.0398154566532</v>
          </cell>
          <cell r="G105">
            <v>159.22374849589906</v>
          </cell>
          <cell r="H105">
            <v>122.76312681590055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  <cell r="E106">
            <v>6.0465954387354097</v>
          </cell>
          <cell r="F106">
            <v>1.8277003584582101</v>
          </cell>
          <cell r="G106">
            <v>3.9436084708512298</v>
          </cell>
          <cell r="H106">
            <v>1.28714611943191E-3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F107">
            <v>0.142480479629365</v>
          </cell>
          <cell r="G107">
            <v>0.20933510471444508</v>
          </cell>
          <cell r="H107">
            <v>4.4292530710019845E-2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F108">
            <v>4.2613132626693397E-2</v>
          </cell>
          <cell r="G108">
            <v>8.2767730468490397E-2</v>
          </cell>
          <cell r="H108">
            <v>6.6068960275902006E-2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F109">
            <v>0.111100447660902</v>
          </cell>
          <cell r="G109">
            <v>38.366793801741466</v>
          </cell>
          <cell r="H109">
            <v>38.382536795117964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E110">
            <v>2.4551906840445219</v>
          </cell>
          <cell r="F110">
            <v>3.3019457514141584</v>
          </cell>
          <cell r="G110">
            <v>2.954149980895652</v>
          </cell>
          <cell r="H110">
            <v>79.527281328087213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F111">
            <v>6.7804813645446303E-3</v>
          </cell>
          <cell r="G111">
            <v>1.2541747036320001E-2</v>
          </cell>
          <cell r="H111">
            <v>8.9348648806070498E-3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E112">
            <v>29.0333844883165</v>
          </cell>
          <cell r="F112">
            <v>20.3473344665274</v>
          </cell>
          <cell r="G112">
            <v>8.0269692845840096E-2</v>
          </cell>
          <cell r="H112">
            <v>4.6824571209883703E-2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E113">
            <v>7.8009782424011664</v>
          </cell>
          <cell r="F113">
            <v>30.41462518939889</v>
          </cell>
          <cell r="G113">
            <v>94.282864208177898</v>
          </cell>
          <cell r="H113">
            <v>114.93341748163985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E114">
            <v>2.3307611319122799E-3</v>
          </cell>
          <cell r="F114">
            <v>17.579049180728301</v>
          </cell>
          <cell r="G114">
            <v>11.745340522435459</v>
          </cell>
          <cell r="H114">
            <v>9.8497345855184371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E115">
            <v>5.7058974912984155</v>
          </cell>
          <cell r="F115">
            <v>57.835794365301183</v>
          </cell>
          <cell r="G115">
            <v>54.841927572242554</v>
          </cell>
          <cell r="H115">
            <v>43.851436685086675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E116">
            <v>0.18623234170531025</v>
          </cell>
          <cell r="F116">
            <v>32.713606044286763</v>
          </cell>
          <cell r="G116">
            <v>91.748889994713721</v>
          </cell>
          <cell r="H116">
            <v>364.89188341048538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E117">
            <v>4.8713540693463839</v>
          </cell>
          <cell r="F117">
            <v>10.152971878294961</v>
          </cell>
          <cell r="G117">
            <v>9.804871540760951</v>
          </cell>
          <cell r="H117">
            <v>8.1970172770572329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E118">
            <v>1.9911742756624176</v>
          </cell>
          <cell r="F118">
            <v>3.4108177075755579</v>
          </cell>
          <cell r="G118">
            <v>3.3125177000052908</v>
          </cell>
          <cell r="H118">
            <v>2.5870404431945411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E119">
            <v>2.5947230396032408</v>
          </cell>
          <cell r="F119">
            <v>5.3797954027611175</v>
          </cell>
          <cell r="G119">
            <v>5.1462516455088059</v>
          </cell>
          <cell r="H119">
            <v>4.307618749822125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F120">
            <v>64.9385835634708</v>
          </cell>
          <cell r="G120">
            <v>304.82287396918611</v>
          </cell>
          <cell r="H120">
            <v>819.17645863769826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E121">
            <v>386.73418696354747</v>
          </cell>
          <cell r="F121">
            <v>452.63107765329164</v>
          </cell>
          <cell r="G121">
            <v>352.63764330131926</v>
          </cell>
          <cell r="H121">
            <v>32.418732668455569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E122">
            <v>1.2743927511234001E-3</v>
          </cell>
          <cell r="F122">
            <v>8.2664489052908213E-2</v>
          </cell>
          <cell r="G122">
            <v>0.1482497886148153</v>
          </cell>
          <cell r="H122">
            <v>0.16260662896230604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E123">
            <v>7.7492989848067305E-4</v>
          </cell>
          <cell r="F123">
            <v>0.1187432210247292</v>
          </cell>
          <cell r="G123">
            <v>0.31440375445062796</v>
          </cell>
          <cell r="H123">
            <v>0.45707691194318145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E124">
            <v>7.6661235680157902E-3</v>
          </cell>
          <cell r="F124">
            <v>1.3694462651152381</v>
          </cell>
          <cell r="G124">
            <v>105.03236613086909</v>
          </cell>
          <cell r="H124">
            <v>365.04521720839432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E125">
            <v>8.2986774951525195</v>
          </cell>
          <cell r="F125">
            <v>22.571514950459388</v>
          </cell>
          <cell r="G125">
            <v>27.415791806331338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E126">
            <v>0.43194105747631301</v>
          </cell>
          <cell r="F126">
            <v>1.64390268824594</v>
          </cell>
          <cell r="G126">
            <v>2.24727920886937</v>
          </cell>
          <cell r="H126">
            <v>1.8068001390509782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E127">
            <v>38.049254121891302</v>
          </cell>
          <cell r="F127">
            <v>28.963634506624942</v>
          </cell>
          <cell r="G127">
            <v>31.207706648213062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E128">
            <v>11.396329694566329</v>
          </cell>
          <cell r="F128">
            <v>9.1846977947326938</v>
          </cell>
          <cell r="G128">
            <v>9.373034582315201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E129">
            <v>1.0668628479556581</v>
          </cell>
          <cell r="F129">
            <v>7.8764647632087278E-2</v>
          </cell>
          <cell r="G129">
            <v>8.6778969299157654E-2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F130">
            <v>6.5332128507293204E-3</v>
          </cell>
          <cell r="G130">
            <v>7.3111162214886199E-2</v>
          </cell>
          <cell r="H130">
            <v>1.4743063953354888E-4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F131">
            <v>4.345262200638E-3</v>
          </cell>
          <cell r="G131">
            <v>0.43692887413469089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  <cell r="E132">
            <v>0.44188254800419102</v>
          </cell>
          <cell r="F132">
            <v>0.44073492572919898</v>
          </cell>
          <cell r="G132">
            <v>0.437457879399622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F133">
            <v>3.4146046500505901E-3</v>
          </cell>
          <cell r="G133">
            <v>0.71361896264002933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F134">
            <v>2.20280393902755E-4</v>
          </cell>
          <cell r="G134">
            <v>5.9535775620294402E-3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E135">
            <v>15101.5710916975</v>
          </cell>
          <cell r="F135">
            <v>14391.8251469358</v>
          </cell>
          <cell r="G135">
            <v>12872.6600737593</v>
          </cell>
          <cell r="H135">
            <v>9921.9653034142502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E137">
            <v>9468.5879275113693</v>
          </cell>
          <cell r="F137">
            <v>9851.0963951663998</v>
          </cell>
          <cell r="G137">
            <v>10233.604862821499</v>
          </cell>
          <cell r="H137">
            <v>8257.1370497880398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E138">
            <v>330.01436266509302</v>
          </cell>
          <cell r="F138">
            <v>321.179792391207</v>
          </cell>
          <cell r="G138">
            <v>91.680983094500206</v>
          </cell>
          <cell r="H138">
            <v>4.1256545471961698E-2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311.74953367809201</v>
          </cell>
          <cell r="F141">
            <v>189.40884217273</v>
          </cell>
          <cell r="G141">
            <v>247.17443860440301</v>
          </cell>
          <cell r="H141">
            <v>324.84255311875597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689.99897056549298</v>
          </cell>
          <cell r="F142">
            <v>659.57605228325201</v>
          </cell>
          <cell r="G142">
            <v>623.10286063849503</v>
          </cell>
          <cell r="H142">
            <v>416.70060381181202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8954.4047905704592</v>
          </cell>
          <cell r="F145">
            <v>8259.8871190230493</v>
          </cell>
          <cell r="G145">
            <v>7137.2570163446999</v>
          </cell>
          <cell r="H145">
            <v>5088.5735393038303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2093.6576319396099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28.0825891718797</v>
          </cell>
          <cell r="F147">
            <v>289.75759278468502</v>
          </cell>
          <cell r="G147">
            <v>22.253455414772102</v>
          </cell>
          <cell r="H147">
            <v>0.335481108134699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15.122915283972899</v>
          </cell>
          <cell r="F148">
            <v>5.3764848546414097</v>
          </cell>
          <cell r="G148">
            <v>9.7652006582076503</v>
          </cell>
          <cell r="H148">
            <v>0.156042576708664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1523.50222637559</v>
          </cell>
          <cell r="F149">
            <v>1503.30480301278</v>
          </cell>
          <cell r="G149">
            <v>1236.23660250837</v>
          </cell>
          <cell r="H149">
            <v>832.88324273552303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-3259.75559357053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2654.3921616417301</v>
          </cell>
          <cell r="F151">
            <v>2592.8969658627502</v>
          </cell>
          <cell r="G151">
            <v>2507.4053592812502</v>
          </cell>
          <cell r="H151">
            <v>2053.1520201544499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213.78135709555599</v>
          </cell>
          <cell r="F152">
            <v>212.85988573135401</v>
          </cell>
          <cell r="G152">
            <v>0.47000813087823501</v>
          </cell>
          <cell r="H152">
            <v>4.4055941864156303E-2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2267.7887604644998</v>
          </cell>
          <cell r="F153">
            <v>1754.74051609497</v>
          </cell>
          <cell r="G153">
            <v>1929.7449803956099</v>
          </cell>
          <cell r="H153">
            <v>976.69825924682402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9.27043618018185</v>
          </cell>
          <cell r="F154">
            <v>9.2701690974975293</v>
          </cell>
          <cell r="G154">
            <v>2.4418263597140499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4514.4851021571603</v>
          </cell>
          <cell r="F156">
            <v>3797.2272180588898</v>
          </cell>
          <cell r="G156">
            <v>3720.5750780528501</v>
          </cell>
          <cell r="H156">
            <v>1663.4828497124399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5720.4419261023304</v>
          </cell>
          <cell r="F157">
            <v>5668.8024786361702</v>
          </cell>
          <cell r="G157">
            <v>5161.4681640109102</v>
          </cell>
          <cell r="H157">
            <v>4306.4652496779299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1068.1310608165199</v>
          </cell>
          <cell r="F160">
            <v>1094.4827034714999</v>
          </cell>
          <cell r="G160">
            <v>1024.6422551360899</v>
          </cell>
          <cell r="H160">
            <v>1013.19810868274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E161">
            <v>80.579805490417797</v>
          </cell>
          <cell r="F161">
            <v>102.29888314397201</v>
          </cell>
          <cell r="G161">
            <v>134.57676380778099</v>
          </cell>
          <cell r="H161">
            <v>174.59830304083499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E162">
            <v>2102.5026804803001</v>
          </cell>
          <cell r="F162">
            <v>1728.02641639235</v>
          </cell>
          <cell r="G162">
            <v>1903.2230314215501</v>
          </cell>
          <cell r="H162">
            <v>1348.2119329965601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E164">
            <v>2266.27524106793</v>
          </cell>
          <cell r="F164">
            <v>2235.4032770869298</v>
          </cell>
          <cell r="G164">
            <v>2268.7773376305499</v>
          </cell>
          <cell r="H164">
            <v>2238.5113138414499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E165">
            <v>44308.4586478032</v>
          </cell>
          <cell r="F165">
            <v>42386.608765139201</v>
          </cell>
          <cell r="G165">
            <v>40356.669695373399</v>
          </cell>
          <cell r="H165">
            <v>27528.933900652501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H166">
            <v>-5.7533082725819702E-2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E170">
            <v>6493.7752321076041</v>
          </cell>
          <cell r="F170">
            <v>6127.1380201437451</v>
          </cell>
          <cell r="G170">
            <v>5745.3886094827785</v>
          </cell>
          <cell r="H170">
            <v>4871.8535899180588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E171">
            <v>7178.1476999790766</v>
          </cell>
          <cell r="F171">
            <v>6399.3943530191436</v>
          </cell>
          <cell r="G171">
            <v>6230.4222636938057</v>
          </cell>
          <cell r="H171">
            <v>3716.6348698668885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E172">
            <v>14769.365228186593</v>
          </cell>
          <cell r="F172">
            <v>14034.861570557412</v>
          </cell>
          <cell r="G172">
            <v>12441.089390606483</v>
          </cell>
          <cell r="H172">
            <v>9567.2272196521772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E173">
            <v>2606.1073639179062</v>
          </cell>
          <cell r="F173">
            <v>2714.5697120443424</v>
          </cell>
          <cell r="G173">
            <v>2538.2052316497238</v>
          </cell>
          <cell r="H173">
            <v>2563.6893480683434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E174">
            <v>3791.2909868400898</v>
          </cell>
          <cell r="F174">
            <v>3258.0453191077522</v>
          </cell>
          <cell r="G174">
            <v>3165.9815829039821</v>
          </cell>
          <cell r="H174">
            <v>1809.5815019823472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E175">
            <v>2606.1073639179062</v>
          </cell>
          <cell r="F175">
            <v>2714.5697120443424</v>
          </cell>
          <cell r="G175">
            <v>2538.2052316497238</v>
          </cell>
          <cell r="H175">
            <v>2563.6893480683434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E176">
            <v>6493.7752321076041</v>
          </cell>
          <cell r="F176">
            <v>6127.1380201437451</v>
          </cell>
          <cell r="G176">
            <v>5745.3886094827785</v>
          </cell>
          <cell r="H176">
            <v>4871.8473133753196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E177">
            <v>43938.569107056792</v>
          </cell>
          <cell r="F177">
            <v>41375.716707060441</v>
          </cell>
          <cell r="G177">
            <v>38404.680919469269</v>
          </cell>
          <cell r="H177">
            <v>29964.523190931461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E178">
            <v>6307.1990227535098</v>
          </cell>
          <cell r="F178">
            <v>6307.1990227535098</v>
          </cell>
          <cell r="G178">
            <v>6307.1990227535098</v>
          </cell>
          <cell r="H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E182">
            <v>2089.34680048464</v>
          </cell>
          <cell r="F182">
            <v>2111.0131698740802</v>
          </cell>
          <cell r="G182">
            <v>2102.26947106126</v>
          </cell>
          <cell r="H182">
            <v>2093.6576319396122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E183">
            <v>2089.34680048464</v>
          </cell>
          <cell r="F183">
            <v>2111.0131698740802</v>
          </cell>
          <cell r="G183">
            <v>2102.26947106126</v>
          </cell>
          <cell r="H183">
            <v>2093.6576319396122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E187">
            <v>114.384087005748</v>
          </cell>
          <cell r="F187">
            <v>188.672764403023</v>
          </cell>
          <cell r="G187">
            <v>0.46137006159890898</v>
          </cell>
          <cell r="H187">
            <v>404.02197075468803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E188">
            <v>2843.25706007087</v>
          </cell>
          <cell r="F188">
            <v>2574.9229628574099</v>
          </cell>
          <cell r="G188">
            <v>2409.0599295673101</v>
          </cell>
          <cell r="H188">
            <v>2556.3791521861899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E189">
            <v>208.35621979804199</v>
          </cell>
          <cell r="F189">
            <v>0.13341923469441799</v>
          </cell>
          <cell r="G189">
            <v>246.10807491601901</v>
          </cell>
          <cell r="H189">
            <v>0.52579206427423597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E190">
            <v>1689.293422065</v>
          </cell>
          <cell r="F190">
            <v>1895.8838490365499</v>
          </cell>
          <cell r="G190">
            <v>2128.4948530954698</v>
          </cell>
          <cell r="H190">
            <v>1920.6432271408901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E192">
            <v>15.8776280757283</v>
          </cell>
          <cell r="F192">
            <v>16.0237096086666</v>
          </cell>
          <cell r="G192">
            <v>0.21323700532602399</v>
          </cell>
          <cell r="H192">
            <v>6.2998207401242803E-2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E194">
            <v>9.6985200147649504</v>
          </cell>
          <cell r="F194">
            <v>113.49214819083799</v>
          </cell>
          <cell r="G194">
            <v>19.307828019988701</v>
          </cell>
          <cell r="H194">
            <v>0.102383973059431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H195">
            <v>0.18175591988355799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E196">
            <v>2.0374291148955401</v>
          </cell>
          <cell r="F196">
            <v>155.402538632052</v>
          </cell>
          <cell r="G196">
            <v>2.3612378085381902</v>
          </cell>
          <cell r="H196">
            <v>0.164514759887635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E197">
            <v>4882.9043661450496</v>
          </cell>
          <cell r="F197">
            <v>4944.5313919632299</v>
          </cell>
          <cell r="G197">
            <v>4806.0065304742602</v>
          </cell>
          <cell r="H197">
            <v>4882.0817950062701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E198">
            <v>108.965403704807</v>
          </cell>
          <cell r="F198">
            <v>83.303819120011298</v>
          </cell>
          <cell r="G198">
            <v>63.063711346811203</v>
          </cell>
          <cell r="H198">
            <v>5.0310291805327498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E199">
            <v>2005.1533686858099</v>
          </cell>
          <cell r="F199">
            <v>1639.2133025739899</v>
          </cell>
          <cell r="G199">
            <v>1926.9095720272501</v>
          </cell>
          <cell r="H199">
            <v>1431.7004117531999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E201">
            <v>655.76999106031701</v>
          </cell>
          <cell r="F201">
            <v>597.36312979084505</v>
          </cell>
          <cell r="G201">
            <v>589.51413024064595</v>
          </cell>
          <cell r="H201">
            <v>435.952839636889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E204">
            <v>330.01436266509302</v>
          </cell>
          <cell r="F204">
            <v>321.179792391207</v>
          </cell>
          <cell r="G204">
            <v>91.680983094500206</v>
          </cell>
          <cell r="H204">
            <v>4.1256545471961698E-2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E205">
            <v>22.705192575098099</v>
          </cell>
          <cell r="F205">
            <v>51.200444480412699</v>
          </cell>
          <cell r="G205">
            <v>23.216070677845298</v>
          </cell>
          <cell r="H205">
            <v>47.833736704917598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E206">
            <v>723.65959609807101</v>
          </cell>
          <cell r="F206">
            <v>749.83991642212698</v>
          </cell>
          <cell r="G206">
            <v>1021.62243142502</v>
          </cell>
          <cell r="H206">
            <v>1011.94552064717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E208">
            <v>344.47146471844798</v>
          </cell>
          <cell r="F208">
            <v>344.64617944757498</v>
          </cell>
          <cell r="G208">
            <v>3.0248442588275601</v>
          </cell>
          <cell r="H208">
            <v>1.2583995251783899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E209">
            <v>210.210959292247</v>
          </cell>
          <cell r="F209">
            <v>209.30487757370699</v>
          </cell>
          <cell r="G209">
            <v>0.46215844734724898</v>
          </cell>
          <cell r="H209">
            <v>4.3320156292432403E-2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E210">
            <v>4400.9503387998902</v>
          </cell>
          <cell r="F210">
            <v>3996.0514617998701</v>
          </cell>
          <cell r="G210">
            <v>3719.4939015182399</v>
          </cell>
          <cell r="H210">
            <v>2933.80651414965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6.7159810430076696E-7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4.6398026033528403E-6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1.3337328998883199E-6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1.7916298397926302E-5</v>
          </cell>
          <cell r="F8">
            <v>7.12429847926048E-7</v>
          </cell>
          <cell r="G8">
            <v>9.0375622294967698E-7</v>
          </cell>
          <cell r="H8">
            <v>1.3850546994519399E-6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4.1012933118570703E-3</v>
          </cell>
          <cell r="F10">
            <v>2.2997109440416399E-2</v>
          </cell>
          <cell r="G10">
            <v>1.43102417532961E-6</v>
          </cell>
          <cell r="H10">
            <v>9.2781886924524298E-2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E11">
            <v>1.43200829059301E-2</v>
          </cell>
          <cell r="F11">
            <v>0.10142873047162</v>
          </cell>
          <cell r="G11">
            <v>2.5649712529139201E-6</v>
          </cell>
          <cell r="H11">
            <v>4.8522800419613004E-3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E12">
            <v>5.4539016529388105E-7</v>
          </cell>
          <cell r="F12">
            <v>2.1461061801550301E-7</v>
          </cell>
          <cell r="G12">
            <v>1.98143482090392E-7</v>
          </cell>
          <cell r="H12">
            <v>2.0164155963847799E-7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H13">
            <v>1.40711351287848E-6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H14">
            <v>5.3535950497004299E-8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E15">
            <v>1.86367777859949E-6</v>
          </cell>
          <cell r="F15">
            <v>2.31090115770263E-7</v>
          </cell>
          <cell r="G15">
            <v>3.1986753179846599E-7</v>
          </cell>
          <cell r="H15">
            <v>5.7759081762312998E-7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E16">
            <v>5.1637803348739998E-2</v>
          </cell>
          <cell r="F16">
            <v>0.110764708926477</v>
          </cell>
          <cell r="G16">
            <v>3.58579918918031E-6</v>
          </cell>
          <cell r="H16">
            <v>3.49828054030723E-6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E17">
            <v>6.0533818816774099E-7</v>
          </cell>
          <cell r="F17">
            <v>1.44379395151768E-7</v>
          </cell>
          <cell r="G17">
            <v>1.84229129981214E-7</v>
          </cell>
          <cell r="H17">
            <v>1.56454585760582E-7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E18">
            <v>4.11416983932213E-4</v>
          </cell>
          <cell r="F18">
            <v>2.5784491327660198E-6</v>
          </cell>
          <cell r="G18">
            <v>1.6103811153679899E-6</v>
          </cell>
          <cell r="H18">
            <v>1.9999115011909101E-5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E19">
            <v>0.153788464615393</v>
          </cell>
          <cell r="F19">
            <v>5.3851798965699901E-2</v>
          </cell>
          <cell r="G19">
            <v>2.1998371035125698E-6</v>
          </cell>
          <cell r="H19">
            <v>2.46183297783673E-6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E20">
            <v>2.7200769290024599E-6</v>
          </cell>
          <cell r="F20">
            <v>8.6261151815734195E-7</v>
          </cell>
          <cell r="G20">
            <v>1.10542962452421E-6</v>
          </cell>
          <cell r="H20">
            <v>1.4742025611665501E-6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H21">
            <v>1.3176430047381799E-6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H23">
            <v>6.7159810430076696E-7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H25">
            <v>4.6398026033528403E-6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H26">
            <v>1.3337328998883199E-6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E27">
            <v>1.0275299108393781</v>
          </cell>
          <cell r="F27">
            <v>1.0275306232692258</v>
          </cell>
          <cell r="G27">
            <v>1.0275315270254488</v>
          </cell>
          <cell r="H27">
            <v>1.0275329120801484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E29">
            <v>0.21267114408685103</v>
          </cell>
          <cell r="F29">
            <v>0.23566725665918242</v>
          </cell>
          <cell r="G29">
            <v>0.23566270190279745</v>
          </cell>
          <cell r="H29">
            <v>0.25486145075273237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E30">
            <v>4.2337889897109612E-2</v>
          </cell>
          <cell r="F30">
            <v>0.14376601443137771</v>
          </cell>
          <cell r="G30">
            <v>0.14376726963822689</v>
          </cell>
          <cell r="H30">
            <v>0.14376448363920186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E31">
            <v>0.95961823847180927</v>
          </cell>
          <cell r="F31">
            <v>0.95961845308242733</v>
          </cell>
          <cell r="G31">
            <v>0.95961865122590939</v>
          </cell>
          <cell r="H31">
            <v>0.95961885286746906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H32">
            <v>1.40711351287848E-6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H33">
            <v>5.3535950497004299E-8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E34">
            <v>2.2350540653029189</v>
          </cell>
          <cell r="F34">
            <v>2.2350542963930344</v>
          </cell>
          <cell r="G34">
            <v>2.2350546162605665</v>
          </cell>
          <cell r="H34">
            <v>2.2350551938513838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E35">
            <v>5.1637803348739998E-2</v>
          </cell>
          <cell r="F35">
            <v>0.1624020975687967</v>
          </cell>
          <cell r="G35">
            <v>0.1624040372559018</v>
          </cell>
          <cell r="H35">
            <v>0.16240381031731307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E36">
            <v>3.0972406127341081</v>
          </cell>
          <cell r="F36">
            <v>3.0972407571135032</v>
          </cell>
          <cell r="G36">
            <v>3.0972409413426334</v>
          </cell>
          <cell r="H36">
            <v>3.0972410977972191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E37">
            <v>4.11416983932213E-4</v>
          </cell>
          <cell r="F37">
            <v>4.1370970511649352E-4</v>
          </cell>
          <cell r="G37">
            <v>4.1473787433655361E-4</v>
          </cell>
          <cell r="H37">
            <v>4.3394158152939731E-4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E38">
            <v>6.2404105030948544E-2</v>
          </cell>
          <cell r="F38">
            <v>6.2400086879804362E-2</v>
          </cell>
          <cell r="G38">
            <v>6.2399335501747408E-2</v>
          </cell>
          <cell r="H38">
            <v>-4.0390295830139422E-7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E39">
            <v>0.35608726257292395</v>
          </cell>
          <cell r="F39">
            <v>0.40993838717367509</v>
          </cell>
          <cell r="G39">
            <v>5.890463431548798E-2</v>
          </cell>
          <cell r="H39">
            <v>5.4968359311582948E-2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  <cell r="E40">
            <v>2.0373354725669599E-3</v>
          </cell>
          <cell r="F40">
            <v>2.0372222224991176E-3</v>
          </cell>
          <cell r="G40">
            <v>2.0371874945963302E-3</v>
          </cell>
          <cell r="H40">
            <v>9.1633818175619727E-4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E41">
            <v>1.984486090343029</v>
          </cell>
          <cell r="F41">
            <v>1.9844869529545472</v>
          </cell>
          <cell r="G41">
            <v>1.9844880583841717</v>
          </cell>
          <cell r="H41">
            <v>1.9844895325867329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H42">
            <v>1.3176430047381799E-6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E44">
            <v>0.11258831588897818</v>
          </cell>
          <cell r="F44">
            <v>0.12476475197978865</v>
          </cell>
          <cell r="G44">
            <v>0.12058173718996097</v>
          </cell>
          <cell r="H44">
            <v>0.13492647229875715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E45">
            <v>0.15593425377976136</v>
          </cell>
          <cell r="F45">
            <v>0.13505170433790037</v>
          </cell>
          <cell r="G45">
            <v>0.14814654163936553</v>
          </cell>
          <cell r="H45">
            <v>5.3505098609256896E-2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E47">
            <v>9.6793783574267227</v>
          </cell>
          <cell r="F47">
            <v>10.726203963062384</v>
          </cell>
          <cell r="G47">
            <v>10.366584205845502</v>
          </cell>
          <cell r="H47">
            <v>11.599821575627438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E49">
            <v>9.6793783574267227</v>
          </cell>
          <cell r="F49">
            <v>10.726203963062384</v>
          </cell>
          <cell r="G49">
            <v>10.366584205845502</v>
          </cell>
          <cell r="H49">
            <v>11.599821575627438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H50">
            <v>6.1422724588616718E-4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E51">
            <v>5.5274740013846024</v>
          </cell>
          <cell r="F51">
            <v>3.3583128044810246</v>
          </cell>
          <cell r="G51">
            <v>4.3825255071702767</v>
          </cell>
          <cell r="H51">
            <v>5.7596197361481458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E52">
            <v>0.26813679581512317</v>
          </cell>
          <cell r="F52">
            <v>9.5327745649670517E-2</v>
          </cell>
          <cell r="G52">
            <v>0.17314185564197976</v>
          </cell>
          <cell r="H52">
            <v>2.7667123529905042E-3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E53">
            <v>27.012450822262196</v>
          </cell>
          <cell r="F53">
            <v>26.654340478949969</v>
          </cell>
          <cell r="G53">
            <v>21.919088696956848</v>
          </cell>
          <cell r="H53">
            <v>14.767433381835515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E54">
            <v>47.063690809250602</v>
          </cell>
          <cell r="F54">
            <v>45.973350458559359</v>
          </cell>
          <cell r="G54">
            <v>44.457541831227729</v>
          </cell>
          <cell r="H54">
            <v>36.403404612667472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E55">
            <v>37.278416320572767</v>
          </cell>
          <cell r="F55">
            <v>30.638766248091262</v>
          </cell>
          <cell r="G55">
            <v>33.745089209601879</v>
          </cell>
          <cell r="H55">
            <v>23.90446689710215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E56">
            <v>311.74953367809201</v>
          </cell>
          <cell r="F56">
            <v>189.40884217273</v>
          </cell>
          <cell r="G56">
            <v>247.17443860440301</v>
          </cell>
          <cell r="H56">
            <v>324.84255311875597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E57">
            <v>689.99897056549298</v>
          </cell>
          <cell r="F57">
            <v>659.57605228325201</v>
          </cell>
          <cell r="G57">
            <v>623.10286063849503</v>
          </cell>
          <cell r="H57">
            <v>416.70060381181202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E58">
            <v>15.122915283972899</v>
          </cell>
          <cell r="F58">
            <v>5.3764848546414097</v>
          </cell>
          <cell r="G58">
            <v>9.7652006582076503</v>
          </cell>
          <cell r="H58">
            <v>0.156042576708664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E59">
            <v>1523.50222637559</v>
          </cell>
          <cell r="F59">
            <v>1503.30480301278</v>
          </cell>
          <cell r="G59">
            <v>1236.23660250837</v>
          </cell>
          <cell r="H59">
            <v>832.88324273552303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E60">
            <v>2654.3921616417301</v>
          </cell>
          <cell r="F60">
            <v>2592.8969658627502</v>
          </cell>
          <cell r="G60">
            <v>2507.4053592812502</v>
          </cell>
          <cell r="H60">
            <v>2053.1520201544499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E61">
            <v>2267.7887604644998</v>
          </cell>
          <cell r="F61">
            <v>1754.74051609497</v>
          </cell>
          <cell r="G61">
            <v>1929.7449803956099</v>
          </cell>
          <cell r="H61">
            <v>976.69825924682402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E62">
            <v>4514.4851021571603</v>
          </cell>
          <cell r="F62">
            <v>3797.2272180588898</v>
          </cell>
          <cell r="G62">
            <v>3720.5750780528501</v>
          </cell>
          <cell r="H62">
            <v>1663.4828497124399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E63">
            <v>5720.4419261023304</v>
          </cell>
          <cell r="F63">
            <v>5668.8024786361702</v>
          </cell>
          <cell r="G63">
            <v>5161.4681640109102</v>
          </cell>
          <cell r="H63">
            <v>4306.4652496779299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E64">
            <v>2102.5026804803001</v>
          </cell>
          <cell r="F64">
            <v>1728.02641639235</v>
          </cell>
          <cell r="G64">
            <v>1903.2230314215501</v>
          </cell>
          <cell r="H64">
            <v>1348.2119329965601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E66">
            <v>5.7223458653154369</v>
          </cell>
          <cell r="F66">
            <v>3.3476273694630714</v>
          </cell>
          <cell r="G66">
            <v>4.3717986698159246</v>
          </cell>
          <cell r="H66">
            <v>7.1760493147862023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E67">
            <v>9.2059047983095557</v>
          </cell>
          <cell r="F67">
            <v>8.8000049327437644</v>
          </cell>
          <cell r="G67">
            <v>8.3138011649478472</v>
          </cell>
          <cell r="H67">
            <v>6.5642485088642974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E71">
            <v>2.9733799689155629</v>
          </cell>
          <cell r="F71">
            <v>2.9709446033358082</v>
          </cell>
          <cell r="G71">
            <v>3.1183339168657573</v>
          </cell>
          <cell r="H71">
            <v>2.783896791082324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H72">
            <v>2.1345362658809486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E73">
            <v>1.1764753577704916</v>
          </cell>
          <cell r="F73">
            <v>4.3991607625867282</v>
          </cell>
          <cell r="G73">
            <v>4.3991616089140884</v>
          </cell>
          <cell r="H73">
            <v>4.3991582336848607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E74">
            <v>0.21315258212183885</v>
          </cell>
          <cell r="F74">
            <v>2.8084677064643961E-5</v>
          </cell>
          <cell r="G74">
            <v>3.2394200383678339E-3</v>
          </cell>
          <cell r="H74">
            <v>1.4393597740349442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E75">
            <v>2.2121561278926876E-2</v>
          </cell>
          <cell r="F75">
            <v>1.0329059137979267E-2</v>
          </cell>
          <cell r="G75">
            <v>1.8090630101415664E-2</v>
          </cell>
          <cell r="H75">
            <v>5.4855624577103271E-4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E76">
            <v>0.30579884091181109</v>
          </cell>
          <cell r="F76">
            <v>1.925019590993795</v>
          </cell>
          <cell r="G76">
            <v>1.1706358983655436</v>
          </cell>
          <cell r="H76">
            <v>0.55699293390914051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E77">
            <v>0.30971846675482689</v>
          </cell>
          <cell r="F77">
            <v>2.4639455951899416</v>
          </cell>
          <cell r="G77">
            <v>1.5563760663869255</v>
          </cell>
          <cell r="H77">
            <v>0.75138292208649105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E78">
            <v>0.32570739631357049</v>
          </cell>
          <cell r="F78">
            <v>3.1651609187382755E-5</v>
          </cell>
          <cell r="G78">
            <v>1.6509964168619402</v>
          </cell>
          <cell r="H78">
            <v>1.6510381848639177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E79">
            <v>9.362265543629487</v>
          </cell>
          <cell r="F79">
            <v>8.949471537086179</v>
          </cell>
          <cell r="G79">
            <v>8.4545842691790298</v>
          </cell>
          <cell r="H79">
            <v>5.6540109065374669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E80">
            <v>30.770539490698763</v>
          </cell>
          <cell r="F80">
            <v>23.809233596946747</v>
          </cell>
          <cell r="G80">
            <v>26.183785351365191</v>
          </cell>
          <cell r="H80">
            <v>13.252350871734379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E81">
            <v>61.254886053692843</v>
          </cell>
          <cell r="F81">
            <v>51.522757368506042</v>
          </cell>
          <cell r="G81">
            <v>50.48270119474693</v>
          </cell>
          <cell r="H81">
            <v>22.57100203137637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E82">
            <v>3.7980976375255682</v>
          </cell>
          <cell r="F82">
            <v>12.540437081035764</v>
          </cell>
          <cell r="G82">
            <v>12.540437578469644</v>
          </cell>
          <cell r="H82">
            <v>12.540432358427442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E83">
            <v>0.28933543703969666</v>
          </cell>
          <cell r="F83">
            <v>0.10658319469323585</v>
          </cell>
          <cell r="G83">
            <v>0.19193862599275341</v>
          </cell>
          <cell r="H83">
            <v>3.2881097823742622E-3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E84">
            <v>9.6865048694702534</v>
          </cell>
          <cell r="F84">
            <v>10.216826803509019</v>
          </cell>
          <cell r="G84">
            <v>5.0787640996624974</v>
          </cell>
          <cell r="H84">
            <v>1.5397816105249336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E85">
            <v>77.512763226318825</v>
          </cell>
          <cell r="F85">
            <v>76.813041715937189</v>
          </cell>
          <cell r="G85">
            <v>69.938593008278062</v>
          </cell>
          <cell r="H85">
            <v>58.353187665012669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E86">
            <v>0.43674755453192288</v>
          </cell>
          <cell r="F86">
            <v>0.55207065852058268</v>
          </cell>
          <cell r="G86">
            <v>1.4655692646877225</v>
          </cell>
          <cell r="H86">
            <v>1.4655904116700709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E87">
            <v>27.23125615884145</v>
          </cell>
          <cell r="F87">
            <v>28.488350626999114</v>
          </cell>
          <cell r="G87">
            <v>23.016196602812368</v>
          </cell>
          <cell r="H87">
            <v>15.275557379310264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H88">
            <v>1.265349584044042E-5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H89">
            <v>5.1125027744690283E-5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H90">
            <v>1.1350507023941291E-5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H91">
            <v>1.2454795139115735E-5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H92">
            <v>1.4666229741192902E-5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H93">
            <v>1.2575819966874807E-5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H94">
            <v>5.0616357947115963E-5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H95">
            <v>1.4291424615785979E-5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H96">
            <v>1.2779391445897609E-5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H97">
            <v>1.0969721918557375E-5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E98">
            <v>3.651259346000539E-3</v>
          </cell>
          <cell r="F98">
            <v>5.2385901576496559E-3</v>
          </cell>
          <cell r="G98">
            <v>5.2591998691254478E-3</v>
          </cell>
          <cell r="H98">
            <v>7.4055708569680792E-3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H99">
            <v>1.265349584044042E-5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H100">
            <v>5.1125027744690283E-5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H101">
            <v>1.1350507023941291E-5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H102">
            <v>1.2454795139115735E-5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H103">
            <v>1.4666229741192902E-5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F105">
            <v>1.2662889343567341E-3</v>
          </cell>
          <cell r="G105">
            <v>1.3183059401606085E-3</v>
          </cell>
          <cell r="H105">
            <v>5.2828292767847376E-5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H106">
            <v>2.7968592778135127E-3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H107">
            <v>3.2338205245184483E-3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H109">
            <v>1.2575819966874807E-5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H110">
            <v>5.0616357947115963E-5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H111">
            <v>1.4291424615785981E-5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H112">
            <v>1.2779391445897609E-5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H113">
            <v>1.0969721918557375E-5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E114">
            <v>47.222551188978848</v>
          </cell>
          <cell r="F114">
            <v>48.283050076204425</v>
          </cell>
          <cell r="G114">
            <v>45.867389038140168</v>
          </cell>
          <cell r="H114">
            <v>37.036389423799449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E115">
            <v>9.6865048694702534</v>
          </cell>
          <cell r="F115">
            <v>10.216826803509019</v>
          </cell>
          <cell r="G115">
            <v>5.0787640996624974</v>
          </cell>
          <cell r="H115">
            <v>1.5397816105249336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  <cell r="E116">
            <v>2.4537025746790015</v>
          </cell>
          <cell r="F116">
            <v>1.8158579812238815</v>
          </cell>
          <cell r="G116">
            <v>3.4289187125741751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E117">
            <v>7.1186580585854742</v>
          </cell>
          <cell r="F117">
            <v>8.2972234611354967</v>
          </cell>
          <cell r="G117">
            <v>1.5795972379280396</v>
          </cell>
          <cell r="H117">
            <v>1.4884779353466917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  <cell r="E118">
            <v>0.11414423620577807</v>
          </cell>
          <cell r="F118">
            <v>0.10374536114963859</v>
          </cell>
          <cell r="G118">
            <v>7.0248149160285947E-2</v>
          </cell>
          <cell r="H118">
            <v>5.1333541290517169E-2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E119">
            <v>2.1591511123784586</v>
          </cell>
          <cell r="F119">
            <v>2.3780129388207243</v>
          </cell>
          <cell r="G119">
            <v>1.9629411088612803</v>
          </cell>
          <cell r="H119">
            <v>4.0375710340768247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  <cell r="E120">
            <v>0.86109934187717241</v>
          </cell>
          <cell r="F120">
            <v>0.63725495042073454</v>
          </cell>
          <cell r="G120">
            <v>1.2033404851988687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G121">
            <v>4.2541085463651979E-4</v>
          </cell>
          <cell r="H121">
            <v>1.0217302596808999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G122">
            <v>3.2116765670970037E-4</v>
          </cell>
          <cell r="H122">
            <v>1.1312668450401605E-4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G123">
            <v>3.2164722012490977E-4</v>
          </cell>
          <cell r="H123">
            <v>1.1343248093664436E-4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E124">
            <v>3.0202504542556308</v>
          </cell>
          <cell r="F124">
            <v>3.0152678892414619</v>
          </cell>
          <cell r="G124">
            <v>3.1652226606925562</v>
          </cell>
          <cell r="H124">
            <v>3.0156243516423893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E126">
            <v>5.6294157944489127</v>
          </cell>
          <cell r="F126">
            <v>6.2382375989894205</v>
          </cell>
          <cell r="G126">
            <v>6.0290868594980545</v>
          </cell>
          <cell r="H126">
            <v>6.7463236149378574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H127">
            <v>2.1345362658809486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E128">
            <v>1.3280061669669818</v>
          </cell>
          <cell r="F128">
            <v>4.3847682101523704</v>
          </cell>
          <cell r="G128">
            <v>4.3847683840802958</v>
          </cell>
          <cell r="H128">
            <v>4.3847665588907203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E129">
            <v>0.43674755453192288</v>
          </cell>
          <cell r="F129">
            <v>0.55207065852058268</v>
          </cell>
          <cell r="G129">
            <v>1.4655692646877225</v>
          </cell>
          <cell r="H129">
            <v>1.4655904116700709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E130">
            <v>1.1839713117158137</v>
          </cell>
          <cell r="F130">
            <v>1.1839541273841776</v>
          </cell>
          <cell r="G130">
            <v>1.1839670851770401</v>
          </cell>
          <cell r="H130">
            <v>5.0348583241355831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E131">
            <v>1.2890753853393984</v>
          </cell>
          <cell r="F131">
            <v>4.8202028353132089</v>
          </cell>
          <cell r="G131">
            <v>4.8202037626422527</v>
          </cell>
          <cell r="H131">
            <v>4.8202000643710647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E132">
            <v>4.0476837461877153</v>
          </cell>
          <cell r="F132">
            <v>4.5832956814341541</v>
          </cell>
          <cell r="G132">
            <v>3.3327771513619973</v>
          </cell>
          <cell r="H132">
            <v>3.0323782025761243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H133">
            <v>5.05929320393229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E134">
            <v>1.1839713117158137</v>
          </cell>
          <cell r="F134">
            <v>1.1839541273841776</v>
          </cell>
          <cell r="G134">
            <v>1.1839670851770401</v>
          </cell>
          <cell r="H134">
            <v>5.0348583241355831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E135">
            <v>5.9796727692117972</v>
          </cell>
          <cell r="F135">
            <v>6.9696677073538176</v>
          </cell>
          <cell r="G135">
            <v>1.3268616798595534</v>
          </cell>
          <cell r="H135">
            <v>1.2503214656912223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E136">
            <v>30.256635621358559</v>
          </cell>
          <cell r="F136">
            <v>23.411591648706132</v>
          </cell>
          <cell r="G136">
            <v>25.746801282660122</v>
          </cell>
          <cell r="H136">
            <v>13.031132348848018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E137">
            <v>4.4341521069386314</v>
          </cell>
          <cell r="F137">
            <v>4.3986159584710576</v>
          </cell>
          <cell r="G137">
            <v>4.9442003537906754</v>
          </cell>
          <cell r="H137">
            <v>3.3548132441385157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  <cell r="E138">
            <v>5.4614467084104314E-2</v>
          </cell>
          <cell r="F138">
            <v>4.963892877973141E-2</v>
          </cell>
          <cell r="G138">
            <v>3.3611554622146399E-2</v>
          </cell>
          <cell r="H138">
            <v>2.4561503009816851E-2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E139">
            <v>4.488766574022736</v>
          </cell>
          <cell r="F139">
            <v>4.4482548872507888</v>
          </cell>
          <cell r="G139">
            <v>4.9778119084128249</v>
          </cell>
          <cell r="H139">
            <v>3.3793747471483342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E140">
            <v>80.796426585808945</v>
          </cell>
          <cell r="F140">
            <v>80.067072330450372</v>
          </cell>
          <cell r="G140">
            <v>73.815425584054552</v>
          </cell>
          <cell r="H140">
            <v>60.825332917904625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E141">
            <v>60.231858070432992</v>
          </cell>
          <cell r="F141">
            <v>50.662267276066935</v>
          </cell>
          <cell r="G141">
            <v>49.639897541925286</v>
          </cell>
          <cell r="H141">
            <v>22.194151460033488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E143">
            <v>1.2890753853393984</v>
          </cell>
          <cell r="F143">
            <v>4.8202028353132089</v>
          </cell>
          <cell r="G143">
            <v>4.8202037626422527</v>
          </cell>
          <cell r="H143">
            <v>4.8202000643710647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E144">
            <v>1.2890753853393984</v>
          </cell>
          <cell r="F144">
            <v>4.8202028353132089</v>
          </cell>
          <cell r="G144">
            <v>4.8202037626422527</v>
          </cell>
          <cell r="H144">
            <v>4.8202000643710647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H145">
            <v>2.8001240827495318E-3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H146">
            <v>3.2350662536503086E-3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  <cell r="E147">
            <v>0.33582874333209661</v>
          </cell>
          <cell r="F147">
            <v>0.24852943066408614</v>
          </cell>
          <cell r="G147">
            <v>0.46930278922755841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H149">
            <v>6.1422724588616718E-4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E153">
            <v>2.4842702656880998E-3</v>
          </cell>
          <cell r="F153">
            <v>1.4769009814737101E-5</v>
          </cell>
          <cell r="G153">
            <v>3.7230011209845102E-4</v>
          </cell>
          <cell r="H153">
            <v>0.18741064867018001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H154">
            <v>5.05929320393229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H155">
            <v>5.05929320393229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E156">
            <v>0.15593425377976136</v>
          </cell>
          <cell r="F156">
            <v>0.13505170433790037</v>
          </cell>
          <cell r="G156">
            <v>0.14814654163936553</v>
          </cell>
          <cell r="H156">
            <v>5.3505098609256896E-2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E157">
            <v>6.5201059750009645E-3</v>
          </cell>
          <cell r="F157">
            <v>9.3546252815172488E-3</v>
          </cell>
          <cell r="G157">
            <v>9.3914283377240088E-3</v>
          </cell>
          <cell r="H157">
            <v>1.3224233673157285E-2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  <cell r="E158">
            <v>5.9846404260463539E-2</v>
          </cell>
          <cell r="F158">
            <v>4.4289219054241005E-2</v>
          </cell>
          <cell r="G158">
            <v>8.3632163721321387E-2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  <cell r="E159">
            <v>8.956772601793106E-2</v>
          </cell>
          <cell r="F159">
            <v>8.1407843198759475E-2</v>
          </cell>
          <cell r="G159">
            <v>5.5122949580320109E-2</v>
          </cell>
          <cell r="H159">
            <v>4.0280864936099642E-2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E161">
            <v>4.0476837461877153</v>
          </cell>
          <cell r="F161">
            <v>4.5832956814341541</v>
          </cell>
          <cell r="G161">
            <v>3.3327771513619973</v>
          </cell>
          <cell r="H161">
            <v>3.0323782025761243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E162">
            <v>37.484375396996811</v>
          </cell>
          <cell r="F162">
            <v>30.541083717978672</v>
          </cell>
          <cell r="G162">
            <v>35.2832142442209</v>
          </cell>
          <cell r="H162">
            <v>25.473929335097257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E163">
            <v>9.6793783574267227</v>
          </cell>
          <cell r="F163">
            <v>10.726203963062384</v>
          </cell>
          <cell r="G163">
            <v>10.366584205845502</v>
          </cell>
          <cell r="H163">
            <v>11.599821575627438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1.7787892806539401E-2</v>
          </cell>
          <cell r="E4">
            <v>1.7870350737805199E-2</v>
          </cell>
          <cell r="F4">
            <v>1.78307373900802E-2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4.4055566525741151E-3</v>
          </cell>
          <cell r="E5">
            <v>3.5446018367057529E-3</v>
          </cell>
          <cell r="F5">
            <v>2.2176091629792219E-3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3.1538817032871239E-4</v>
          </cell>
          <cell r="E6">
            <v>3.1685019038661801E-4</v>
          </cell>
          <cell r="F6">
            <v>3.1614782606525225E-4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3.4983422022140491</v>
          </cell>
          <cell r="E8">
            <v>8.1751349407521906E-2</v>
          </cell>
          <cell r="F8">
            <v>0.10104620984070618</v>
          </cell>
          <cell r="G8">
            <v>0.10007475891819971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6.4026890711486673E-3</v>
          </cell>
          <cell r="E9">
            <v>1.5018879814283974E-4</v>
          </cell>
          <cell r="F9">
            <v>1.8678919840497569E-4</v>
          </cell>
          <cell r="G9">
            <v>1.9513951208258653E-4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6.2027344010887428E-2</v>
          </cell>
          <cell r="E10">
            <v>1.449492010771665E-3</v>
          </cell>
          <cell r="F10">
            <v>1.791599465260748E-3</v>
          </cell>
          <cell r="G10">
            <v>1.774375158124107E-3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4.6900788774976302E-7</v>
          </cell>
          <cell r="F11">
            <v>6.2004949464051897E-7</v>
          </cell>
          <cell r="G11">
            <v>2.8497801958691198E-6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1.2195008426254868E-4</v>
          </cell>
          <cell r="E12">
            <v>3.804911290084754E-6</v>
          </cell>
          <cell r="F12">
            <v>3.8201317802432803E-6</v>
          </cell>
          <cell r="G12">
            <v>3.8340787118110499E-6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1.9263937012528148E-4</v>
          </cell>
          <cell r="E13">
            <v>1.0859636131257385E-3</v>
          </cell>
          <cell r="F13">
            <v>1.8562705601510776E-3</v>
          </cell>
          <cell r="G13">
            <v>2.1617450179174779E-3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1.9263937012528148E-4</v>
          </cell>
          <cell r="E14">
            <v>1.0859636131257385E-3</v>
          </cell>
          <cell r="F14">
            <v>1.8562705601510776E-3</v>
          </cell>
          <cell r="G14">
            <v>2.1617450179174779E-3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1.13260411220089E-4</v>
          </cell>
          <cell r="F15">
            <v>1.3687318365514001E-4</v>
          </cell>
          <cell r="G15">
            <v>9.8116588364853305E-5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2.5775279083192963E-5</v>
          </cell>
          <cell r="E16">
            <v>1.3755872810623684E-4</v>
          </cell>
          <cell r="F16">
            <v>2.6592069502587632E-4</v>
          </cell>
          <cell r="G16">
            <v>3.1497302346925586E-4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2.6686244862476286E-3</v>
          </cell>
          <cell r="E17">
            <v>6.9849974475914159E-3</v>
          </cell>
          <cell r="F17">
            <v>7.1296384719346838E-3</v>
          </cell>
          <cell r="G17">
            <v>2.5157087015423882E-3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9.9305871670372654E-3</v>
          </cell>
          <cell r="E18">
            <v>2.581968591233819E-2</v>
          </cell>
          <cell r="F18">
            <v>2.6258711119645114E-2</v>
          </cell>
          <cell r="G18">
            <v>9.0617746439104439E-3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1.9855992128815899E-5</v>
          </cell>
          <cell r="F19">
            <v>1.24069052435373E-5</v>
          </cell>
          <cell r="G19">
            <v>1.08594466108419E-5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1.318559921288159E-4</v>
          </cell>
          <cell r="F20">
            <v>1.3671971511627521E-4</v>
          </cell>
          <cell r="G20">
            <v>4.8043760677659405E-5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4.6396211222335441E-2</v>
          </cell>
          <cell r="E21">
            <v>9.9160369203178847E-2</v>
          </cell>
          <cell r="F21">
            <v>9.338948609692381E-2</v>
          </cell>
          <cell r="G21">
            <v>8.0880598447794869E-2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4.6396211222335441E-2</v>
          </cell>
          <cell r="E22">
            <v>9.9160369203178847E-2</v>
          </cell>
          <cell r="F22">
            <v>9.338948609692381E-2</v>
          </cell>
          <cell r="G22">
            <v>8.0880598447794869E-2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6.4156986444365604E-5</v>
          </cell>
          <cell r="F23">
            <v>1.44256632562268E-4</v>
          </cell>
          <cell r="G23">
            <v>1.37757779748061E-4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4.8845136217774863E-3</v>
          </cell>
          <cell r="E24">
            <v>7.5315268928838452E-3</v>
          </cell>
          <cell r="F24">
            <v>7.3963584674646412E-3</v>
          </cell>
          <cell r="G24">
            <v>6.1490522880747328E-3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10.970533486704854</v>
          </cell>
          <cell r="E25">
            <v>12.509827205875361</v>
          </cell>
          <cell r="F25">
            <v>15.763607737136418</v>
          </cell>
          <cell r="G25">
            <v>26.620818550650625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1.2002046036228562E-2</v>
          </cell>
          <cell r="E27">
            <v>0.12500890356645616</v>
          </cell>
          <cell r="F27">
            <v>0.21222359808245972</v>
          </cell>
          <cell r="G27">
            <v>0.71905449892590434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5.8457597177179008E-2</v>
          </cell>
          <cell r="E28">
            <v>2.3722531304334956E-3</v>
          </cell>
          <cell r="F28">
            <v>2.7638854728807287E-3</v>
          </cell>
          <cell r="G28">
            <v>4.0897296433195741E-3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5.0941272891705754E-2</v>
          </cell>
          <cell r="E29">
            <v>2.2964215931927951E-3</v>
          </cell>
          <cell r="F29">
            <v>2.6584697623370057E-3</v>
          </cell>
          <cell r="G29">
            <v>1.040624102846832E-2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10.849132570599739</v>
          </cell>
          <cell r="E30">
            <v>12.380166935669289</v>
          </cell>
          <cell r="F30">
            <v>15.545982180454645</v>
          </cell>
          <cell r="G30">
            <v>25.887280098016042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4.1480194022943638E-2</v>
          </cell>
          <cell r="E31">
            <v>0.67104137468956948</v>
          </cell>
          <cell r="F31">
            <v>1.1815167368496073</v>
          </cell>
          <cell r="G31">
            <v>1.0011226920595158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4.1480194022943638E-2</v>
          </cell>
          <cell r="E32">
            <v>0.67104137468956948</v>
          </cell>
          <cell r="F32">
            <v>1.1815167368496073</v>
          </cell>
          <cell r="G32">
            <v>1.0011226920595158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3.6032405130773597E-2</v>
          </cell>
          <cell r="F33">
            <v>3.8211471373780899E-2</v>
          </cell>
          <cell r="G33">
            <v>9.1575983015818702E-4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4.0673209264510193E-3</v>
          </cell>
          <cell r="E34">
            <v>4.6155038307998081E-2</v>
          </cell>
          <cell r="F34">
            <v>8.1274438154987291E-2</v>
          </cell>
          <cell r="G34">
            <v>6.885383190988173E-2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1.266405100459898E-5</v>
          </cell>
          <cell r="E35">
            <v>9.1194516051253528E-4</v>
          </cell>
          <cell r="F35">
            <v>1.6807037673015849E-3</v>
          </cell>
          <cell r="G35">
            <v>2.0167259092758161E-3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1.266405100459898E-5</v>
          </cell>
          <cell r="E36">
            <v>9.1194516051253528E-4</v>
          </cell>
          <cell r="F36">
            <v>1.6807037673015849E-3</v>
          </cell>
          <cell r="G36">
            <v>2.0167259092758161E-3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1.17185750315965E-4</v>
          </cell>
          <cell r="F37">
            <v>1.35242824116306E-4</v>
          </cell>
          <cell r="G37">
            <v>9.4183888731918193E-5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1.1714563873657199E-4</v>
          </cell>
          <cell r="F38">
            <v>2.4381825298442806E-4</v>
          </cell>
          <cell r="G38">
            <v>2.9532370788650381E-4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6.4632794324129966E-2</v>
          </cell>
          <cell r="E39">
            <v>0.1648262756266157</v>
          </cell>
          <cell r="F39">
            <v>0.16146099782619114</v>
          </cell>
          <cell r="G39">
            <v>0.1323566940783891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6.4632794324129966E-2</v>
          </cell>
          <cell r="E40">
            <v>0.1648262756266157</v>
          </cell>
          <cell r="F40">
            <v>0.16146099782619114</v>
          </cell>
          <cell r="G40">
            <v>0.1323566940783891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5.4883925998554098E-4</v>
          </cell>
          <cell r="F41">
            <v>3.2968012697522802E-4</v>
          </cell>
          <cell r="G41">
            <v>2.3802998110623199E-4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7.2612843356532446E-3</v>
          </cell>
          <cell r="E42">
            <v>1.2999230718611766E-2</v>
          </cell>
          <cell r="F42">
            <v>1.2777952481636231E-2</v>
          </cell>
          <cell r="G42">
            <v>1.0462188622261835E-2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3.4590126721855807E-6</v>
          </cell>
          <cell r="E43">
            <v>1.0942281508058978E-3</v>
          </cell>
          <cell r="F43">
            <v>2.9838054907955678E-3</v>
          </cell>
          <cell r="G43">
            <v>4.8414085382144107E-3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3.4590126721855807E-6</v>
          </cell>
          <cell r="E44">
            <v>1.0942281508058978E-3</v>
          </cell>
          <cell r="F44">
            <v>2.9838054907955678E-3</v>
          </cell>
          <cell r="G44">
            <v>4.8414085382144107E-3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8.5762634848714298E-5</v>
          </cell>
          <cell r="F45">
            <v>1.7233330286793499E-4</v>
          </cell>
          <cell r="G45">
            <v>1.6698443213507199E-4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8.4871177529376963E-5</v>
          </cell>
          <cell r="F46">
            <v>2.5004920073513003E-4</v>
          </cell>
          <cell r="G46">
            <v>3.7204133028861225E-4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4.4020677116268798E-5</v>
          </cell>
          <cell r="E49">
            <v>5.4053256704591299E-5</v>
          </cell>
          <cell r="F49">
            <v>8.10809063311872E-5</v>
          </cell>
          <cell r="G49">
            <v>1.35134419932655E-4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2.0938231749814489E-3</v>
          </cell>
          <cell r="E50">
            <v>2.1478764316860402E-3</v>
          </cell>
          <cell r="F50">
            <v>2.2289573380172268E-3</v>
          </cell>
          <cell r="G50">
            <v>2.3640917579498821E-3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5.7335790204315663E-5</v>
          </cell>
          <cell r="E51">
            <v>1.2289019603495457E-2</v>
          </cell>
          <cell r="F51">
            <v>0.98154347225078231</v>
          </cell>
          <cell r="G51">
            <v>3.9095664214539485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5.7335790204315663E-5</v>
          </cell>
          <cell r="E52">
            <v>1.2289019603495457E-2</v>
          </cell>
          <cell r="F52">
            <v>0.98154347225078231</v>
          </cell>
          <cell r="G52">
            <v>3.9095664214539485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8.5542953384585305E-4</v>
          </cell>
          <cell r="F53">
            <v>6.7602010867451698E-2</v>
          </cell>
          <cell r="G53">
            <v>0.22099656170301801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8.4806646636474291E-4</v>
          </cell>
          <cell r="F54">
            <v>6.7501646764020554E-2</v>
          </cell>
          <cell r="G54">
            <v>0.26881778353303298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3.1050966825270504E-3</v>
          </cell>
          <cell r="E55">
            <v>1.3868562344862294E-2</v>
          </cell>
          <cell r="F55">
            <v>1.7584621452021668E-2</v>
          </cell>
          <cell r="G55">
            <v>1.7935922235800511E-2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3.1050966825270504E-3</v>
          </cell>
          <cell r="E56">
            <v>1.3868562344862294E-2</v>
          </cell>
          <cell r="F56">
            <v>1.7584621452021668E-2</v>
          </cell>
          <cell r="G56">
            <v>1.7935922235800511E-2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4.2961635563579801E-4</v>
          </cell>
          <cell r="F57">
            <v>3.7899232504124699E-4</v>
          </cell>
          <cell r="G57">
            <v>2.97374898308424E-4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2.5906920390551108E-4</v>
          </cell>
          <cell r="E58">
            <v>1.1038919800417969E-3</v>
          </cell>
          <cell r="F58">
            <v>1.4262030455438044E-3</v>
          </cell>
          <cell r="G58">
            <v>1.4355194741145349E-3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3.7972363256898903E-8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3.7972363256898903E-8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1.9331360580657756E-4</v>
          </cell>
          <cell r="E61">
            <v>9.7611746709772354E-4</v>
          </cell>
          <cell r="F61">
            <v>1.6253422785281733E-3</v>
          </cell>
          <cell r="G61">
            <v>1.7300962784249955E-3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1.9989848485310598E-2</v>
          </cell>
          <cell r="E62">
            <v>0.10093671467010989</v>
          </cell>
          <cell r="F62">
            <v>0.16807066294679912</v>
          </cell>
          <cell r="G62">
            <v>0.17890288852880432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2.708651556275148E-4</v>
          </cell>
          <cell r="E63">
            <v>1.3677061608416009E-3</v>
          </cell>
          <cell r="F63">
            <v>2.2773802567316918E-3</v>
          </cell>
          <cell r="G63">
            <v>2.4241583811491119E-3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D65">
            <v>5.2106007434301898</v>
          </cell>
          <cell r="E65">
            <v>10.97437766219277</v>
          </cell>
          <cell r="F65">
            <v>10.253462991839825</v>
          </cell>
          <cell r="G65">
            <v>7.8021994843704867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D66">
            <v>4.1375286325763302E-2</v>
          </cell>
          <cell r="E66">
            <v>8.7143122334368051E-2</v>
          </cell>
          <cell r="F66">
            <v>8.1418628677872945E-2</v>
          </cell>
          <cell r="G66">
            <v>6.1954130345446064E-2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D67">
            <v>7.0604346116940178E-2</v>
          </cell>
          <cell r="E67">
            <v>0.14870430436575577</v>
          </cell>
          <cell r="F67">
            <v>0.13893581289755882</v>
          </cell>
          <cell r="G67">
            <v>0.10572086022182242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1.1186865600562355E-4</v>
          </cell>
          <cell r="F69">
            <v>2.4475399877583239E-4</v>
          </cell>
          <cell r="G69">
            <v>1.1410919993921765E-3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1.1186865600562355E-4</v>
          </cell>
          <cell r="F70">
            <v>2.4475399877583239E-4</v>
          </cell>
          <cell r="G70">
            <v>1.1410919993921765E-3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1.1351038004320252E-4</v>
          </cell>
          <cell r="F71">
            <v>2.4767583162690887E-4</v>
          </cell>
          <cell r="G71">
            <v>1.1435020969754459E-3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1.1351038004320252E-4</v>
          </cell>
          <cell r="F72">
            <v>2.4767583162690887E-4</v>
          </cell>
          <cell r="G72">
            <v>1.1435020969754459E-3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7.8950473215517701E-3</v>
          </cell>
          <cell r="F73">
            <v>8.4519587011273097E-3</v>
          </cell>
          <cell r="G73">
            <v>8.6014811652056992E-3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7.8950473215517701E-3</v>
          </cell>
          <cell r="F74">
            <v>1.6343181256084499E-2</v>
          </cell>
          <cell r="G74">
            <v>2.4935171480429476E-2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5.6114388586981701</v>
          </cell>
          <cell r="E75">
            <v>76.379672167907898</v>
          </cell>
          <cell r="F75">
            <v>129.17043007356131</v>
          </cell>
          <cell r="G75">
            <v>95.502659366484011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4.1480283598146754E-2</v>
          </cell>
          <cell r="E76">
            <v>0.5646057174350676</v>
          </cell>
          <cell r="F76">
            <v>0.9548399629518457</v>
          </cell>
          <cell r="G76">
            <v>0.70596463663831233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7.6035756892929129E-2</v>
          </cell>
          <cell r="E77">
            <v>1.0349549074242259</v>
          </cell>
          <cell r="F77">
            <v>1.7502768302650575</v>
          </cell>
          <cell r="G77">
            <v>1.2940739751556094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3.3404298009876935E-3</v>
          </cell>
          <cell r="E79">
            <v>8.0839104525013174E-3</v>
          </cell>
          <cell r="F79">
            <v>8.2532180910132591E-3</v>
          </cell>
          <cell r="G79">
            <v>1.3742556887959315E-2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3.3404298009876931E-3</v>
          </cell>
          <cell r="E80">
            <v>8.0839104525013139E-3</v>
          </cell>
          <cell r="F80">
            <v>8.2532180910132591E-3</v>
          </cell>
          <cell r="G80">
            <v>1.3742556887959313E-2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3.3415039204236102E-3</v>
          </cell>
          <cell r="E81">
            <v>8.0865660084314395E-3</v>
          </cell>
          <cell r="F81">
            <v>8.2589040491752013E-3</v>
          </cell>
          <cell r="G81">
            <v>1.3746948430312583E-2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3.3415039204236102E-3</v>
          </cell>
          <cell r="E82">
            <v>8.0865660084314395E-3</v>
          </cell>
          <cell r="F82">
            <v>8.2589040491752013E-3</v>
          </cell>
          <cell r="G82">
            <v>1.3746948430312583E-2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4.0776945721855702E-2</v>
          </cell>
          <cell r="E83">
            <v>3.8159827513186001E-2</v>
          </cell>
          <cell r="F83">
            <v>4.53288827027611E-2</v>
          </cell>
          <cell r="G83">
            <v>4.3966350578918803E-2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4.0776945721855702E-2</v>
          </cell>
          <cell r="E84">
            <v>7.8926259446653449E-2</v>
          </cell>
          <cell r="F84">
            <v>0.12422698054283476</v>
          </cell>
          <cell r="G84">
            <v>0.16814823344151628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9.1771968276547504</v>
          </cell>
          <cell r="E85">
            <v>19.94247652490877</v>
          </cell>
          <cell r="F85">
            <v>20.197969896896801</v>
          </cell>
          <cell r="G85">
            <v>13.60835449369892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6.4632794324129939E-2</v>
          </cell>
          <cell r="E86">
            <v>0.14045007508873578</v>
          </cell>
          <cell r="F86">
            <v>0.14224945357794064</v>
          </cell>
          <cell r="G86">
            <v>9.5840374092299077E-2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0.12435226053732724</v>
          </cell>
          <cell r="E87">
            <v>0.2702232591451052</v>
          </cell>
          <cell r="F87">
            <v>0.27368522895524111</v>
          </cell>
          <cell r="G87">
            <v>0.18439504734009354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7.7349682527712252E-2</v>
          </cell>
          <cell r="F88">
            <v>0.29617059216795238</v>
          </cell>
          <cell r="G88">
            <v>1.0342987882492001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7.7349682527712252E-2</v>
          </cell>
          <cell r="F89">
            <v>0.29617059216795238</v>
          </cell>
          <cell r="G89">
            <v>1.0342987882491999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7.7359483512823943E-2</v>
          </cell>
          <cell r="F90">
            <v>0.29620300673165356</v>
          </cell>
          <cell r="G90">
            <v>1.0344053228898715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7.7359483512823943E-2</v>
          </cell>
          <cell r="F91">
            <v>0.29620300673165356</v>
          </cell>
          <cell r="G91">
            <v>1.0344053228898715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3.2709113958057099</v>
          </cell>
          <cell r="F92">
            <v>9.2732714627103103</v>
          </cell>
          <cell r="G92">
            <v>19.011099724037798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3.2709113958057099</v>
          </cell>
          <cell r="F93">
            <v>12.542404282032443</v>
          </cell>
          <cell r="G93">
            <v>31.543336943097955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26.992134836936899</v>
          </cell>
          <cell r="F94">
            <v>138.09125258672199</v>
          </cell>
          <cell r="G94">
            <v>230.54589867682512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0.16967395619652584</v>
          </cell>
          <cell r="F95">
            <v>0.86804875879842658</v>
          </cell>
          <cell r="G95">
            <v>1.4492234478560222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0.36824194866216747</v>
          </cell>
          <cell r="F96">
            <v>1.8839188620289453</v>
          </cell>
          <cell r="G96">
            <v>3.1452373625760583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1.18313592619164E-2</v>
          </cell>
          <cell r="F97">
            <v>4.87074603614637E-2</v>
          </cell>
          <cell r="G97">
            <v>6.8379383028019894E-2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1.18313592619164E-2</v>
          </cell>
          <cell r="F98">
            <v>6.0538805723252341E-2</v>
          </cell>
          <cell r="G98">
            <v>0.12735059043754041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4.9134032211634049E-4</v>
          </cell>
          <cell r="E99">
            <v>3.1498264516021171E-4</v>
          </cell>
          <cell r="F99">
            <v>3.045933477489448E-4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2.8163699150701486E-3</v>
          </cell>
          <cell r="E100">
            <v>1.7988905817688885E-3</v>
          </cell>
          <cell r="F100">
            <v>1.738111547309625E-3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3.2817411022985799E-7</v>
          </cell>
          <cell r="F101">
            <v>2.0593272552757299E-7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1.134044279507956E-5</v>
          </cell>
          <cell r="E102">
            <v>6.3895292686284521E-6</v>
          </cell>
          <cell r="F102">
            <v>6.3911361791487277E-6</v>
          </cell>
          <cell r="G102">
            <v>-5.2358583734967863E-8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1.9729342374428971E-2</v>
          </cell>
          <cell r="F103">
            <v>1.541039618457294E-2</v>
          </cell>
          <cell r="G103">
            <v>3.1139185283640413E-2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1.9729342374428971E-2</v>
          </cell>
          <cell r="F104">
            <v>1.5410396184572938E-2</v>
          </cell>
          <cell r="G104">
            <v>3.113918528364041E-2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1.9733346354568037E-2</v>
          </cell>
          <cell r="F105">
            <v>1.5414731920794254E-2</v>
          </cell>
          <cell r="G105">
            <v>3.114539393127258E-2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1.9733346354568037E-2</v>
          </cell>
          <cell r="F106">
            <v>1.5414731920794254E-2</v>
          </cell>
          <cell r="G106">
            <v>3.114539393127258E-2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8.1408568896248798E-2</v>
          </cell>
          <cell r="F107">
            <v>6.1136177209588603E-2</v>
          </cell>
          <cell r="G107">
            <v>4.6018610421324303E-2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8.1408568896248798E-2</v>
          </cell>
          <cell r="F108">
            <v>0.14253285734493207</v>
          </cell>
          <cell r="G108">
            <v>0.18851777199942812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61.349025736297399</v>
          </cell>
          <cell r="E109">
            <v>129.89889760991201</v>
          </cell>
          <cell r="F109">
            <v>40.077355142812003</v>
          </cell>
          <cell r="G109">
            <v>20.000252731438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0.23075152201493754</v>
          </cell>
          <cell r="E110">
            <v>0.493141170406452</v>
          </cell>
          <cell r="F110">
            <v>0.15425489819100521</v>
          </cell>
          <cell r="G110">
            <v>7.697955461104479E-2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0.8312876116029454</v>
          </cell>
          <cell r="E111">
            <v>1.7601476640909464</v>
          </cell>
          <cell r="F111">
            <v>0.54305359272103015</v>
          </cell>
          <cell r="G111">
            <v>0.27100613457232992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4.5952E-2</v>
          </cell>
          <cell r="E112">
            <v>3.98250666666667E-2</v>
          </cell>
          <cell r="F112">
            <v>3.0634558459739055E-2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2.5094618656008191E-2</v>
          </cell>
          <cell r="E113">
            <v>2.6564014424303985E-2</v>
          </cell>
          <cell r="F113">
            <v>2.9167080363754001E-2</v>
          </cell>
          <cell r="G113">
            <v>3.1641630322864558E-2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1.5023090428945314</v>
          </cell>
          <cell r="E114">
            <v>1.5902755739090702</v>
          </cell>
          <cell r="F114">
            <v>1.7461101595504112</v>
          </cell>
          <cell r="G114">
            <v>1.8942510351550699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2.7804036614525299E-7</v>
          </cell>
          <cell r="E115">
            <v>1.35467274239448E-4</v>
          </cell>
          <cell r="F115">
            <v>2.4030718260477599E-4</v>
          </cell>
          <cell r="G115">
            <v>2.2839422778558001E-4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2.316942528049325E-3</v>
          </cell>
          <cell r="E116">
            <v>2.4524098022887728E-3</v>
          </cell>
          <cell r="F116">
            <v>2.692716984893549E-3</v>
          </cell>
          <cell r="G116">
            <v>2.9211112126791301E-3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824.19122517871699</v>
          </cell>
          <cell r="E117">
            <v>545.34094828189598</v>
          </cell>
          <cell r="F117">
            <v>399.65186399180698</v>
          </cell>
          <cell r="G117">
            <v>199.78052068978701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2.9126292306236761</v>
          </cell>
          <cell r="E118">
            <v>1.9934143251100991</v>
          </cell>
          <cell r="F118">
            <v>1.5336637693654023</v>
          </cell>
          <cell r="G118">
            <v>0.7666576188248756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11.244082198891098</v>
          </cell>
          <cell r="E119">
            <v>7.439849226219585</v>
          </cell>
          <cell r="F119">
            <v>5.4522764528213798</v>
          </cell>
          <cell r="G119">
            <v>2.7255186997242462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0.228993</v>
          </cell>
          <cell r="E120">
            <v>0.19846059999999999</v>
          </cell>
          <cell r="F120">
            <v>0.15265987499181422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0.20776610945197033</v>
          </cell>
          <cell r="E121">
            <v>0.11489652285500912</v>
          </cell>
          <cell r="F121">
            <v>0.12393076115196405</v>
          </cell>
          <cell r="G121">
            <v>1.1822712155756818E-2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2.2669675472328753E-3</v>
          </cell>
          <cell r="E122">
            <v>1.294387004366352E-3</v>
          </cell>
          <cell r="F122">
            <v>1.3901486234175191E-3</v>
          </cell>
          <cell r="G122">
            <v>1.2891265549412433E-4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3.6837962668789096E-3</v>
          </cell>
          <cell r="E123">
            <v>2.037172391046256E-3</v>
          </cell>
          <cell r="F123">
            <v>2.1973539211341138E-3</v>
          </cell>
          <cell r="G123">
            <v>2.0962255595313489E-4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5.9222911190525098E-6</v>
          </cell>
          <cell r="F124">
            <v>5.5202342693428E-6</v>
          </cell>
          <cell r="G124">
            <v>1.44534212190591E-6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2.5618848872116962E-4</v>
          </cell>
          <cell r="E125">
            <v>1.9045107338235245E-4</v>
          </cell>
          <cell r="F125">
            <v>1.9497264363916049E-4</v>
          </cell>
          <cell r="G125">
            <v>1.6777012490137416E-5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0.74159532653450633</v>
          </cell>
          <cell r="E126">
            <v>1.781791976606059</v>
          </cell>
          <cell r="F126">
            <v>4.4200990267877156</v>
          </cell>
          <cell r="G126">
            <v>10.598125795257316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0.74159532653450633</v>
          </cell>
          <cell r="E127">
            <v>1.781791976606059</v>
          </cell>
          <cell r="F127">
            <v>4.4200990267877156</v>
          </cell>
          <cell r="G127">
            <v>10.598125795257316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8.2337889053428297E-7</v>
          </cell>
          <cell r="E128">
            <v>5.7083352849366803E-7</v>
          </cell>
          <cell r="F128">
            <v>0.98376327936432695</v>
          </cell>
          <cell r="G128">
            <v>4.20937709349628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1.2762587804369405</v>
          </cell>
          <cell r="E129">
            <v>1.276259351270469</v>
          </cell>
          <cell r="F129">
            <v>2.2600226306347961</v>
          </cell>
          <cell r="G129">
            <v>6.4693997241310797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3.0752438916355951</v>
          </cell>
          <cell r="E130">
            <v>1.8114357144195949</v>
          </cell>
          <cell r="F130">
            <v>2.4700799512934792</v>
          </cell>
          <cell r="G130">
            <v>1.5229292853007427E-2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3.4494219141172594E-2</v>
          </cell>
          <cell r="E131">
            <v>2.1654295264650424E-2</v>
          </cell>
          <cell r="F131">
            <v>2.9528539905242786E-2</v>
          </cell>
          <cell r="G131">
            <v>1.4484487018433394E-4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5.4525600915524816E-2</v>
          </cell>
          <cell r="E132">
            <v>3.2117654510985659E-2</v>
          </cell>
          <cell r="F132">
            <v>4.3795743817260237E-2</v>
          </cell>
          <cell r="G132">
            <v>2.7002292292566387E-4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3.0602412771173802E-6</v>
          </cell>
          <cell r="F133">
            <v>3.3052964718629198E-6</v>
          </cell>
          <cell r="G133">
            <v>1.49710797791826E-6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2.6767837958367072E-3</v>
          </cell>
          <cell r="E134">
            <v>2.2758632497466907E-3</v>
          </cell>
          <cell r="F134">
            <v>2.2495739879108264E-3</v>
          </cell>
          <cell r="G134">
            <v>1.1384638392319176E-5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325.8164261918032</v>
          </cell>
          <cell r="E135">
            <v>384.78386290105658</v>
          </cell>
          <cell r="F135">
            <v>373.42476465858175</v>
          </cell>
          <cell r="G135">
            <v>153.46880478921926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1.5206893330778908</v>
          </cell>
          <cell r="E136">
            <v>1.795909195534793</v>
          </cell>
          <cell r="F136">
            <v>1.742892655722442</v>
          </cell>
          <cell r="G136">
            <v>0.71628793284287151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4.4449717079372872</v>
          </cell>
          <cell r="E137">
            <v>5.2494387844618986</v>
          </cell>
          <cell r="F137">
            <v>5.0944715505945553</v>
          </cell>
          <cell r="G137">
            <v>2.0937081144504677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1.02034515366474E-4</v>
          </cell>
          <cell r="F138">
            <v>1.8687287755885399E-4</v>
          </cell>
          <cell r="G138">
            <v>1.15847294708375E-4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0.10616862814562102</v>
          </cell>
          <cell r="E139">
            <v>0.12525766137920724</v>
          </cell>
          <cell r="F139">
            <v>0.12544455958741144</v>
          </cell>
          <cell r="G139">
            <v>7.1233977093541859E-2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0.2378954710633123</v>
          </cell>
          <cell r="E140">
            <v>0.1825643294175891</v>
          </cell>
          <cell r="F140">
            <v>0.24532823373186019</v>
          </cell>
          <cell r="G140">
            <v>3.5283116272437881E-2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1.9740797607352965E-3</v>
          </cell>
          <cell r="E141">
            <v>1.5403852095344994E-3</v>
          </cell>
          <cell r="F141">
            <v>2.0656889913818451E-3</v>
          </cell>
          <cell r="G141">
            <v>3.0372272428789591E-4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4.2180048060870981E-3</v>
          </cell>
          <cell r="E142">
            <v>3.2369561953473291E-3</v>
          </cell>
          <cell r="F142">
            <v>4.3497913782244609E-3</v>
          </cell>
          <cell r="G142">
            <v>6.2558716795102628E-4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3.5256309827649899E-6</v>
          </cell>
          <cell r="F143">
            <v>3.2139464070020601E-6</v>
          </cell>
          <cell r="G143">
            <v>1.54120008459912E-6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1.5092645474859844E-4</v>
          </cell>
          <cell r="E144">
            <v>1.4643690173076976E-4</v>
          </cell>
          <cell r="F144">
            <v>1.4843660078270979E-4</v>
          </cell>
          <cell r="G144">
            <v>2.1040772987564719E-5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2.7273715944879426</v>
          </cell>
          <cell r="E145">
            <v>1.8683572982904391</v>
          </cell>
          <cell r="F145">
            <v>2.4779530503613554</v>
          </cell>
          <cell r="G145">
            <v>8.7260409305725747E-3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3.3013245939709071E-2</v>
          </cell>
          <cell r="E146">
            <v>2.2590373779875373E-2</v>
          </cell>
          <cell r="F146">
            <v>2.9944908731718026E-2</v>
          </cell>
          <cell r="G146">
            <v>7.8728455652241547E-5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4.8357652384538041E-2</v>
          </cell>
          <cell r="E147">
            <v>3.3126902451958172E-2</v>
          </cell>
          <cell r="F147">
            <v>4.3935337772364566E-2</v>
          </cell>
          <cell r="G147">
            <v>1.5471703777610962E-4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3.6552137155997701E-6</v>
          </cell>
          <cell r="F148">
            <v>3.63681143385314E-6</v>
          </cell>
          <cell r="G148">
            <v>1.54604653007232E-6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2.5371791003187187E-3</v>
          </cell>
          <cell r="F149">
            <v>2.3639983096575734E-3</v>
          </cell>
          <cell r="G149">
            <v>6.5455625397913865E-6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7.2195459225361594E-2</v>
          </cell>
          <cell r="F150">
            <v>0.1497548821695448</v>
          </cell>
          <cell r="G150">
            <v>0.30437936133752896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5.0710587148764333E-4</v>
          </cell>
          <cell r="F151">
            <v>1.0910366052534052E-3</v>
          </cell>
          <cell r="G151">
            <v>2.3935924117891388E-3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9.7825825508620202E-4</v>
          </cell>
          <cell r="F152">
            <v>2.0291989453867861E-3</v>
          </cell>
          <cell r="G152">
            <v>4.1243815899394253E-3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7.0450244801381699E-5</v>
          </cell>
          <cell r="F153">
            <v>9.2978005441989703E-5</v>
          </cell>
          <cell r="G153">
            <v>2.3430433093041701E-4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6.9512330060132404E-5</v>
          </cell>
          <cell r="F154">
            <v>1.57273711099684E-4</v>
          </cell>
          <cell r="G154">
            <v>3.5541834942674701E-4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2.8832315767707572E-2</v>
          </cell>
          <cell r="G155">
            <v>3.0543631535415186E-2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0.35149986092475399</v>
          </cell>
          <cell r="G156">
            <v>0.45078090930791764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6.1899049039931903E-2</v>
          </cell>
          <cell r="F157">
            <v>0.16474745444942809</v>
          </cell>
          <cell r="G157">
            <v>0.34801433033184304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3.5003753897614489E-4</v>
          </cell>
          <cell r="F158">
            <v>9.7373412752900154E-4</v>
          </cell>
          <cell r="G158">
            <v>2.221770952281018E-3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8.3874050189609644E-4</v>
          </cell>
          <cell r="F159">
            <v>2.2323503312930604E-3</v>
          </cell>
          <cell r="G159">
            <v>4.715641332409792E-3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3.0423139707715801E-5</v>
          </cell>
          <cell r="F160">
            <v>5.77964108308155E-5</v>
          </cell>
          <cell r="G160">
            <v>1.2354480528309301E-4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3.0018111857388199E-5</v>
          </cell>
          <cell r="F161">
            <v>8.5326873177123206E-5</v>
          </cell>
          <cell r="G161">
            <v>1.8999270087861301E-4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5.6685261844310601E-2</v>
          </cell>
          <cell r="F162">
            <v>0.1185655747024405</v>
          </cell>
          <cell r="G162">
            <v>0.2355149028636484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4.3464019790589965E-4</v>
          </cell>
          <cell r="F163">
            <v>9.3715304257838996E-4</v>
          </cell>
          <cell r="G163">
            <v>1.9806443477171707E-3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7.7333235803970764E-4</v>
          </cell>
          <cell r="F164">
            <v>1.6175385361860914E-3</v>
          </cell>
          <cell r="G164">
            <v>3.213027324197123E-3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5.9814448022829997E-5</v>
          </cell>
          <cell r="F165">
            <v>7.9867322943772499E-5</v>
          </cell>
          <cell r="G165">
            <v>1.87057347411433E-4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5.9018129249226498E-5</v>
          </cell>
          <cell r="F166">
            <v>1.3444404651266701E-4</v>
          </cell>
          <cell r="G166">
            <v>2.91306086771341E-4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9.3406558656039002E-2</v>
          </cell>
          <cell r="F167">
            <v>0.22070005202583659</v>
          </cell>
          <cell r="G167">
            <v>0.42102798037727218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4.9104246817108406E-4</v>
          </cell>
          <cell r="F168">
            <v>1.2097980253932216E-3</v>
          </cell>
          <cell r="G168">
            <v>2.4840681962029687E-3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1.2656715265045942E-3</v>
          </cell>
          <cell r="F169">
            <v>2.9905156101061835E-3</v>
          </cell>
          <cell r="G169">
            <v>5.7049861839738817E-3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3.64277843839278E-5</v>
          </cell>
          <cell r="F170">
            <v>5.65937142973117E-5</v>
          </cell>
          <cell r="G170">
            <v>1.07747774047865E-4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3.5942815792817003E-5</v>
          </cell>
          <cell r="F171">
            <v>8.9725770012570103E-5</v>
          </cell>
          <cell r="G171">
            <v>1.78455938543595E-4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5.1078851067699903E-2</v>
          </cell>
          <cell r="F172">
            <v>0.1349800063986592</v>
          </cell>
          <cell r="G172">
            <v>0.35049632347033077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3.1504533456274097E-4</v>
          </cell>
          <cell r="F173">
            <v>8.6368818063923029E-4</v>
          </cell>
          <cell r="G173">
            <v>2.4049055270601622E-3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6.9684653571213946E-4</v>
          </cell>
          <cell r="F174">
            <v>1.8414734842927593E-3</v>
          </cell>
          <cell r="G174">
            <v>4.7816688058708234E-3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2.7314638101829801E-5</v>
          </cell>
          <cell r="F175">
            <v>5.1398955842239998E-5</v>
          </cell>
          <cell r="G175">
            <v>1.2998699120382701E-4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2.6950994202510199E-5</v>
          </cell>
          <cell r="F176">
            <v>7.6123028590787198E-5</v>
          </cell>
          <cell r="G176">
            <v>1.8822991391147001E-4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0.12891802740130001</v>
          </cell>
          <cell r="F177">
            <v>0.29094264364435102</v>
          </cell>
          <cell r="G177">
            <v>0.66077163420285867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6.8708170658508805E-4</v>
          </cell>
          <cell r="F178">
            <v>1.6135319484752305E-3</v>
          </cell>
          <cell r="G178">
            <v>3.9775397489104618E-3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1.7468567398550123E-3</v>
          </cell>
          <cell r="F179">
            <v>3.9423122445034122E-3</v>
          </cell>
          <cell r="G179">
            <v>8.953545178900511E-3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5.77371857662464E-5</v>
          </cell>
          <cell r="F180">
            <v>8.5249126111196501E-5</v>
          </cell>
          <cell r="G180">
            <v>2.26327085999229E-4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5.6968521898561098E-5</v>
          </cell>
          <cell r="F181">
            <v>1.3782191039585801E-4</v>
          </cell>
          <cell r="G181">
            <v>3.3165632640171598E-4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7.1681071811111496E-2</v>
          </cell>
          <cell r="F182">
            <v>0.17099677734422342</v>
          </cell>
          <cell r="G182">
            <v>0.3706575328848935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4.1099901936185337E-4</v>
          </cell>
          <cell r="F183">
            <v>1.0155238903562095E-3</v>
          </cell>
          <cell r="G183">
            <v>2.3528360734646004E-3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9.7791366727300742E-4</v>
          </cell>
          <cell r="F184">
            <v>2.3328346158829906E-3</v>
          </cell>
          <cell r="G184">
            <v>5.0567194117993692E-3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3.0642856309630099E-5</v>
          </cell>
          <cell r="F185">
            <v>4.8043273227630998E-5</v>
          </cell>
          <cell r="G185">
            <v>1.07949845056691E-4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3.0234903339021999E-5</v>
          </cell>
          <cell r="F186">
            <v>7.5907963189640896E-5</v>
          </cell>
          <cell r="G186">
            <v>1.6691030938251601E-4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0.107458864771261</v>
          </cell>
          <cell r="F187">
            <v>0.16492488704813521</v>
          </cell>
          <cell r="G187">
            <v>0.12682089340508601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2.3824744445211877E-4</v>
          </cell>
          <cell r="F188">
            <v>3.7236988769453729E-4</v>
          </cell>
          <cell r="G188">
            <v>2.9954661859385976E-4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1.4660145262109334E-3</v>
          </cell>
          <cell r="F189">
            <v>2.2499984590468704E-3</v>
          </cell>
          <cell r="G189">
            <v>1.730162256549604E-3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5.4357908415681904E-6</v>
          </cell>
          <cell r="F190">
            <v>3.3061893067678402E-6</v>
          </cell>
          <cell r="G190">
            <v>2.65448910101902E-6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5.4357908415681904E-6</v>
          </cell>
          <cell r="F191">
            <v>8.7119080815192324E-6</v>
          </cell>
          <cell r="G191">
            <v>7.6282920163833893E-6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5.1104827783284901E-2</v>
          </cell>
          <cell r="F192">
            <v>0.1082036464887195</v>
          </cell>
          <cell r="G192">
            <v>0.16836613633243769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2.7848578154032727E-4</v>
          </cell>
          <cell r="F193">
            <v>6.0881216981123715E-4</v>
          </cell>
          <cell r="G193">
            <v>9.960436903621475E-4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6.9720092473785729E-4</v>
          </cell>
          <cell r="F194">
            <v>1.476175259054837E-3</v>
          </cell>
          <cell r="G194">
            <v>2.296945925408426E-3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2.4156735930978399E-5</v>
          </cell>
          <cell r="F195">
            <v>3.1794857169831697E-5</v>
          </cell>
          <cell r="G195">
            <v>4.1128386850775497E-5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2.3835133659843601E-5</v>
          </cell>
          <cell r="F196">
            <v>5.3842409451986602E-5</v>
          </cell>
          <cell r="G196">
            <v>8.4615918567692005E-5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4.8919341138589797E-2</v>
          </cell>
          <cell r="F197">
            <v>3.2970086935685381</v>
          </cell>
          <cell r="G197">
            <v>7.8498458906417037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7.774633718155748E-5</v>
          </cell>
          <cell r="F198">
            <v>5.4995269605821054E-3</v>
          </cell>
          <cell r="G198">
            <v>1.3706982538786319E-2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6.6738528156329898E-4</v>
          </cell>
          <cell r="F199">
            <v>4.4979654755368907E-2</v>
          </cell>
          <cell r="G199">
            <v>0.10709203125022783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1.8459034280148101E-6</v>
          </cell>
          <cell r="F200">
            <v>1.1794643925090699E-4</v>
          </cell>
          <cell r="G200">
            <v>1.7853292635055599E-4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1.8459034280148101E-6</v>
          </cell>
          <cell r="F201">
            <v>1.19792342678921E-4</v>
          </cell>
          <cell r="G201">
            <v>2.9808069526379699E-4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0.41619307312127185</v>
          </cell>
          <cell r="E202">
            <v>0.36070382619344959</v>
          </cell>
          <cell r="F202">
            <v>0.27744986248459447</v>
          </cell>
          <cell r="G202">
            <v>0.13873162150657783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0.46788921991144677</v>
          </cell>
          <cell r="E203">
            <v>0.37693251635304909</v>
          </cell>
          <cell r="F203">
            <v>0.26221629346842107</v>
          </cell>
          <cell r="G203">
            <v>0.11309530537170839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4.2040000000000001E-2</v>
          </cell>
          <cell r="E204">
            <v>3.6434666666666699E-2</v>
          </cell>
          <cell r="F204">
            <v>2.802538351141463E-2</v>
          </cell>
          <cell r="G204">
            <v>1.4013312292387623E-2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8954.4047905704592</v>
          </cell>
          <cell r="E205">
            <v>8259.8871190230493</v>
          </cell>
          <cell r="F205">
            <v>7137.2570163446999</v>
          </cell>
          <cell r="G205">
            <v>5088.5735393038303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120.36575607060242</v>
          </cell>
          <cell r="E206">
            <v>111.02999935696457</v>
          </cell>
          <cell r="F206">
            <v>95.93952441676592</v>
          </cell>
          <cell r="G206">
            <v>68.400973119302819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122.16104762033362</v>
          </cell>
          <cell r="E207">
            <v>112.68604527998711</v>
          </cell>
          <cell r="F207">
            <v>97.37049135531646</v>
          </cell>
          <cell r="G207">
            <v>69.421194260625285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3.2341388785119198E-2</v>
          </cell>
          <cell r="F208">
            <v>1.4255734384909651</v>
          </cell>
          <cell r="G208">
            <v>9.9991298721362032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3.4519172381942995E-5</v>
          </cell>
          <cell r="F209">
            <v>1.5969304923932053E-3</v>
          </cell>
          <cell r="G209">
            <v>1.1986831392887792E-2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4.4121949229357599E-4</v>
          </cell>
          <cell r="F210">
            <v>1.9448478014883509E-2</v>
          </cell>
          <cell r="G210">
            <v>0.1364137772460603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8.2923460388361195E-7</v>
          </cell>
          <cell r="F211">
            <v>3.4025085433946498E-5</v>
          </cell>
          <cell r="G211">
            <v>2.26071559122103E-4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8.2923460388361195E-7</v>
          </cell>
          <cell r="F212">
            <v>3.4854320037830102E-5</v>
          </cell>
          <cell r="G212">
            <v>2.6058796087196799E-4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7.9188550022223029E-3</v>
          </cell>
          <cell r="E213">
            <v>1.2143126741050718E-2</v>
          </cell>
          <cell r="F213">
            <v>1.0476229482448486E-2</v>
          </cell>
          <cell r="G213">
            <v>1.3496327532337732E-2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7.9188550022223029E-3</v>
          </cell>
          <cell r="E214">
            <v>1.2143126741050716E-2</v>
          </cell>
          <cell r="F214">
            <v>1.0476229482448484E-2</v>
          </cell>
          <cell r="G214">
            <v>1.3496327532337732E-2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7.9213305542591948E-3</v>
          </cell>
          <cell r="E215">
            <v>1.2151762626371871E-2</v>
          </cell>
          <cell r="F215">
            <v>1.0501914809207225E-2</v>
          </cell>
          <cell r="G215">
            <v>1.3517134233118911E-2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7.9213305542591948E-3</v>
          </cell>
          <cell r="E216">
            <v>1.2151762626371871E-2</v>
          </cell>
          <cell r="F216">
            <v>1.0501914809207225E-2</v>
          </cell>
          <cell r="G216">
            <v>1.3517134233118911E-2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6.9892267221382098E-3</v>
          </cell>
          <cell r="E217">
            <v>1.5528531026955599E-2</v>
          </cell>
          <cell r="F217">
            <v>4.0548550582738499E-2</v>
          </cell>
          <cell r="G217">
            <v>3.9392860591528397E-2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6.9892267221382098E-3</v>
          </cell>
          <cell r="E218">
            <v>2.2107312366648754E-2</v>
          </cell>
          <cell r="F218">
            <v>6.0755667045529302E-2</v>
          </cell>
          <cell r="G218">
            <v>8.895677539077726E-2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E219">
            <v>9.4082894720308903E-3</v>
          </cell>
          <cell r="F219">
            <v>1.6786585188971991E-2</v>
          </cell>
          <cell r="G219">
            <v>1.3765963845821721E-2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E220">
            <v>6.7708160435435608E-6</v>
          </cell>
          <cell r="F220">
            <v>1.2343392897294526E-5</v>
          </cell>
          <cell r="G220">
            <v>1.0756010435251794E-5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E221">
            <v>1.2835319879987573E-4</v>
          </cell>
          <cell r="F221">
            <v>2.2901207624791275E-4</v>
          </cell>
          <cell r="G221">
            <v>1.8780305383112866E-4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1.7492145446425901E-7</v>
          </cell>
          <cell r="F222">
            <v>1.38719334167622E-7</v>
          </cell>
          <cell r="G222">
            <v>1.47184134685036E-7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1.7492145446425901E-7</v>
          </cell>
          <cell r="F223">
            <v>3.1364078863188101E-7</v>
          </cell>
          <cell r="G223">
            <v>3.0178386484778599E-7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1402.04925703407</v>
          </cell>
          <cell r="E224">
            <v>1170.3071351163401</v>
          </cell>
          <cell r="F224">
            <v>841.69401332276504</v>
          </cell>
          <cell r="G224">
            <v>362.76618348489302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1.5675725885183609</v>
          </cell>
          <cell r="E225">
            <v>1.3410827367836529</v>
          </cell>
          <cell r="F225">
            <v>0.99969862471493187</v>
          </cell>
          <cell r="G225">
            <v>0.43086543207224032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19.127547844939535</v>
          </cell>
          <cell r="E226">
            <v>15.96599092928153</v>
          </cell>
          <cell r="F226">
            <v>11.482865120365148</v>
          </cell>
          <cell r="G226">
            <v>4.9490611662331849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2.9662000000000001E-2</v>
          </cell>
          <cell r="E227">
            <v>2.5707066666666702E-2</v>
          </cell>
          <cell r="F227">
            <v>1.9774666666666701E-2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0.77623097524168105</v>
          </cell>
          <cell r="F228">
            <v>0.25325504825856798</v>
          </cell>
          <cell r="G228">
            <v>0.21731531739964199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63.200651545372601</v>
          </cell>
          <cell r="F229">
            <v>20.620001736097599</v>
          </cell>
          <cell r="G229">
            <v>17.693792297029301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0.85637739221372011</v>
          </cell>
          <cell r="F230">
            <v>0.27940381756229921</v>
          </cell>
          <cell r="G230">
            <v>0.23975328315757954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2.1648277566175102E-6</v>
          </cell>
          <cell r="E231">
            <v>7.1896768136286996E-6</v>
          </cell>
          <cell r="F231">
            <v>8.8465800278795097E-6</v>
          </cell>
          <cell r="G231">
            <v>1.01644523933384E-5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1.5951135130449465</v>
          </cell>
          <cell r="E232">
            <v>1.5951207027217602</v>
          </cell>
          <cell r="F232">
            <v>0.25325383188116812</v>
          </cell>
          <cell r="G232">
            <v>0.21731194641669149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6.607574464198164E-2</v>
          </cell>
          <cell r="E233">
            <v>0.10433279210143664</v>
          </cell>
          <cell r="F233">
            <v>0.13069417467699912</v>
          </cell>
          <cell r="G233">
            <v>2.9241149365873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6.6075744641981626E-2</v>
          </cell>
          <cell r="E234">
            <v>0.10433279210143664</v>
          </cell>
          <cell r="F234">
            <v>0.13069417467699912</v>
          </cell>
          <cell r="G234">
            <v>2.9241149365873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6.6084502211576454E-2</v>
          </cell>
          <cell r="E235">
            <v>0.10434702361676217</v>
          </cell>
          <cell r="F235">
            <v>0.13072651836207771</v>
          </cell>
          <cell r="G235">
            <v>2.9244199021832462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6.6084502211576454E-2</v>
          </cell>
          <cell r="E236">
            <v>0.10434702361676217</v>
          </cell>
          <cell r="F236">
            <v>0.13072651836207771</v>
          </cell>
          <cell r="G236">
            <v>2.9244199021832462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1.26690010887952E-2</v>
          </cell>
          <cell r="E237">
            <v>4.50098366369132E-2</v>
          </cell>
          <cell r="F237">
            <v>0.481603368542733</v>
          </cell>
          <cell r="G237">
            <v>44.825071524389202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1.26690010887952E-2</v>
          </cell>
          <cell r="E238">
            <v>5.6712331821885315E-2</v>
          </cell>
          <cell r="F238">
            <v>0.5284913866071782</v>
          </cell>
          <cell r="G238">
            <v>42.960354638181705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3.2722323397197624</v>
          </cell>
          <cell r="E239">
            <v>2.9615653284519814</v>
          </cell>
          <cell r="F239">
            <v>15.546950823968908</v>
          </cell>
          <cell r="G239">
            <v>37.124507818518481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8.4594017963005544E-2</v>
          </cell>
          <cell r="E240">
            <v>7.6617942047444071E-2</v>
          </cell>
          <cell r="F240">
            <v>0.40960249425763906</v>
          </cell>
          <cell r="G240">
            <v>0.99734564882685528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4.4339191595118774E-2</v>
          </cell>
          <cell r="E241">
            <v>4.0129611496639309E-2</v>
          </cell>
          <cell r="F241">
            <v>0.21066329029768166</v>
          </cell>
          <cell r="G241">
            <v>0.50304211136203858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1.26839253033018E-4</v>
          </cell>
          <cell r="F242">
            <v>0.114677709818592</v>
          </cell>
          <cell r="G242">
            <v>0.26781614786281599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2.9121660282302904E-2</v>
          </cell>
          <cell r="E243">
            <v>2.6400341078539759E-2</v>
          </cell>
          <cell r="F243">
            <v>0.14107853842891524</v>
          </cell>
          <cell r="G243">
            <v>0.39840957133154842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17.0323594674167</v>
          </cell>
          <cell r="F244">
            <v>16.6012477593165</v>
          </cell>
          <cell r="G244">
            <v>12.977043002164899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1263.29062573438</v>
          </cell>
          <cell r="F245">
            <v>1231.3150570805301</v>
          </cell>
          <cell r="G245">
            <v>962.50767873637596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17.234524225571253</v>
          </cell>
          <cell r="F246">
            <v>16.798295458124592</v>
          </cell>
          <cell r="G246">
            <v>13.131073379759561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1.40741438934521E-6</v>
          </cell>
          <cell r="E247">
            <v>5.91823168985651E-6</v>
          </cell>
          <cell r="F247">
            <v>1.1190192067848699E-5</v>
          </cell>
          <cell r="G247">
            <v>1.35720873505098E-5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17.176523326422089</v>
          </cell>
          <cell r="E248">
            <v>17.176529244653782</v>
          </cell>
          <cell r="F248">
            <v>16.601254522299502</v>
          </cell>
          <cell r="G248">
            <v>12.977040288556168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4.5847646019549972E-2</v>
          </cell>
          <cell r="E249">
            <v>9.7632453707215974E-2</v>
          </cell>
          <cell r="F249">
            <v>0.12207773682121434</v>
          </cell>
          <cell r="G249">
            <v>3.1499777616245557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4.5847646019549972E-2</v>
          </cell>
          <cell r="E250">
            <v>9.7632453707215974E-2</v>
          </cell>
          <cell r="F250">
            <v>0.12207773682121434</v>
          </cell>
          <cell r="G250">
            <v>3.1499777616245548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4.5854336810423169E-2</v>
          </cell>
          <cell r="E251">
            <v>9.7646015121694504E-2</v>
          </cell>
          <cell r="F251">
            <v>0.12210915254626645</v>
          </cell>
          <cell r="G251">
            <v>3.1503050213958361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4.5854336810423169E-2</v>
          </cell>
          <cell r="E252">
            <v>9.7646015121694504E-2</v>
          </cell>
          <cell r="F252">
            <v>0.12210915254626645</v>
          </cell>
          <cell r="G252">
            <v>3.1503050213958361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1.37986870406004E-2</v>
          </cell>
          <cell r="E253">
            <v>0.46141393772327</v>
          </cell>
          <cell r="F253">
            <v>0.428117214365974</v>
          </cell>
          <cell r="G253">
            <v>46.346617284439702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1.37986870406004E-2</v>
          </cell>
          <cell r="E254">
            <v>0.46866843281910886</v>
          </cell>
          <cell r="F254">
            <v>0.86389091773364768</v>
          </cell>
          <cell r="G254">
            <v>44.6679888317028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2.0070017359149062</v>
          </cell>
          <cell r="E255">
            <v>6.2353953020322139</v>
          </cell>
          <cell r="F255">
            <v>6.2326990016407375</v>
          </cell>
          <cell r="G255">
            <v>4.509115250897735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2.9989799792555279E-2</v>
          </cell>
          <cell r="E256">
            <v>9.342248128365592E-2</v>
          </cell>
          <cell r="F256">
            <v>9.339165366261766E-2</v>
          </cell>
          <cell r="G256">
            <v>6.7588039005942624E-2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2.7195145473101773E-2</v>
          </cell>
          <cell r="E257">
            <v>8.4490451247049014E-2</v>
          </cell>
          <cell r="F257">
            <v>8.4453916011392127E-2</v>
          </cell>
          <cell r="G257">
            <v>6.1099122640890784E-2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8.7382148615127201E-5</v>
          </cell>
          <cell r="F258">
            <v>1.7371456856102001E-4</v>
          </cell>
          <cell r="G258">
            <v>2.04011369336527E-4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1.4000529767126603E-2</v>
          </cell>
          <cell r="E259">
            <v>3.2238808664030026E-2</v>
          </cell>
          <cell r="F259">
            <v>3.2413106951163145E-2</v>
          </cell>
          <cell r="G259">
            <v>3.2170194677613673E-2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0.15050357728820385</v>
          </cell>
          <cell r="E260">
            <v>1.0853665324910109</v>
          </cell>
          <cell r="F260">
            <v>3.5741901697056839</v>
          </cell>
          <cell r="G260">
            <v>3.3161418896869033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0.15050357728820385</v>
          </cell>
          <cell r="E261">
            <v>1.0853665324910102</v>
          </cell>
          <cell r="F261">
            <v>3.5741901697056839</v>
          </cell>
          <cell r="G261">
            <v>3.3161418896869033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0.15052085033944934</v>
          </cell>
          <cell r="E262">
            <v>1.0854788771913149</v>
          </cell>
          <cell r="F262">
            <v>3.5745668312009862</v>
          </cell>
          <cell r="G262">
            <v>3.3164857969696748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0.15052085033944934</v>
          </cell>
          <cell r="E263">
            <v>1.0854788771913149</v>
          </cell>
          <cell r="F263">
            <v>3.5745668312009862</v>
          </cell>
          <cell r="G263">
            <v>3.3164857969696748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2.92502173463541E-2</v>
          </cell>
          <cell r="E264">
            <v>13.3704189327319</v>
          </cell>
          <cell r="F264">
            <v>41.4263070976994</v>
          </cell>
          <cell r="G264">
            <v>4.0480364304649603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2.92502173463541E-2</v>
          </cell>
          <cell r="E265">
            <v>13.220815684436321</v>
          </cell>
          <cell r="F265">
            <v>53.330555102240204</v>
          </cell>
          <cell r="G265">
            <v>49.734477258316758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3.4607028001080793</v>
          </cell>
          <cell r="E266">
            <v>1.0541000713628963</v>
          </cell>
          <cell r="F266">
            <v>1.0683076445046567</v>
          </cell>
          <cell r="G266">
            <v>1.0259216188973481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3.4205013464370312E-2</v>
          </cell>
          <cell r="E267">
            <v>1.044668574559419E-2</v>
          </cell>
          <cell r="F267">
            <v>1.0591656919317571E-2</v>
          </cell>
          <cell r="G267">
            <v>1.0178367212403254E-2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4.6892991871383231E-2</v>
          </cell>
          <cell r="E268">
            <v>1.4283198798955229E-2</v>
          </cell>
          <cell r="F268">
            <v>1.4475713340171493E-2</v>
          </cell>
          <cell r="G268">
            <v>1.3901376949828563E-2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5.9973818054819099E-5</v>
          </cell>
          <cell r="F269">
            <v>8.5595657393581598E-5</v>
          </cell>
          <cell r="G269">
            <v>6.6941973948687902E-5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1.64218352992241E-2</v>
          </cell>
          <cell r="E270">
            <v>4.5564067084197246E-3</v>
          </cell>
          <cell r="F270">
            <v>4.6427617329626997E-3</v>
          </cell>
          <cell r="G270">
            <v>4.7103032883730883E-3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4722.2882567844199</v>
          </cell>
          <cell r="E271">
            <v>3894.8800761320399</v>
          </cell>
          <cell r="F271">
            <v>3131.5575853506002</v>
          </cell>
          <cell r="G271">
            <v>864.26878193483799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18.302988151946714</v>
          </cell>
          <cell r="E272">
            <v>15.43958697053149</v>
          </cell>
          <cell r="F272">
            <v>12.828025359043243</v>
          </cell>
          <cell r="G272">
            <v>3.730937400901746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63.98764575588644</v>
          </cell>
          <cell r="E273">
            <v>52.776152793117049</v>
          </cell>
          <cell r="F273">
            <v>42.433029611796719</v>
          </cell>
          <cell r="G273">
            <v>11.710959104808095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2.4943270000000002</v>
          </cell>
          <cell r="E274">
            <v>2.16175006666667</v>
          </cell>
          <cell r="F274">
            <v>1.6628846666666701</v>
          </cell>
          <cell r="G274">
            <v>0.83144233333333339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2.1434289189155598</v>
          </cell>
          <cell r="E275">
            <v>3.847656258950559</v>
          </cell>
          <cell r="F275">
            <v>3.8763208203115447</v>
          </cell>
          <cell r="G275">
            <v>3.8120660776996633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1.9627816162098521E-2</v>
          </cell>
          <cell r="E276">
            <v>3.5310868848452567E-2</v>
          </cell>
          <cell r="F276">
            <v>3.5575895641550115E-2</v>
          </cell>
          <cell r="G276">
            <v>3.4989578625282944E-2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2.9043752288828641E-2</v>
          </cell>
          <cell r="E277">
            <v>5.2136263671416834E-2</v>
          </cell>
          <cell r="F277">
            <v>5.2524672361945211E-2</v>
          </cell>
          <cell r="G277">
            <v>5.1654011892949353E-2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3.4423334939267503E-5</v>
          </cell>
          <cell r="F278">
            <v>3.8656059365956897E-5</v>
          </cell>
          <cell r="G278">
            <v>3.0513332765452201E-5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9.4043797467615042E-3</v>
          </cell>
          <cell r="E279">
            <v>1.6616478815173173E-2</v>
          </cell>
          <cell r="F279">
            <v>1.6655949803656627E-2</v>
          </cell>
          <cell r="G279">
            <v>1.6687181820904277E-2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4179.22001499817</v>
          </cell>
          <cell r="E280">
            <v>3569.7775124099198</v>
          </cell>
          <cell r="F280">
            <v>2545.6259652357098</v>
          </cell>
          <cell r="G280">
            <v>1175.14964952382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19.329234674778519</v>
          </cell>
          <cell r="E281">
            <v>17.235951000194557</v>
          </cell>
          <cell r="F281">
            <v>13.067011639680809</v>
          </cell>
          <cell r="G281">
            <v>6.6292124773315839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57.015279877192036</v>
          </cell>
          <cell r="E282">
            <v>48.700921042427304</v>
          </cell>
          <cell r="F282">
            <v>34.728867192847368</v>
          </cell>
          <cell r="G282">
            <v>16.032055245891197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1.059558</v>
          </cell>
          <cell r="E283">
            <v>0.91828359999999998</v>
          </cell>
          <cell r="F283">
            <v>0.70637198309357752</v>
          </cell>
          <cell r="G283">
            <v>0.35318595138596875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1.1069899794536761E-4</v>
          </cell>
          <cell r="F284">
            <v>2.3159699563933227E-4</v>
          </cell>
          <cell r="G284">
            <v>4.3286002007287975E-4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6.0776520032406421E-5</v>
          </cell>
          <cell r="F285">
            <v>1.2715254614920429E-4</v>
          </cell>
          <cell r="G285">
            <v>2.3765098302127951E-4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5.0187268223828348E-3</v>
          </cell>
          <cell r="E286">
            <v>1.2016727525741551E-2</v>
          </cell>
          <cell r="F286">
            <v>1.1969943226817537E-2</v>
          </cell>
          <cell r="G286">
            <v>1.89252722619918E-2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3.3388353325001295E-3</v>
          </cell>
          <cell r="E287">
            <v>7.9944328240849211E-3</v>
          </cell>
          <cell r="F287">
            <v>7.9633083824123749E-3</v>
          </cell>
          <cell r="G287">
            <v>1.2590517464252363E-2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9.3021088543239597E-5</v>
          </cell>
          <cell r="F288">
            <v>2.0994684997997787E-4</v>
          </cell>
          <cell r="G288">
            <v>4.0397545884536122E-4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5.1070905394054058E-5</v>
          </cell>
          <cell r="F289">
            <v>1.1526607440336561E-4</v>
          </cell>
          <cell r="G289">
            <v>2.2179263609262975E-4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3.5370833501607003E-2</v>
          </cell>
          <cell r="G290">
            <v>3.726366700321395E-2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0.65830556959273911</v>
          </cell>
          <cell r="G291">
            <v>0.7379148962536346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0.10643279932392699</v>
          </cell>
          <cell r="F292">
            <v>0.22667303849394629</v>
          </cell>
          <cell r="G292">
            <v>0.29515395210747847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7.5960214957478525E-2</v>
          </cell>
          <cell r="F293">
            <v>0.16177468636018674</v>
          </cell>
          <cell r="G293">
            <v>0.21064895210919438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D294">
            <v>4.2008768255138796E-7</v>
          </cell>
          <cell r="E294">
            <v>1.3176441783936086E-4</v>
          </cell>
          <cell r="F294">
            <v>4.3151073613202911E-4</v>
          </cell>
          <cell r="G294">
            <v>1.1300696645403958E-3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D295">
            <v>2.7947398750520778E-7</v>
          </cell>
          <cell r="E295">
            <v>8.7659621537139039E-5</v>
          </cell>
          <cell r="F295">
            <v>2.8707346367713021E-4</v>
          </cell>
          <cell r="G295">
            <v>7.5180751168333324E-4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110.750239060575</v>
          </cell>
          <cell r="E296">
            <v>103.59584283915601</v>
          </cell>
          <cell r="F296">
            <v>70.360630669165602</v>
          </cell>
          <cell r="G296">
            <v>33.444115372501699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1.1572726256398123</v>
          </cell>
          <cell r="E297">
            <v>1.1050761288381277</v>
          </cell>
          <cell r="F297">
            <v>0.77353616145433179</v>
          </cell>
          <cell r="G297">
            <v>0.38589036107976427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1.5006807460782481</v>
          </cell>
          <cell r="E298">
            <v>1.4037377078476365</v>
          </cell>
          <cell r="F298">
            <v>0.95339607952798966</v>
          </cell>
          <cell r="G298">
            <v>0.45317229502034811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0.55779800000000002</v>
          </cell>
          <cell r="E299">
            <v>0.48342493333333297</v>
          </cell>
          <cell r="F299">
            <v>0.37185542985537978</v>
          </cell>
          <cell r="G299">
            <v>0.18592892396308672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2.4375810401167902E-2</v>
          </cell>
          <cell r="F300">
            <v>1.921046289372608E-2</v>
          </cell>
          <cell r="G300">
            <v>3.6515005371749329E-2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1.8199058536555669E-2</v>
          </cell>
          <cell r="F301">
            <v>1.4342593454882672E-2</v>
          </cell>
          <cell r="G301">
            <v>2.7262220590264851E-2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1.9468446711068876E-3</v>
          </cell>
          <cell r="F302">
            <v>0.18830797489790502</v>
          </cell>
          <cell r="G302">
            <v>1.1526378073097856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1.3894470562220329E-3</v>
          </cell>
          <cell r="F303">
            <v>0.13439385548733457</v>
          </cell>
          <cell r="G303">
            <v>0.82262813876478569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2.0496614490823407E-3</v>
          </cell>
          <cell r="F304">
            <v>1.426991854874742E-3</v>
          </cell>
          <cell r="G304">
            <v>4.9449407272273349E-3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1.5302838378732963E-3</v>
          </cell>
          <cell r="F305">
            <v>1.0653967138179469E-3</v>
          </cell>
          <cell r="G305">
            <v>3.6919086698465921E-3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0.50444680422663679</v>
          </cell>
          <cell r="E306">
            <v>6.6084642728186288E-2</v>
          </cell>
          <cell r="F306">
            <v>8.777819131607556E-2</v>
          </cell>
          <cell r="G306">
            <v>1.0958914543915082E-2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2.8672696197423967E-3</v>
          </cell>
          <cell r="E307">
            <v>3.7562432121371635E-4</v>
          </cell>
          <cell r="F307">
            <v>4.9893019269370395E-4</v>
          </cell>
          <cell r="G307">
            <v>6.2290339583563826E-5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8.9440922735219263E-3</v>
          </cell>
          <cell r="E308">
            <v>1.1717135235494041E-3</v>
          </cell>
          <cell r="F308">
            <v>1.5563509098594959E-3</v>
          </cell>
          <cell r="G308">
            <v>1.9430699545948729E-4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D309">
            <v>3.5996499545842798E-8</v>
          </cell>
          <cell r="E309">
            <v>2.2487689247622902E-6</v>
          </cell>
          <cell r="F309">
            <v>3.2435091405495999E-6</v>
          </cell>
          <cell r="G309">
            <v>1.1696036132834101E-6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2.1128020042788983E-4</v>
          </cell>
          <cell r="E310">
            <v>3.5321710022012047E-5</v>
          </cell>
          <cell r="F310">
            <v>3.8749808533997706E-5</v>
          </cell>
          <cell r="G310">
            <v>4.8321738171538909E-6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2.4047994391043499E-2</v>
          </cell>
          <cell r="E311">
            <v>9.1336071518828513E-2</v>
          </cell>
          <cell r="F311">
            <v>0.11754850700942598</v>
          </cell>
          <cell r="G311">
            <v>1.1556557555605591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3.5294235290693268E-2</v>
          </cell>
          <cell r="E312">
            <v>0.13405013101274457</v>
          </cell>
          <cell r="F312">
            <v>0.17252102595323224</v>
          </cell>
          <cell r="G312">
            <v>1.6961076041746561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3.78293651556558E-3</v>
          </cell>
          <cell r="F313">
            <v>1.8566318753886701E-3</v>
          </cell>
          <cell r="G313">
            <v>7.3661529722404001E-2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1.6988768594817846E-3</v>
          </cell>
          <cell r="E314">
            <v>6.3749365155655801E-3</v>
          </cell>
          <cell r="F314">
            <v>8.2314958156333128E-3</v>
          </cell>
          <cell r="G314">
            <v>8.0581774750549798E-2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1.5022534625493939E-4</v>
          </cell>
          <cell r="E315">
            <v>4.3317050308942621E-4</v>
          </cell>
          <cell r="F315">
            <v>5.8694953090052961E-4</v>
          </cell>
          <cell r="G315">
            <v>6.438870818854639E-2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3.9669405076118384E-4</v>
          </cell>
          <cell r="E316">
            <v>1.1245234176015392E-3</v>
          </cell>
          <cell r="F316">
            <v>1.4836758910561096E-3</v>
          </cell>
          <cell r="G316">
            <v>0.14404835235618021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3.0812850688212798E-6</v>
          </cell>
          <cell r="F317">
            <v>5.4338202295115503E-6</v>
          </cell>
          <cell r="G317">
            <v>1.39352259051222E-3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3.3713942307692301E-6</v>
          </cell>
          <cell r="E318">
            <v>9.82407353035974E-6</v>
          </cell>
          <cell r="F318">
            <v>1.3586089701116782E-5</v>
          </cell>
          <cell r="G318">
            <v>1.4039297824166605E-3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3.713078095061672E-4</v>
          </cell>
          <cell r="E319">
            <v>4.8217092478066082E-4</v>
          </cell>
          <cell r="F319">
            <v>6.2617083481943407E-4</v>
          </cell>
          <cell r="G319">
            <v>4.3701941412509035E-2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1.3493235637779149E-3</v>
          </cell>
          <cell r="E320">
            <v>1.7328905200551348E-3</v>
          </cell>
          <cell r="F320">
            <v>2.2136903973609063E-3</v>
          </cell>
          <cell r="G320">
            <v>0.13495502012736191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1.42506707298221E-6</v>
          </cell>
          <cell r="F321">
            <v>3.29262309082592E-6</v>
          </cell>
          <cell r="G321">
            <v>9.38671695086981E-4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8.5111610639718998E-6</v>
          </cell>
          <cell r="E322">
            <v>1.104257024670541E-5</v>
          </cell>
          <cell r="F322">
            <v>1.4343823750232942E-5</v>
          </cell>
          <cell r="G322">
            <v>9.5007392083876479E-4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1.0400370179126387E-4</v>
          </cell>
          <cell r="E323">
            <v>2.131880722739176E-4</v>
          </cell>
          <cell r="F323">
            <v>2.5462105045809041E-4</v>
          </cell>
          <cell r="G323">
            <v>2.9071722151764474E-4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5.6841815799682266E-4</v>
          </cell>
          <cell r="E324">
            <v>1.1508012709681736E-3</v>
          </cell>
          <cell r="F324">
            <v>1.3588264910223786E-3</v>
          </cell>
          <cell r="G324">
            <v>1.4372675039310224E-3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7.2334789452520904E-7</v>
          </cell>
          <cell r="F325">
            <v>9.6328649293714103E-7</v>
          </cell>
          <cell r="G325">
            <v>3.2595186399415799E-6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2.3293269230769201E-6</v>
          </cell>
          <cell r="E326">
            <v>4.8090363678650056E-6</v>
          </cell>
          <cell r="F326">
            <v>5.7755970965622061E-6</v>
          </cell>
          <cell r="G326">
            <v>6.4829204748155552E-6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1.8506608088997774E-5</v>
          </cell>
          <cell r="F327">
            <v>3.2260298744036419E-5</v>
          </cell>
          <cell r="G327">
            <v>3.1029068218753384E-5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1.463733291215453E-4</v>
          </cell>
          <cell r="F328">
            <v>2.4949176151082896E-4</v>
          </cell>
          <cell r="G328">
            <v>2.2441617903423504E-4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4.1778662037928601E-7</v>
          </cell>
          <cell r="F329">
            <v>3.3984503112863502E-7</v>
          </cell>
          <cell r="G329">
            <v>4.5656357275502399E-7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4.1778662037928601E-7</v>
          </cell>
          <cell r="F330">
            <v>7.5763165150792097E-7</v>
          </cell>
          <cell r="G330">
            <v>8.0365151519749538E-7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1.4346057589923446E-2</v>
          </cell>
          <cell r="E331">
            <v>2.1992822019906995E-2</v>
          </cell>
          <cell r="F331">
            <v>1.8969349552596573E-2</v>
          </cell>
          <cell r="G331">
            <v>1.8953455566145146E-2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7.9186838454849921E-3</v>
          </cell>
          <cell r="E332">
            <v>1.213951661312087E-2</v>
          </cell>
          <cell r="F332">
            <v>1.0470631455363174E-2</v>
          </cell>
          <cell r="G332">
            <v>1.046185835146589E-2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8.6862894466324206E-5</v>
          </cell>
          <cell r="E333">
            <v>1.94989295002978E-4</v>
          </cell>
          <cell r="F333">
            <v>5.1719729216048705E-4</v>
          </cell>
          <cell r="G333">
            <v>5.1602975368355295E-4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1.5584877081077963E-3</v>
          </cell>
          <cell r="E334">
            <v>2.4110888804706964E-3</v>
          </cell>
          <cell r="F334">
            <v>2.837664327402276E-3</v>
          </cell>
          <cell r="G334">
            <v>2.8445719015519014E-3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15.122915283972899</v>
          </cell>
          <cell r="E335">
            <v>5.3764848546414097</v>
          </cell>
          <cell r="F335">
            <v>9.7652006582076503</v>
          </cell>
          <cell r="G335">
            <v>0.156042576708664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0.28933543703969666</v>
          </cell>
          <cell r="E336">
            <v>0.10658319469323585</v>
          </cell>
          <cell r="F336">
            <v>0.19193862599275341</v>
          </cell>
          <cell r="G336">
            <v>3.2881097823742622E-3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0.26813679581512317</v>
          </cell>
          <cell r="E337">
            <v>9.5327745649670517E-2</v>
          </cell>
          <cell r="F337">
            <v>0.17314185564197976</v>
          </cell>
          <cell r="G337">
            <v>2.7667123529905042E-3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2.2121561278926876E-2</v>
          </cell>
          <cell r="E338">
            <v>1.0329059137979267E-2</v>
          </cell>
          <cell r="F338">
            <v>1.8090630101415664E-2</v>
          </cell>
          <cell r="G338">
            <v>5.4855624577103271E-4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1.2662889343567341E-3</v>
          </cell>
          <cell r="F339">
            <v>1.3183059401606085E-3</v>
          </cell>
          <cell r="G339">
            <v>5.2828292767847376E-5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5.4539016529388105E-7</v>
          </cell>
          <cell r="E340">
            <v>2.1461061801550301E-7</v>
          </cell>
          <cell r="F340">
            <v>1.98143482090392E-7</v>
          </cell>
          <cell r="G340">
            <v>2.0164155963847799E-7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0.95961823847180927</v>
          </cell>
          <cell r="E341">
            <v>0.95961845308242733</v>
          </cell>
          <cell r="F341">
            <v>0.95961865122590939</v>
          </cell>
          <cell r="G341">
            <v>0.95961885286746906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9.6721560505462184E-2</v>
          </cell>
          <cell r="E342">
            <v>0.1527140790507594</v>
          </cell>
          <cell r="F342">
            <v>0.19129670196484655</v>
          </cell>
          <cell r="G342">
            <v>4.2788044968350389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6.6075744641981682E-2</v>
          </cell>
          <cell r="E343">
            <v>0.10432727137424033</v>
          </cell>
          <cell r="F343">
            <v>0.13068515400109387</v>
          </cell>
          <cell r="G343">
            <v>2.9230834555224967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8.8187347332411003E-5</v>
          </cell>
          <cell r="E344">
            <v>3.1670025100699899E-4</v>
          </cell>
          <cell r="F344">
            <v>3.4446246420884101E-3</v>
          </cell>
          <cell r="G344">
            <v>0.32967863061445601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7.3747216466735601E-3</v>
          </cell>
          <cell r="E345">
            <v>1.1587858354353876E-2</v>
          </cell>
          <cell r="F345">
            <v>1.4529996894762556E-2</v>
          </cell>
          <cell r="G345">
            <v>0.32464754096029291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2.7868031085000064E-2</v>
          </cell>
          <cell r="E346">
            <v>2.4220515977313579E-2</v>
          </cell>
          <cell r="F346">
            <v>1.8563644205035638E-2</v>
          </cell>
          <cell r="G346">
            <v>9.2816795629410975E-3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4.0433991630601518E-2</v>
          </cell>
          <cell r="E347">
            <v>3.4817279134019635E-2</v>
          </cell>
          <cell r="F347">
            <v>2.632088939833897E-2</v>
          </cell>
          <cell r="G347">
            <v>1.3160242596156056E-2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1.9499999999999999E-3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6.1319059110522961E-2</v>
          </cell>
          <cell r="E349">
            <v>0.13057405740993272</v>
          </cell>
          <cell r="F349">
            <v>0.16326137551117781</v>
          </cell>
          <cell r="G349">
            <v>4.2115819342145278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4.5847646019549972E-2</v>
          </cell>
          <cell r="E350">
            <v>9.7628914244700882E-2</v>
          </cell>
          <cell r="F350">
            <v>0.12206889442986868</v>
          </cell>
          <cell r="G350">
            <v>3.1489576080116786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8.3374232267295598E-5</v>
          </cell>
          <cell r="E351">
            <v>2.81765859398562E-3</v>
          </cell>
          <cell r="F351">
            <v>2.6567979649398899E-3</v>
          </cell>
          <cell r="G351">
            <v>0.29562019079617702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4.3042279631249651E-3</v>
          </cell>
          <cell r="E352">
            <v>8.9889087584240097E-3</v>
          </cell>
          <cell r="F352">
            <v>1.1256655092246225E-2</v>
          </cell>
          <cell r="G352">
            <v>0.28959174409126187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0.19489805748459749</v>
          </cell>
          <cell r="E353">
            <v>1.4055134821177662</v>
          </cell>
          <cell r="F353">
            <v>4.6284681425735545</v>
          </cell>
          <cell r="G353">
            <v>4.2929332020686459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0.1505035772882041</v>
          </cell>
          <cell r="E354">
            <v>1.0853612894640641</v>
          </cell>
          <cell r="F354">
            <v>3.5741814044342699</v>
          </cell>
          <cell r="G354">
            <v>3.3150756467734208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1.8130472794138699E-4</v>
          </cell>
          <cell r="E355">
            <v>8.3692203494074399E-2</v>
          </cell>
          <cell r="F355">
            <v>0.26319978360859098</v>
          </cell>
          <cell r="G355">
            <v>2.6378785223828801E-2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1.5383995263677834E-2</v>
          </cell>
          <cell r="E356">
            <v>0.11068478520880499</v>
          </cell>
          <cell r="F356">
            <v>0.36449850096893904</v>
          </cell>
          <cell r="G356">
            <v>0.33805415065953315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5.9106684024613203E-3</v>
          </cell>
          <cell r="F357">
            <v>4.994530886625706E-2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1.2600782070347742E-5</v>
          </cell>
          <cell r="F358">
            <v>1.1148119256184335E-4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1.0479908515002331E-4</v>
          </cell>
          <cell r="F359">
            <v>8.8555512174214631E-4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3.6114725378593499E-7</v>
          </cell>
          <cell r="F360">
            <v>2.2217929182040701E-6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3.6114725378593499E-7</v>
          </cell>
          <cell r="F361">
            <v>2.5829401719899998E-6</v>
          </cell>
          <cell r="G361">
            <v>4.3392209102598017E-9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4.6921919466110068E-5</v>
          </cell>
          <cell r="F362">
            <v>7.0518023133550744E-5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1.0088491347631419E-4</v>
          </cell>
          <cell r="F363">
            <v>1.4895847727274043E-4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3.6625954536730501E-6</v>
          </cell>
          <cell r="F364">
            <v>2.0028064253640599E-6</v>
          </cell>
          <cell r="G364">
            <v>5.8697579935727801E-7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3.6625954536730501E-6</v>
          </cell>
          <cell r="F365">
            <v>5.6654018790370998E-6</v>
          </cell>
          <cell r="G365">
            <v>4.1115732501763996E-7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4.8812829872491997E-3</v>
          </cell>
          <cell r="F366">
            <v>3.9191801265400839E-2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7.3563770118444259E-6</v>
          </cell>
          <cell r="F367">
            <v>6.1678105783199069E-5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8.6547570695907805E-5</v>
          </cell>
          <cell r="F368">
            <v>6.9489009335817024E-4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2.1034390203927499E-7</v>
          </cell>
          <cell r="F369">
            <v>1.2026548991051701E-6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2.1034390203927499E-7</v>
          </cell>
          <cell r="F370">
            <v>1.4129988011444501E-6</v>
          </cell>
          <cell r="G370">
            <v>2.553451788080094E-9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2.0162109820142788E-2</v>
          </cell>
          <cell r="E371">
            <v>19.047749212667796</v>
          </cell>
          <cell r="F371">
            <v>33.735504530227018</v>
          </cell>
          <cell r="G371">
            <v>3.0828756141006398E-3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3.4085564306587932E-5</v>
          </cell>
          <cell r="E372">
            <v>3.3394830135636877E-2</v>
          </cell>
          <cell r="F372">
            <v>6.052730834583335E-2</v>
          </cell>
          <cell r="G372">
            <v>5.211833281884923E-6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2.7506288977002449E-4</v>
          </cell>
          <cell r="E373">
            <v>0.2598601529695469</v>
          </cell>
          <cell r="F373">
            <v>0.46023880668795331</v>
          </cell>
          <cell r="G373">
            <v>4.205833034243709E-5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6.2986646018108495E-4</v>
          </cell>
          <cell r="F374">
            <v>5.11759684852437E-4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6.3069838704465735E-4</v>
          </cell>
          <cell r="F375">
            <v>1.1424580718970925E-3</v>
          </cell>
          <cell r="G375">
            <v>1.0985735204643507E-7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4.2764238579741801E-3</v>
          </cell>
          <cell r="F376">
            <v>2.5030350747210918E-2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4.2781020860184059E-6</v>
          </cell>
          <cell r="F377">
            <v>2.6078027513294675E-5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7.582311804918769E-5</v>
          </cell>
          <cell r="F378">
            <v>4.4380054516331326E-4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1.30675633243664E-7</v>
          </cell>
          <cell r="F379">
            <v>4.9071184089424898E-7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1.30675633243664E-7</v>
          </cell>
          <cell r="F380">
            <v>6.2138747413791303E-7</v>
          </cell>
          <cell r="G380">
            <v>5.6298551118309889E-9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7.9986046120233603</v>
          </cell>
          <cell r="E381">
            <v>9.8048166890383577</v>
          </cell>
          <cell r="F381">
            <v>16.669551510461261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9.5444028907618935E-3</v>
          </cell>
          <cell r="E382">
            <v>1.1742058969594566E-2</v>
          </cell>
          <cell r="F382">
            <v>2.0644288399427835E-2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0.10912148174656713</v>
          </cell>
          <cell r="E383">
            <v>0.13376284705372904</v>
          </cell>
          <cell r="F383">
            <v>0.22741543670479197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6.9419693488840203E-6</v>
          </cell>
          <cell r="F384">
            <v>1.6530630357772101E-4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1.8444670706591268E-4</v>
          </cell>
          <cell r="E385">
            <v>2.245933645727302E-4</v>
          </cell>
          <cell r="F385">
            <v>3.900226069623375E-4</v>
          </cell>
          <cell r="G385">
            <v>-6.5423288619806223E-9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E386">
            <v>1.29018679652365E-3</v>
          </cell>
          <cell r="F386">
            <v>7.3812305112770007E-3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E387">
            <v>8.621640729403405E-7</v>
          </cell>
          <cell r="F387">
            <v>5.1291546105314745E-6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E388">
            <v>2.287565242063212E-5</v>
          </cell>
          <cell r="F388">
            <v>1.3087288140562059E-4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E389">
            <v>3.9458696030931802E-8</v>
          </cell>
          <cell r="F389">
            <v>9.9055548543565406E-8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E390">
            <v>3.9458696030931802E-8</v>
          </cell>
          <cell r="F390">
            <v>1.38514244574497E-7</v>
          </cell>
          <cell r="G390">
            <v>1.7903456958436929E-9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44.957812017951227</v>
          </cell>
          <cell r="E391">
            <v>66.315531069241032</v>
          </cell>
          <cell r="F391">
            <v>66.683690594141055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3.5542755603659763E-2</v>
          </cell>
          <cell r="E392">
            <v>5.2636854678464073E-2</v>
          </cell>
          <cell r="F392">
            <v>5.2947197399464144E-2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0.61333986381925276</v>
          </cell>
          <cell r="E393">
            <v>0.9047139300032897</v>
          </cell>
          <cell r="F393">
            <v>0.90973657017927734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4.1803621909252997E-5</v>
          </cell>
          <cell r="F394">
            <v>4.4571831723899102E-6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8.0664647542609091E-4</v>
          </cell>
          <cell r="E395">
            <v>9.9420528733350135E-4</v>
          </cell>
          <cell r="F395">
            <v>9.98817063872079E-4</v>
          </cell>
          <cell r="G395">
            <v>-1.8098669885371378E-8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0.36899274558953643</v>
          </cell>
          <cell r="E396">
            <v>7.9108896657987288E-2</v>
          </cell>
          <cell r="F396">
            <v>7.9226683913661805E-2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1.9454667496198718E-4</v>
          </cell>
          <cell r="E397">
            <v>4.1979559129866991E-5</v>
          </cell>
          <cell r="F397">
            <v>4.2379691811822505E-5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5.0340074432405945E-3</v>
          </cell>
          <cell r="E398">
            <v>1.0792482490857766E-3</v>
          </cell>
          <cell r="F398">
            <v>1.0808551693541827E-3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9.2441931643511606E-8</v>
          </cell>
          <cell r="F399">
            <v>8.2043746360718306E-8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4.2871335888651191E-6</v>
          </cell>
          <cell r="E400">
            <v>9.0695675321861168E-7</v>
          </cell>
          <cell r="F400">
            <v>8.6755677608863001E-7</v>
          </cell>
          <cell r="G400">
            <v>-2.0483261710127441E-8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5.05929320393229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5.05929320393229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7.8095947986046204E-3</v>
          </cell>
          <cell r="E403">
            <v>7.7610111255909499E-3</v>
          </cell>
          <cell r="F403">
            <v>7.7107613302654504E-3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1.37779108999376E-3</v>
          </cell>
          <cell r="E404">
            <v>1.0976598396741904E-3</v>
          </cell>
          <cell r="F404">
            <v>6.8585029397965215E-4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1.3846799288306055E-4</v>
          </cell>
          <cell r="E405">
            <v>1.3760658024097419E-4</v>
          </cell>
          <cell r="F405">
            <v>1.3671562642314622E-4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1.4847082423080488E-5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1.2708372102865799</v>
          </cell>
          <cell r="E407">
            <v>1.2693115152477501</v>
          </cell>
          <cell r="F407">
            <v>1.2642032534460499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0.24218170847327064</v>
          </cell>
          <cell r="E408">
            <v>0.1937664903288642</v>
          </cell>
          <cell r="F408">
            <v>0.12109049757336017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1.7337478994359931E-2</v>
          </cell>
          <cell r="E409">
            <v>1.7316664600924344E-2</v>
          </cell>
          <cell r="F409">
            <v>1.7246974808268055E-2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2.2835036030772549E-3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3.5291384655320703E-2</v>
          </cell>
          <cell r="E411">
            <v>0.13406150290467969</v>
          </cell>
          <cell r="F411">
            <v>0.17253801594561746</v>
          </cell>
          <cell r="G411">
            <v>1.6969110796818956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3.5291384655320703E-2</v>
          </cell>
          <cell r="E412">
            <v>0.13406150290467969</v>
          </cell>
          <cell r="F412">
            <v>0.17253801594561746</v>
          </cell>
          <cell r="G412">
            <v>1.6969110796818956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3.75992390814013E-3</v>
          </cell>
          <cell r="E413">
            <v>1.0417322583743701E-2</v>
          </cell>
          <cell r="F413">
            <v>4.0821898293351604E-3</v>
          </cell>
          <cell r="G413">
            <v>0.163495005944477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3.75992390814013E-3</v>
          </cell>
          <cell r="E414">
            <v>1.4177246491883899E-2</v>
          </cell>
          <cell r="F414">
            <v>1.8259436321219E-2</v>
          </cell>
          <cell r="G414">
            <v>0.17936539486403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2.2073511340310001E-8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2.2073511340310001E-8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  <cell r="D420">
            <v>92.549173955290797</v>
          </cell>
          <cell r="E420">
            <v>91.724410419527899</v>
          </cell>
          <cell r="F420">
            <v>68.277853422220005</v>
          </cell>
          <cell r="G420">
            <v>32.395353994393801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  <cell r="D421">
            <v>0.61924595478172129</v>
          </cell>
          <cell r="E421">
            <v>0.62769351730267742</v>
          </cell>
          <cell r="F421">
            <v>0.48283683336105782</v>
          </cell>
          <cell r="G421">
            <v>0.24141985935965685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  <cell r="D422">
            <v>1.2540538476326688</v>
          </cell>
          <cell r="E422">
            <v>1.2428781899665027</v>
          </cell>
          <cell r="F422">
            <v>0.92517416561273758</v>
          </cell>
          <cell r="G422">
            <v>0.43896143623839845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  <cell r="D423">
            <v>6.5841999999999998E-2</v>
          </cell>
          <cell r="E423">
            <v>5.7063066666666697E-2</v>
          </cell>
          <cell r="F423">
            <v>4.3894653354302877E-2</v>
          </cell>
          <cell r="G423">
            <v>2.1947333333333301E-2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D425">
            <v>79.576349423418094</v>
          </cell>
          <cell r="E425">
            <v>100.796237247683</v>
          </cell>
          <cell r="F425">
            <v>132.626068984081</v>
          </cell>
          <cell r="G425">
            <v>185.675788544743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D427">
            <v>1.0930817228491501</v>
          </cell>
          <cell r="E427">
            <v>1.3845636984571901</v>
          </cell>
          <cell r="F427">
            <v>1.82178666186924</v>
          </cell>
          <cell r="G427">
            <v>2.5504916008893299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D428">
            <v>0.87419563578556403</v>
          </cell>
          <cell r="E428">
            <v>1.5508484607178601</v>
          </cell>
          <cell r="F428">
            <v>1.2416579580541101</v>
          </cell>
          <cell r="G428">
            <v>1.46537969211274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D429">
            <v>1.9672773586347141</v>
          </cell>
          <cell r="E429">
            <v>3.5181258193525702</v>
          </cell>
          <cell r="F429">
            <v>3.5096927186145601</v>
          </cell>
          <cell r="G429">
            <v>3.8130532273878499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D430">
            <v>26.02929834513348</v>
          </cell>
          <cell r="E430">
            <v>29.527152476913962</v>
          </cell>
          <cell r="F430">
            <v>91.0846574957679</v>
          </cell>
          <cell r="G430">
            <v>76.910468216734131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D431">
            <v>0.24056079882864495</v>
          </cell>
          <cell r="E431">
            <v>0.26979892533798211</v>
          </cell>
          <cell r="F431">
            <v>0.76928027920364195</v>
          </cell>
          <cell r="G431">
            <v>0.6490654182092761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D432">
            <v>0.35270051958175441</v>
          </cell>
          <cell r="E432">
            <v>0.40009691703135475</v>
          </cell>
          <cell r="F432">
            <v>1.2342094511621662</v>
          </cell>
          <cell r="G432">
            <v>1.0421472658094042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E433">
            <v>1.09683641401395E-3</v>
          </cell>
          <cell r="F433">
            <v>7.7579267772780403E-2</v>
          </cell>
          <cell r="G433">
            <v>4.2866349261690601E-4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D434">
            <v>3.6540516620772484E-2</v>
          </cell>
          <cell r="E434">
            <v>4.0837481659303392E-2</v>
          </cell>
          <cell r="F434">
            <v>0.11685898613372506</v>
          </cell>
          <cell r="G434">
            <v>9.8607900323495298E-2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G435">
            <v>2.5032718221414049E-2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G436">
            <v>5.7228792073550725E-4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G437">
            <v>5.388758477200031E-4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G438">
            <v>1.6653396380263887E-4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G439">
            <v>2.5900516351275632E-4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G440">
            <v>3.0291157297368133E-3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G441">
            <v>1.02133437495176E-3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G442">
            <v>1.0099656737762475E-3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G443">
            <v>1.0561547908243994E-3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G444">
            <v>6.786970363988385E-4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G445">
            <v>3.9878018966165845E-4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G446">
            <v>1.0201097565828473E-3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G447">
            <v>1.6089230691848401E-3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G448">
            <v>1.8274597676111586E-4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G449">
            <v>3.3767997905147984E-3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G450">
            <v>3.9123814088997825E-3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G451">
            <v>3.9142866475858525E-3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G452">
            <v>2.0454598842077805E-4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G453">
            <v>1.9035954294438625E-4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G454">
            <v>8.8926429325123272E-5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G455">
            <v>2.3171663094439886E-4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G456">
            <v>6.3730677384522556E-4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G457">
            <v>1.0163281928655971E-3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G458">
            <v>5.4720555000668698E-3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G459">
            <v>5.4720555000668698E-3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E460">
            <v>8.9488790164461499E-2</v>
          </cell>
          <cell r="F460">
            <v>0.170143167092414</v>
          </cell>
          <cell r="G460">
            <v>2.9553860975584199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E461">
            <v>3.626858456004585E-2</v>
          </cell>
          <cell r="F461">
            <v>6.895670208150706E-2</v>
          </cell>
          <cell r="G461">
            <v>1.1977776254421741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D462">
            <v>9.8667085182200394E-6</v>
          </cell>
          <cell r="E462">
            <v>8.9481624155715894E-2</v>
          </cell>
          <cell r="F462">
            <v>8.0648083406541601E-2</v>
          </cell>
          <cell r="G462">
            <v>2.78523486299401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D463">
            <v>9.8667085182200394E-6</v>
          </cell>
          <cell r="E463">
            <v>8.9491490864234094E-2</v>
          </cell>
          <cell r="F463">
            <v>0.17013804758332121</v>
          </cell>
          <cell r="G463">
            <v>2.9553701745051169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D464">
            <v>12.591300085875011</v>
          </cell>
          <cell r="E464">
            <v>42.440776378172231</v>
          </cell>
          <cell r="F464">
            <v>57.723943410727195</v>
          </cell>
          <cell r="G464">
            <v>100.34394778907176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D465">
            <v>5.9924626635561938E-2</v>
          </cell>
          <cell r="E465">
            <v>0.20198451797986902</v>
          </cell>
          <cell r="F465">
            <v>0.27472030157557414</v>
          </cell>
          <cell r="G465">
            <v>0.47755780303766637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D466">
            <v>0.17061382230182934</v>
          </cell>
          <cell r="E466">
            <v>0.57507827070694006</v>
          </cell>
          <cell r="F466">
            <v>0.7821672548879024</v>
          </cell>
          <cell r="G466">
            <v>1.3596740892828152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E467">
            <v>6.4656422922017001E-3</v>
          </cell>
          <cell r="F467">
            <v>1.2378442035053399E-2</v>
          </cell>
          <cell r="G467">
            <v>2.42948535855484E-2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D468">
            <v>5.9635594188015501E-3</v>
          </cell>
          <cell r="E468">
            <v>1.4116352741526821E-2</v>
          </cell>
          <cell r="F468">
            <v>2.6494888101089818E-2</v>
          </cell>
          <cell r="G468">
            <v>4.7496732836330796E-2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D469">
            <v>252.76096063840612</v>
          </cell>
          <cell r="E469">
            <v>391.785843002609</v>
          </cell>
          <cell r="F469">
            <v>369.16873777108367</v>
          </cell>
          <cell r="G469">
            <v>303.98419374876772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D470">
            <v>2.0614992151753948</v>
          </cell>
          <cell r="E470">
            <v>3.2089266850879494</v>
          </cell>
          <cell r="F470">
            <v>3.0413252436546636</v>
          </cell>
          <cell r="G470">
            <v>2.5088065367264663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D471">
            <v>3.4249452661030619</v>
          </cell>
          <cell r="E471">
            <v>5.3087512601979547</v>
          </cell>
          <cell r="F471">
            <v>5.0022864196623855</v>
          </cell>
          <cell r="G471">
            <v>4.1190270155659627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E472">
            <v>1.06444520366815E-4</v>
          </cell>
          <cell r="F472">
            <v>4.8643973498689201E-4</v>
          </cell>
          <cell r="G472">
            <v>2.6736728661750302E-4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D473">
            <v>0.21742779103339094</v>
          </cell>
          <cell r="E473">
            <v>0.2434744217791176</v>
          </cell>
          <cell r="F473">
            <v>0.240605779697219</v>
          </cell>
          <cell r="G473">
            <v>0.19036847074317659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D474">
            <v>0.38995593513063942</v>
          </cell>
          <cell r="E474">
            <v>0.46267146718245922</v>
          </cell>
          <cell r="F474">
            <v>0.53877965418744667</v>
          </cell>
          <cell r="G474">
            <v>0.47625765268310771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D475">
            <v>3.9866827611551572E-3</v>
          </cell>
          <cell r="E475">
            <v>5.2043704218408086E-3</v>
          </cell>
          <cell r="F475">
            <v>6.0052266766962162E-3</v>
          </cell>
          <cell r="G475">
            <v>5.2059423949926981E-3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D476">
            <v>5.3199991150155498E-3</v>
          </cell>
          <cell r="E476">
            <v>6.3120254731576916E-3</v>
          </cell>
          <cell r="F476">
            <v>7.350336346349874E-3</v>
          </cell>
          <cell r="G476">
            <v>6.4973758892647717E-3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E477">
            <v>2.51862593486825E-4</v>
          </cell>
          <cell r="F477">
            <v>1.8433525577025799E-4</v>
          </cell>
          <cell r="G477">
            <v>9.5415264216774701E-5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D478">
            <v>4.4467241012579001E-4</v>
          </cell>
          <cell r="E478">
            <v>7.2103219535278595E-4</v>
          </cell>
          <cell r="F478">
            <v>8.8591112943153935E-4</v>
          </cell>
          <cell r="G478">
            <v>7.6975077480186951E-4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D479">
            <v>265.46031187587329</v>
          </cell>
          <cell r="E479">
            <v>559.36960696964434</v>
          </cell>
          <cell r="F479">
            <v>655.45472051463014</v>
          </cell>
          <cell r="G479">
            <v>536.36993885633728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D480">
            <v>1.8531065308734571</v>
          </cell>
          <cell r="E480">
            <v>3.9051794530189397</v>
          </cell>
          <cell r="F480">
            <v>4.5269355847276733</v>
          </cell>
          <cell r="G480">
            <v>3.7202810374357806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D481">
            <v>3.5970231961500416</v>
          </cell>
          <cell r="E481">
            <v>7.5795339697783666</v>
          </cell>
          <cell r="F481">
            <v>8.8815002779760199</v>
          </cell>
          <cell r="G481">
            <v>7.2678853503568668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E482">
            <v>6.5756605484670994E-2</v>
          </cell>
          <cell r="F482">
            <v>5.0300320398768E-2</v>
          </cell>
          <cell r="G482">
            <v>2.8688891563704601E-4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D483">
            <v>0.18201057875775811</v>
          </cell>
          <cell r="E483">
            <v>0.26853360642548157</v>
          </cell>
          <cell r="F483">
            <v>0.31131734039924513</v>
          </cell>
          <cell r="G483">
            <v>0.25582858299258038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D484">
            <v>67.051760524802191</v>
          </cell>
          <cell r="E484">
            <v>93.795832018654096</v>
          </cell>
          <cell r="F484">
            <v>76.299572131912925</v>
          </cell>
          <cell r="G484">
            <v>68.045491103577092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D485">
            <v>0.64472198677604886</v>
          </cell>
          <cell r="E485">
            <v>0.90157934629617731</v>
          </cell>
          <cell r="F485">
            <v>0.75764725938136135</v>
          </cell>
          <cell r="G485">
            <v>0.68082322069055057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D486">
            <v>0.91475798806005804</v>
          </cell>
          <cell r="E486">
            <v>1.27961571648914</v>
          </cell>
          <cell r="F486">
            <v>1.0409218571884424</v>
          </cell>
          <cell r="G486">
            <v>0.92831502187690373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E487">
            <v>6.5297173554796899E-5</v>
          </cell>
          <cell r="F487">
            <v>1.01309846976216E-4</v>
          </cell>
          <cell r="G487">
            <v>7.1421073883442705E-5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D488">
            <v>6.4569028714848181E-2</v>
          </cell>
          <cell r="E488">
            <v>6.8568509666209823E-2</v>
          </cell>
          <cell r="F488">
            <v>6.8045071776686936E-2</v>
          </cell>
          <cell r="G488">
            <v>5.1665734818615805E-2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D489">
            <v>237.8184072440759</v>
          </cell>
          <cell r="E489">
            <v>389.01611189966104</v>
          </cell>
          <cell r="F489">
            <v>614.62924400522002</v>
          </cell>
          <cell r="G489">
            <v>2109.3870953894289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D490">
            <v>1.3964687772971811</v>
          </cell>
          <cell r="E490">
            <v>2.2840124184383481</v>
          </cell>
          <cell r="F490">
            <v>3.6127122407752275</v>
          </cell>
          <cell r="G490">
            <v>12.487614237957827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D491">
            <v>3.2224716428736544</v>
          </cell>
          <cell r="E491">
            <v>5.2712210284506957</v>
          </cell>
          <cell r="F491">
            <v>8.3283095393661171</v>
          </cell>
          <cell r="G491">
            <v>28.582480967336391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E492">
            <v>6.2601918281207604E-4</v>
          </cell>
          <cell r="F492">
            <v>0.10908626571595199</v>
          </cell>
          <cell r="G492">
            <v>0.78739339324623203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D493">
            <v>0.15707318028406389</v>
          </cell>
          <cell r="E493">
            <v>0.17987966282673484</v>
          </cell>
          <cell r="F493">
            <v>0.28457820289076025</v>
          </cell>
          <cell r="G493">
            <v>0.98338032201209158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D494">
            <v>292.68422968040659</v>
          </cell>
          <cell r="E494">
            <v>390.52923505527315</v>
          </cell>
          <cell r="F494">
            <v>386.86615005378923</v>
          </cell>
          <cell r="G494">
            <v>295.62785307931858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D495">
            <v>2.1391905959467268</v>
          </cell>
          <cell r="E495">
            <v>2.8367286630041972</v>
          </cell>
          <cell r="F495">
            <v>2.8076741038013093</v>
          </cell>
          <cell r="G495">
            <v>2.1827226222069616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D496">
            <v>3.9929635699919102</v>
          </cell>
          <cell r="E496">
            <v>5.3278203963884412</v>
          </cell>
          <cell r="F496">
            <v>5.2778465218798027</v>
          </cell>
          <cell r="G496">
            <v>4.0331221429647872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E497">
            <v>7.4188855913287702E-5</v>
          </cell>
          <cell r="F497">
            <v>7.9715975810711306E-5</v>
          </cell>
          <cell r="G497">
            <v>6.1879727668525203E-5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D498">
            <v>0.18324107559745853</v>
          </cell>
          <cell r="E498">
            <v>0.19506926192522128</v>
          </cell>
          <cell r="F498">
            <v>0.1931102410684537</v>
          </cell>
          <cell r="G498">
            <v>0.15010292523123853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D499">
            <v>142.22555150122361</v>
          </cell>
          <cell r="E499">
            <v>162.0398154566532</v>
          </cell>
          <cell r="F499">
            <v>159.22374849589906</v>
          </cell>
          <cell r="G499">
            <v>122.76312681590055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D500">
            <v>0.90418843699565288</v>
          </cell>
          <cell r="E500">
            <v>1.0074695485215845</v>
          </cell>
          <cell r="F500">
            <v>0.99218178038559302</v>
          </cell>
          <cell r="G500">
            <v>0.77568480569068554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D501">
            <v>1.9403213028816328</v>
          </cell>
          <cell r="E501">
            <v>2.2106386829011422</v>
          </cell>
          <cell r="F501">
            <v>2.172220306901758</v>
          </cell>
          <cell r="G501">
            <v>1.6748039129045098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E502">
            <v>2.5932750137077398E-5</v>
          </cell>
          <cell r="F502">
            <v>3.4178777799011399E-5</v>
          </cell>
          <cell r="G502">
            <v>3.2782362971323E-5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D503">
            <v>7.1262355417002946E-2</v>
          </cell>
          <cell r="E503">
            <v>7.9362616824036322E-2</v>
          </cell>
          <cell r="F503">
            <v>7.8259411345619354E-2</v>
          </cell>
          <cell r="G503">
            <v>6.1130064436627017E-2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  <cell r="D504">
            <v>6.0465954387354097</v>
          </cell>
          <cell r="E504">
            <v>1.8277003584582101</v>
          </cell>
          <cell r="F504">
            <v>3.9436084708512298</v>
          </cell>
          <cell r="G504">
            <v>1.28714611943191E-3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  <cell r="D505">
            <v>2.9759461886988636E-2</v>
          </cell>
          <cell r="E505">
            <v>9.0792097835121852E-3</v>
          </cell>
          <cell r="F505">
            <v>1.9861450353671609E-2</v>
          </cell>
          <cell r="G505">
            <v>6.48253723410323E-6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  <cell r="D506">
            <v>0.10720913898467042</v>
          </cell>
          <cell r="E506">
            <v>3.2406034724436303E-2</v>
          </cell>
          <cell r="F506">
            <v>6.9922136008000568E-2</v>
          </cell>
          <cell r="G506">
            <v>2.2821739706239607E-5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  <cell r="D507">
            <v>2.085E-3</v>
          </cell>
          <cell r="E507">
            <v>1.807E-3</v>
          </cell>
          <cell r="F507">
            <v>1.3899804074924721E-3</v>
          </cell>
          <cell r="G507">
            <v>3.8964725526896647E-7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D508">
            <v>5720.4419261023304</v>
          </cell>
          <cell r="E508">
            <v>5668.8024786361702</v>
          </cell>
          <cell r="F508">
            <v>5161.4681640109102</v>
          </cell>
          <cell r="G508">
            <v>4306.4652496779299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D509">
            <v>80.796426585808945</v>
          </cell>
          <cell r="E509">
            <v>80.067072330450372</v>
          </cell>
          <cell r="F509">
            <v>73.815425584054552</v>
          </cell>
          <cell r="G509">
            <v>60.825332917904625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D510">
            <v>77.512763226318825</v>
          </cell>
          <cell r="E510">
            <v>76.813041715937189</v>
          </cell>
          <cell r="F510">
            <v>69.938593008278062</v>
          </cell>
          <cell r="G510">
            <v>58.353187665012669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D511">
            <v>4.488766574022736</v>
          </cell>
          <cell r="E511">
            <v>4.4482548872507888</v>
          </cell>
          <cell r="F511">
            <v>4.9778119084128249</v>
          </cell>
          <cell r="G511">
            <v>3.3793747471483342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D512">
            <v>0.61931829755988221</v>
          </cell>
          <cell r="E512">
            <v>0.62518962679505985</v>
          </cell>
          <cell r="F512">
            <v>0.62632782927815045</v>
          </cell>
          <cell r="G512">
            <v>0.45867783045264093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D513">
            <v>5.579983514317953E-2</v>
          </cell>
          <cell r="E513">
            <v>5.632740709154526E-2</v>
          </cell>
          <cell r="F513">
            <v>5.6428561239445202E-2</v>
          </cell>
          <cell r="G513">
            <v>4.1319730294541633E-2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D514">
            <v>0.207222334145367</v>
          </cell>
          <cell r="E514">
            <v>9.6795069901276605E-5</v>
          </cell>
          <cell r="F514">
            <v>4.4384294135435998E-4</v>
          </cell>
          <cell r="G514">
            <v>6.2905272743027905E-4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D515">
            <v>0.21316322137295857</v>
          </cell>
          <cell r="E515">
            <v>0.21519777311126362</v>
          </cell>
          <cell r="F515">
            <v>0.21564191770189756</v>
          </cell>
          <cell r="G515">
            <v>0.15796496840535099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D516">
            <v>2.8404816165603264E-3</v>
          </cell>
          <cell r="E516">
            <v>3.3916604152922879E-3</v>
          </cell>
          <cell r="F516">
            <v>3.8656515278388012E-3</v>
          </cell>
          <cell r="G516">
            <v>3.9751894346799288E-3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D517">
            <v>4.5198036518284945E-4</v>
          </cell>
          <cell r="E517">
            <v>5.3933154339173329E-4</v>
          </cell>
          <cell r="F517">
            <v>6.1359045103627594E-4</v>
          </cell>
          <cell r="G517">
            <v>6.2856765217878343E-4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D518">
            <v>1.9431003160952199E-4</v>
          </cell>
          <cell r="E518">
            <v>9.4007639589482596E-5</v>
          </cell>
          <cell r="F518">
            <v>2.0985012758143799E-4</v>
          </cell>
          <cell r="G518">
            <v>2.25193836181628E-4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D519">
            <v>9.7922872550445942E-4</v>
          </cell>
          <cell r="E519">
            <v>1.1900729561873768E-3</v>
          </cell>
          <cell r="F519">
            <v>1.4001789145412591E-3</v>
          </cell>
          <cell r="G519">
            <v>1.4604192040967457E-3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6.3995387220446606E-4</v>
          </cell>
          <cell r="E520">
            <v>9.9714642602767491E-4</v>
          </cell>
          <cell r="F520">
            <v>1.284140046003118E-3</v>
          </cell>
          <cell r="G520">
            <v>1.562713584538205E-3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1.5646245850134093E-4</v>
          </cell>
          <cell r="E521">
            <v>2.4334726032427449E-4</v>
          </cell>
          <cell r="F521">
            <v>3.1236689982244438E-4</v>
          </cell>
          <cell r="G521">
            <v>3.7827445904256221E-4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1.1500456601191601E-4</v>
          </cell>
          <cell r="E522">
            <v>7.9563256659111902E-5</v>
          </cell>
          <cell r="F522">
            <v>1.14843952963578E-4</v>
          </cell>
          <cell r="G522">
            <v>1.14106781859195E-4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2.2199010588001716E-4</v>
          </cell>
          <cell r="E523">
            <v>3.5611648007857126E-4</v>
          </cell>
          <cell r="F523">
            <v>4.7104690549639572E-4</v>
          </cell>
          <cell r="G523">
            <v>5.8507036373175786E-4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6.5991685690833517E-4</v>
          </cell>
          <cell r="E524">
            <v>9.3712195515533467E-4</v>
          </cell>
          <cell r="F524">
            <v>1.2589305906405505E-3</v>
          </cell>
          <cell r="G524">
            <v>1.4983848330229722E-3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1.7527423179909685E-4</v>
          </cell>
          <cell r="E525">
            <v>2.4841200929893916E-4</v>
          </cell>
          <cell r="F525">
            <v>3.3236281114408186E-4</v>
          </cell>
          <cell r="G525">
            <v>3.9365828399083054E-4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2.1470176716282399E-4</v>
          </cell>
          <cell r="E526">
            <v>9.0627075166075294E-5</v>
          </cell>
          <cell r="F526">
            <v>1.2628867036199899E-4</v>
          </cell>
          <cell r="G526">
            <v>1.00642540966288E-4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2.2770176716282398E-4</v>
          </cell>
          <cell r="E527">
            <v>3.3203972695125316E-4</v>
          </cell>
          <cell r="F527">
            <v>4.5839298537848959E-4</v>
          </cell>
          <cell r="G527">
            <v>5.5876234109733763E-4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1.9840509892603314E-3</v>
          </cell>
          <cell r="E528">
            <v>1.6041474518981127E-3</v>
          </cell>
          <cell r="F528">
            <v>1.0037099059564199E-3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4.7345224882162695E-4</v>
          </cell>
          <cell r="E529">
            <v>4.754789488024679E-4</v>
          </cell>
          <cell r="F529">
            <v>4.671741600732409E-4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0.142480479629365</v>
          </cell>
          <cell r="F531">
            <v>0.20933510471444508</v>
          </cell>
          <cell r="G531">
            <v>4.4292530710019845E-2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3.1589399560720815E-4</v>
          </cell>
          <cell r="F532">
            <v>4.716368208381752E-4</v>
          </cell>
          <cell r="G532">
            <v>1.0575471232917764E-4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1.9437991763897036E-3</v>
          </cell>
          <cell r="F533">
            <v>2.8558677314385488E-3</v>
          </cell>
          <cell r="G533">
            <v>6.0426372046411768E-4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6.21864298704749E-6</v>
          </cell>
          <cell r="F534">
            <v>3.1842066526089599E-6</v>
          </cell>
          <cell r="G534">
            <v>1.0723550305913601E-6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6.21864298704749E-6</v>
          </cell>
          <cell r="F535">
            <v>9.4028496396564405E-6</v>
          </cell>
          <cell r="G535">
            <v>2.3411959331930008E-6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4.2613132626693397E-2</v>
          </cell>
          <cell r="F536">
            <v>8.2767730468490397E-2</v>
          </cell>
          <cell r="G536">
            <v>6.6068960275902006E-2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6.7724031036547929E-5</v>
          </cell>
          <cell r="F537">
            <v>1.3464299746005141E-4</v>
          </cell>
          <cell r="G537">
            <v>1.1235253373171162E-4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5.813524232836753E-4</v>
          </cell>
          <cell r="F538">
            <v>1.1291641264459795E-3</v>
          </cell>
          <cell r="G538">
            <v>9.0135007197683517E-4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1.3798276082159799E-6</v>
          </cell>
          <cell r="F539">
            <v>1.2925522473913599E-6</v>
          </cell>
          <cell r="G539">
            <v>8.7443821382551097E-7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1.3798276082159799E-6</v>
          </cell>
          <cell r="F540">
            <v>2.6723798556073399E-6</v>
          </cell>
          <cell r="G540">
            <v>2.27442129312707E-6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0.111100447660902</v>
          </cell>
          <cell r="F541">
            <v>38.366793801741466</v>
          </cell>
          <cell r="G541">
            <v>38.382536795117964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1.1858165801099761E-4</v>
          </cell>
          <cell r="F542">
            <v>4.3020565731133088E-2</v>
          </cell>
          <cell r="G542">
            <v>4.3046309937164462E-2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1.5156950567653763E-3</v>
          </cell>
          <cell r="F543">
            <v>0.52342147069224398</v>
          </cell>
          <cell r="G543">
            <v>0.52363624549956245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2.3092749407020902E-6</v>
          </cell>
          <cell r="F544">
            <v>8.0904597939434101E-4</v>
          </cell>
          <cell r="G544">
            <v>1.4395423462387401E-6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2.3092749407020902E-6</v>
          </cell>
          <cell r="F545">
            <v>8.1135525433504298E-4</v>
          </cell>
          <cell r="G545">
            <v>8.1185375269837495E-4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2.4551906840445219</v>
          </cell>
          <cell r="E546">
            <v>3.3019457514141584</v>
          </cell>
          <cell r="F546">
            <v>2.954149980895652</v>
          </cell>
          <cell r="G546">
            <v>79.527281328087213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3.7549404815726752E-2</v>
          </cell>
          <cell r="E547">
            <v>5.4800744013212631E-2</v>
          </cell>
          <cell r="F547">
            <v>4.6584607616242689E-2</v>
          </cell>
          <cell r="G547">
            <v>0.95895683010433364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3.3268166450467852E-2</v>
          </cell>
          <cell r="E548">
            <v>4.4741812349785366E-2</v>
          </cell>
          <cell r="F548">
            <v>4.0029132532461285E-2</v>
          </cell>
          <cell r="G548">
            <v>1.0776054380499616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4.1779242280525701E-4</v>
          </cell>
          <cell r="F549">
            <v>1.9486679087448E-4</v>
          </cell>
          <cell r="G549">
            <v>0.14775458099164199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5.6678559817761034E-3</v>
          </cell>
          <cell r="E550">
            <v>6.9710203647327263E-3</v>
          </cell>
          <cell r="F550">
            <v>7.0330248249332455E-3</v>
          </cell>
          <cell r="G550">
            <v>0.14570412721530496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E551">
            <v>6.7804813645446303E-3</v>
          </cell>
          <cell r="F551">
            <v>1.2541747036320001E-2</v>
          </cell>
          <cell r="G551">
            <v>8.9348648806070498E-3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E552">
            <v>4.8796746892713081E-6</v>
          </cell>
          <cell r="F552">
            <v>9.2154129577855911E-6</v>
          </cell>
          <cell r="G552">
            <v>6.9339287345815602E-6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E553">
            <v>9.250315640579304E-5</v>
          </cell>
          <cell r="F553">
            <v>1.7110159667557985E-4</v>
          </cell>
          <cell r="G553">
            <v>1.21894473132429E-4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E554">
            <v>1.07452948505751E-7</v>
          </cell>
          <cell r="F554">
            <v>8.3498375499275797E-8</v>
          </cell>
          <cell r="G554">
            <v>7.2266446081064094E-8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E555">
            <v>1.07452948505751E-7</v>
          </cell>
          <cell r="F555">
            <v>1.9095132400502699E-7</v>
          </cell>
          <cell r="G555">
            <v>1.6598040683639E-7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29.0333844883165</v>
          </cell>
          <cell r="E556">
            <v>20.3473344665274</v>
          </cell>
          <cell r="F556">
            <v>8.0269692845840096E-2</v>
          </cell>
          <cell r="G556">
            <v>4.6824571209883703E-2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1.6053813439918054E-3</v>
          </cell>
          <cell r="E557">
            <v>1.1250920872029038E-3</v>
          </cell>
          <cell r="F557">
            <v>4.4384583352492235E-6</v>
          </cell>
          <cell r="G557">
            <v>2.5891329717695529E-6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0.3960898293085478</v>
          </cell>
          <cell r="E558">
            <v>0.2775898290112877</v>
          </cell>
          <cell r="F558">
            <v>1.0950844863006834E-3</v>
          </cell>
          <cell r="G558">
            <v>6.3880724706526237E-4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1.4822260769128899E-4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1.4822260769128899E-4</v>
          </cell>
          <cell r="E560">
            <v>1.4822260769128899E-4</v>
          </cell>
          <cell r="F560">
            <v>5.9615236346898816E-7</v>
          </cell>
          <cell r="G560">
            <v>4.0943611447199829E-7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7.8009782424011664</v>
          </cell>
          <cell r="E561">
            <v>30.41462518939889</v>
          </cell>
          <cell r="F561">
            <v>94.282864208177898</v>
          </cell>
          <cell r="G561">
            <v>114.93341748163985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0.16357238220099399</v>
          </cell>
          <cell r="E562">
            <v>0.91404070867907605</v>
          </cell>
          <cell r="F562">
            <v>2.5129026037133819</v>
          </cell>
          <cell r="G562">
            <v>2.48554682390371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0.10570431222765812</v>
          </cell>
          <cell r="E563">
            <v>0.41212229253928057</v>
          </cell>
          <cell r="F563">
            <v>1.2775455854766673</v>
          </cell>
          <cell r="G563">
            <v>1.5573633805100262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4.0663703237214702E-2</v>
          </cell>
          <cell r="F564">
            <v>0.12641897524555901</v>
          </cell>
          <cell r="G564">
            <v>2.7483318075694999E-2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1.7225874481017284E-2</v>
          </cell>
          <cell r="E565">
            <v>6.9352094739452724E-2</v>
          </cell>
          <cell r="F565">
            <v>0.19070957493610335</v>
          </cell>
          <cell r="G565">
            <v>0.18858783849179794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5.6286490058698101E-6</v>
          </cell>
          <cell r="E566">
            <v>6.0034129735609699E-6</v>
          </cell>
          <cell r="F566">
            <v>7.9702281361392606E-6</v>
          </cell>
          <cell r="G566">
            <v>7.8936934623135704E-6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5.6286490058698101E-6</v>
          </cell>
          <cell r="E567">
            <v>1.16320619794308E-5</v>
          </cell>
          <cell r="F567">
            <v>1.5887376929833492E-5</v>
          </cell>
          <cell r="G567">
            <v>1.7344219932469001E-5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2.3307611319122799E-3</v>
          </cell>
          <cell r="E568">
            <v>17.579049180728301</v>
          </cell>
          <cell r="F568">
            <v>11.745340522435459</v>
          </cell>
          <cell r="G568">
            <v>9.8497345855184371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1.3299048811499463E-5</v>
          </cell>
          <cell r="E569">
            <v>0.40713592961146394</v>
          </cell>
          <cell r="F569">
            <v>0.27165936782621208</v>
          </cell>
          <cell r="G569">
            <v>0.22318314581642359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3.1797559780522216E-5</v>
          </cell>
          <cell r="E570">
            <v>0.23982331760884401</v>
          </cell>
          <cell r="F570">
            <v>0.16023656920102969</v>
          </cell>
          <cell r="G570">
            <v>0.13437564236723637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4.41106440017075E-2</v>
          </cell>
          <cell r="F571">
            <v>2.40957501835708E-4</v>
          </cell>
          <cell r="G571">
            <v>7.9428527285446097E-4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4.3524992341023597E-2</v>
          </cell>
          <cell r="F572">
            <v>4.1271488736022828E-2</v>
          </cell>
          <cell r="G572">
            <v>3.3904895737234986E-2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5.7058974912984155</v>
          </cell>
          <cell r="E573">
            <v>57.835794365301183</v>
          </cell>
          <cell r="F573">
            <v>54.841927572242554</v>
          </cell>
          <cell r="G573">
            <v>43.851436685086675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0.14538945372868847</v>
          </cell>
          <cell r="E574">
            <v>1.9343615280736333</v>
          </cell>
          <cell r="F574">
            <v>1.8308357871423673</v>
          </cell>
          <cell r="G574">
            <v>1.4772142796353389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7.731568416393525E-2</v>
          </cell>
          <cell r="E575">
            <v>0.78368285047833541</v>
          </cell>
          <cell r="F575">
            <v>0.74311554975938465</v>
          </cell>
          <cell r="G575">
            <v>0.59419290901201571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0.108524530658122</v>
          </cell>
          <cell r="F576">
            <v>1.13760711446815E-4</v>
          </cell>
          <cell r="G576">
            <v>6.0681918691216902E-5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1.4248002078796786E-2</v>
          </cell>
          <cell r="E577">
            <v>0.1330140797516132</v>
          </cell>
          <cell r="F577">
            <v>0.12591658653716686</v>
          </cell>
          <cell r="G577">
            <v>0.1015863438435114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0.18623234170531025</v>
          </cell>
          <cell r="E578">
            <v>32.713606044286763</v>
          </cell>
          <cell r="F578">
            <v>91.748889994713721</v>
          </cell>
          <cell r="G578">
            <v>364.89188341048538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3.0135657874110606E-3</v>
          </cell>
          <cell r="E579">
            <v>1.195385427106471</v>
          </cell>
          <cell r="F579">
            <v>2.7500748149881602</v>
          </cell>
          <cell r="G579">
            <v>5.184748009613708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2.5406867899769548E-3</v>
          </cell>
          <cell r="E580">
            <v>0.44629749037226135</v>
          </cell>
          <cell r="F580">
            <v>1.2516901772812239</v>
          </cell>
          <cell r="G580">
            <v>4.9780611652180706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9.13960755392553E-2</v>
          </cell>
          <cell r="F581">
            <v>0.124822300171877</v>
          </cell>
          <cell r="G581">
            <v>0.228295602615327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2.5974201225883987E-4</v>
          </cell>
          <cell r="E582">
            <v>9.069989002951806E-2</v>
          </cell>
          <cell r="F582">
            <v>0.20867179946786663</v>
          </cell>
          <cell r="G582">
            <v>0.3933852408370383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3.9798636794668242E-4</v>
          </cell>
          <cell r="E583">
            <v>1.1260733346375507E-3</v>
          </cell>
          <cell r="F583">
            <v>1.4870582502351027E-3</v>
          </cell>
          <cell r="G583">
            <v>0.14463895577731761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3.9798636794668242E-4</v>
          </cell>
          <cell r="E584">
            <v>1.1260733346375507E-3</v>
          </cell>
          <cell r="F584">
            <v>1.4870582502351027E-3</v>
          </cell>
          <cell r="G584">
            <v>0.14463895577731761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7.6619108294179403E-5</v>
          </cell>
          <cell r="E585">
            <v>6.6317373399442899E-5</v>
          </cell>
          <cell r="F585">
            <v>6.0181583501681101E-5</v>
          </cell>
          <cell r="G585">
            <v>1.8187228234529999E-2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7.6619108294179403E-5</v>
          </cell>
          <cell r="E586">
            <v>1.42936481693622E-4</v>
          </cell>
          <cell r="F586">
            <v>2.03118065195303E-4</v>
          </cell>
          <cell r="G586">
            <v>1.83610023956059E-2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4.8713540693463839</v>
          </cell>
          <cell r="E587">
            <v>10.152971878294961</v>
          </cell>
          <cell r="F587">
            <v>9.804871540760951</v>
          </cell>
          <cell r="G587">
            <v>8.1970172770572329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7.4146232739480553E-2</v>
          </cell>
          <cell r="E588">
            <v>0.18333661517182182</v>
          </cell>
          <cell r="F588">
            <v>0.17643214709223318</v>
          </cell>
          <cell r="G588">
            <v>0.1483803005305106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6.6007507714720637E-2</v>
          </cell>
          <cell r="E589">
            <v>0.13757414469234394</v>
          </cell>
          <cell r="F589">
            <v>0.13285733795069049</v>
          </cell>
          <cell r="G589">
            <v>0.11107069481107387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3.7886494056988101E-4</v>
          </cell>
          <cell r="F590">
            <v>8.9749420657448E-5</v>
          </cell>
          <cell r="G590">
            <v>6.6842354081106796E-5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8.3194523982251384E-3</v>
          </cell>
          <cell r="E591">
            <v>1.4452535884664622E-2</v>
          </cell>
          <cell r="F591">
            <v>1.3942285164916994E-2</v>
          </cell>
          <cell r="G591">
            <v>1.1716088629292144E-2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1.9911742756624176</v>
          </cell>
          <cell r="E592">
            <v>3.4108177075755579</v>
          </cell>
          <cell r="F592">
            <v>3.3125177000052908</v>
          </cell>
          <cell r="G592">
            <v>2.5870404431945411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2.4969442653391787E-2</v>
          </cell>
          <cell r="E593">
            <v>5.5897349221596865E-2</v>
          </cell>
          <cell r="F593">
            <v>5.413613963227306E-2</v>
          </cell>
          <cell r="G593">
            <v>4.4052981882148408E-2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2.7164724088163974E-2</v>
          </cell>
          <cell r="E594">
            <v>4.6532301604032184E-2</v>
          </cell>
          <cell r="F594">
            <v>4.5191237380699814E-2</v>
          </cell>
          <cell r="G594">
            <v>3.5293866892149327E-2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1.82212888297091E-4</v>
          </cell>
          <cell r="F595">
            <v>8.0744187706948805E-5</v>
          </cell>
          <cell r="G595">
            <v>6.2780825111830794E-5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1.8562105366881499E-3</v>
          </cell>
          <cell r="E596">
            <v>3.8540527174857238E-3</v>
          </cell>
          <cell r="F596">
            <v>3.7471518421003051E-3</v>
          </cell>
          <cell r="G596">
            <v>3.0422741156985412E-3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1.3343627180296041E-3</v>
          </cell>
          <cell r="E597">
            <v>1.7328060932147065E-3</v>
          </cell>
          <cell r="F597">
            <v>2.2151909292115711E-3</v>
          </cell>
          <cell r="G597">
            <v>0.13550997052156641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1.3343627180296041E-3</v>
          </cell>
          <cell r="E598">
            <v>1.7328060932147065E-3</v>
          </cell>
          <cell r="F598">
            <v>2.2151909292115711E-3</v>
          </cell>
          <cell r="G598">
            <v>0.13550997052156641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1.6312822023218E-4</v>
          </cell>
          <cell r="E599">
            <v>4.4908300191656097E-5</v>
          </cell>
          <cell r="F599">
            <v>5.9284696387257603E-5</v>
          </cell>
          <cell r="G599">
            <v>1.69834612800728E-2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1.6312822023218E-4</v>
          </cell>
          <cell r="E600">
            <v>2.0803652042383601E-4</v>
          </cell>
          <cell r="F600">
            <v>2.6732121681109398E-4</v>
          </cell>
          <cell r="G600">
            <v>1.72010645217184E-2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2.5947230396032408</v>
          </cell>
          <cell r="E601">
            <v>5.3797954027611175</v>
          </cell>
          <cell r="F601">
            <v>5.1462516455088059</v>
          </cell>
          <cell r="G601">
            <v>4.307618749822125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4.760196455977727E-2</v>
          </cell>
          <cell r="E602">
            <v>0.11606015159099023</v>
          </cell>
          <cell r="F602">
            <v>0.11142293171459201</v>
          </cell>
          <cell r="G602">
            <v>9.4178217957106375E-2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3.5398677211504012E-2</v>
          </cell>
          <cell r="E603">
            <v>7.3394207404653633E-2</v>
          </cell>
          <cell r="F603">
            <v>7.0208071562193761E-2</v>
          </cell>
          <cell r="G603">
            <v>5.8766967937546093E-2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3.8636264399096397E-4</v>
          </cell>
          <cell r="F604">
            <v>8.9867945697497497E-5</v>
          </cell>
          <cell r="G604">
            <v>6.67798076968912E-5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3.7729168984078376E-3</v>
          </cell>
          <cell r="E605">
            <v>9.1509583890094972E-3</v>
          </cell>
          <cell r="F605">
            <v>8.8097489073632046E-3</v>
          </cell>
          <cell r="G605">
            <v>7.4374722470314323E-3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5.6667464433671883E-4</v>
          </cell>
          <cell r="E606">
            <v>1.150155376662949E-3</v>
          </cell>
          <cell r="F606">
            <v>1.3602558626956336E-3</v>
          </cell>
          <cell r="G606">
            <v>1.6114015700722521E-3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5.6667464433671883E-4</v>
          </cell>
          <cell r="E607">
            <v>1.150155376662949E-3</v>
          </cell>
          <cell r="F607">
            <v>1.3602558626956336E-3</v>
          </cell>
          <cell r="G607">
            <v>1.6114015700722521E-3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8.9004827229636506E-5</v>
          </cell>
          <cell r="E608">
            <v>4.8749656298399202E-5</v>
          </cell>
          <cell r="F608">
            <v>2.9116081381457299E-5</v>
          </cell>
          <cell r="G608">
            <v>9.6117498456661798E-5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8.9004827229636506E-5</v>
          </cell>
          <cell r="E609">
            <v>1.3775448352803599E-4</v>
          </cell>
          <cell r="F609">
            <v>1.66870564909493E-4</v>
          </cell>
          <cell r="G609">
            <v>1.94152766232768E-4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5.5338932127548529E-6</v>
          </cell>
          <cell r="E610">
            <v>1.4704920951822708E-4</v>
          </cell>
          <cell r="F610">
            <v>2.5325633628422322E-4</v>
          </cell>
          <cell r="G610">
            <v>4.9109230635989551E-4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5.5338932127548529E-6</v>
          </cell>
          <cell r="E611">
            <v>1.4704920951822708E-4</v>
          </cell>
          <cell r="F611">
            <v>2.5325633628422322E-4</v>
          </cell>
          <cell r="G611">
            <v>4.9109230635989551E-4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1.83773664675081E-5</v>
          </cell>
          <cell r="E612">
            <v>1.54177261007715E-5</v>
          </cell>
          <cell r="F612">
            <v>1.6325137665370199E-5</v>
          </cell>
          <cell r="G612">
            <v>4.4297776117950397E-5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1.83773664675081E-5</v>
          </cell>
          <cell r="E613">
            <v>3.3795092568279597E-5</v>
          </cell>
          <cell r="F613">
            <v>5.01202302336498E-5</v>
          </cell>
          <cell r="G613">
            <v>6.3746796259236493E-5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3.651259346000539E-3</v>
          </cell>
          <cell r="E614">
            <v>3.9735931290795874E-3</v>
          </cell>
          <cell r="F614">
            <v>3.9428098136077526E-3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3.651259346000539E-3</v>
          </cell>
          <cell r="E615">
            <v>3.9735931290795874E-3</v>
          </cell>
          <cell r="F615">
            <v>3.9428098136077526E-3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7.4084216980254097E-4</v>
          </cell>
          <cell r="E616">
            <v>2.9174722731534101E-6</v>
          </cell>
          <cell r="F616">
            <v>2.2873881388079899E-7</v>
          </cell>
          <cell r="G616">
            <v>1.1725870262113399E-7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7.4084216980254097E-4</v>
          </cell>
          <cell r="E617">
            <v>7.4375964207569402E-4</v>
          </cell>
          <cell r="F617">
            <v>7.4398838088957499E-4</v>
          </cell>
          <cell r="G617">
            <v>7.4410563959219605E-4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64.9385835634708</v>
          </cell>
          <cell r="F618">
            <v>304.82287396918611</v>
          </cell>
          <cell r="G618">
            <v>819.17645863769826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0.14481999774546855</v>
          </cell>
          <cell r="F619">
            <v>0.6797876624124104</v>
          </cell>
          <cell r="G619">
            <v>1.8268512551879217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0.8859288344266143</v>
          </cell>
          <cell r="F620">
            <v>4.1585658113122257</v>
          </cell>
          <cell r="G620">
            <v>11.175667921387427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2.72456420917239E-3</v>
          </cell>
          <cell r="F621">
            <v>1.0064921954831101E-2</v>
          </cell>
          <cell r="G621">
            <v>2.6176567454276899E-2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2.72456420917239E-3</v>
          </cell>
          <cell r="F622">
            <v>1.2789486164003499E-2</v>
          </cell>
          <cell r="G622">
            <v>3.4368105038157785E-2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80.579805490417797</v>
          </cell>
          <cell r="E623">
            <v>102.29888314397201</v>
          </cell>
          <cell r="F623">
            <v>134.57676380778099</v>
          </cell>
          <cell r="G623">
            <v>174.59830304083499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1.0905988493107499</v>
          </cell>
          <cell r="E624">
            <v>1.3845534071915599</v>
          </cell>
          <cell r="F624">
            <v>1.82141496693218</v>
          </cell>
          <cell r="G624">
            <v>2.3630822540343401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1.1068654600332086</v>
          </cell>
          <cell r="E625">
            <v>1.4052044387908236</v>
          </cell>
          <cell r="F625">
            <v>1.8485819204365332</v>
          </cell>
          <cell r="G625">
            <v>2.3983283384729965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2.360015053953575E-7</v>
          </cell>
          <cell r="E626">
            <v>9.6058253440471522E-4</v>
          </cell>
          <cell r="F626">
            <v>1.5794818592743496E-3</v>
          </cell>
          <cell r="G626">
            <v>0.10970839317868122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6.2319971625922379E-7</v>
          </cell>
          <cell r="E627">
            <v>2.4478321930467405E-3</v>
          </cell>
          <cell r="F627">
            <v>3.9445677703388634E-3</v>
          </cell>
          <cell r="G627">
            <v>0.24530871795727008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1.8374353215850198E-5</v>
          </cell>
          <cell r="F628">
            <v>1.2396239554894199E-5</v>
          </cell>
          <cell r="G628">
            <v>2.5418263091561101E-3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1.8415844073796754E-5</v>
          </cell>
          <cell r="F629">
            <v>3.0676442485508543E-5</v>
          </cell>
          <cell r="G629">
            <v>2.5491078283300015E-3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4.0446082325551502E-4</v>
          </cell>
          <cell r="E634">
            <v>7.465419928982637E-4</v>
          </cell>
          <cell r="F634">
            <v>1.2333554013583133E-3</v>
          </cell>
          <cell r="G634">
            <v>3.9538311626230775E-2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1.4698008107330567E-3</v>
          </cell>
          <cell r="E635">
            <v>2.6808003647336653E-3</v>
          </cell>
          <cell r="F635">
            <v>4.3046036238744388E-3</v>
          </cell>
          <cell r="G635">
            <v>0.12219395266393593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3.4997625174644398E-6</v>
          </cell>
          <cell r="F636">
            <v>9.3711290389936294E-6</v>
          </cell>
          <cell r="G636">
            <v>7.3005328433916998E-4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7.9059723815031552E-6</v>
          </cell>
          <cell r="E637">
            <v>1.4370367299461639E-5</v>
          </cell>
          <cell r="F637">
            <v>2.3729783652590007E-5</v>
          </cell>
          <cell r="G637">
            <v>7.462154924000611E-4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386.73418696354747</v>
          </cell>
          <cell r="E638">
            <v>452.63107765329164</v>
          </cell>
          <cell r="F638">
            <v>352.63764330131926</v>
          </cell>
          <cell r="G638">
            <v>32.418732668455569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0.62628522984962876</v>
          </cell>
          <cell r="E639">
            <v>0.7329999986060094</v>
          </cell>
          <cell r="F639">
            <v>0.57106859164073709</v>
          </cell>
          <cell r="G639">
            <v>5.2499556866461121E-2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5.2760462068696787</v>
          </cell>
          <cell r="E640">
            <v>6.1750488083668591</v>
          </cell>
          <cell r="F640">
            <v>4.8108819004272751</v>
          </cell>
          <cell r="G640">
            <v>0.44227466123404618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3.2071884329013201E-6</v>
          </cell>
          <cell r="F641">
            <v>4.7400125143376398E-6</v>
          </cell>
          <cell r="G641">
            <v>4.8454240429486803E-6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1.1788930306794506E-2</v>
          </cell>
          <cell r="E642">
            <v>1.3791007059635966E-2</v>
          </cell>
          <cell r="F642">
            <v>1.0748452382851098E-2</v>
          </cell>
          <cell r="G642">
            <v>9.8916086452555748E-4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1.1109750767156849E-5</v>
          </cell>
          <cell r="E643">
            <v>2.4567123780979776E-3</v>
          </cell>
          <cell r="F643">
            <v>3.9556291424663378E-3</v>
          </cell>
          <cell r="G643">
            <v>0.24554639314316684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1.1109750767156849E-5</v>
          </cell>
          <cell r="E644">
            <v>2.4567123780979776E-3</v>
          </cell>
          <cell r="F644">
            <v>3.9556291424663378E-3</v>
          </cell>
          <cell r="G644">
            <v>0.24554639314316684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2.7789453488478701E-4</v>
          </cell>
          <cell r="E645">
            <v>2.8825324033963001E-4</v>
          </cell>
          <cell r="F645">
            <v>6.5792026528133497E-4</v>
          </cell>
          <cell r="G645">
            <v>2.48486879703065E-2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2.7789453488478701E-4</v>
          </cell>
          <cell r="E646">
            <v>5.6614777522441702E-4</v>
          </cell>
          <cell r="F646">
            <v>1.22406804050575E-3</v>
          </cell>
          <cell r="G646">
            <v>2.5960003768994998E-2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1.2743927511234001E-3</v>
          </cell>
          <cell r="E647">
            <v>8.2664489052908213E-2</v>
          </cell>
          <cell r="F647">
            <v>0.1482497886148153</v>
          </cell>
          <cell r="G647">
            <v>0.16260662896230604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1.266405100459898E-5</v>
          </cell>
          <cell r="E648">
            <v>8.2146363804432205E-4</v>
          </cell>
          <cell r="F648">
            <v>1.4732058721960172E-3</v>
          </cell>
          <cell r="G648">
            <v>1.6158744163047569E-3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1.7385985690633072E-5</v>
          </cell>
          <cell r="E649">
            <v>1.1277556487436335E-3</v>
          </cell>
          <cell r="F649">
            <v>2.0225073480875208E-3</v>
          </cell>
          <cell r="G649">
            <v>2.2183714728827566E-3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1.0838906266710043E-3</v>
          </cell>
          <cell r="E650">
            <v>2.13434975647655E-3</v>
          </cell>
          <cell r="F650">
            <v>2.4789486846715368E-3</v>
          </cell>
          <cell r="G650">
            <v>0.13023753137439809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5.9238575442139224E-3</v>
          </cell>
          <cell r="E651">
            <v>1.1576208681291195E-2</v>
          </cell>
          <cell r="F651">
            <v>1.330510831824463E-2</v>
          </cell>
          <cell r="G651">
            <v>0.60375314834115779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2.3376497474851301E-6</v>
          </cell>
          <cell r="F652">
            <v>6.4872100022015701E-6</v>
          </cell>
          <cell r="G652">
            <v>2.4323744731620401E-3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2.5233436918153411E-5</v>
          </cell>
          <cell r="E653">
            <v>4.0488534578401249E-5</v>
          </cell>
          <cell r="F653">
            <v>4.6990842988103051E-5</v>
          </cell>
          <cell r="G653">
            <v>2.456163153671568E-3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1.4547752103120123E-3</v>
          </cell>
          <cell r="E654">
            <v>2.6800360492706173E-3</v>
          </cell>
          <cell r="F654">
            <v>4.3054518488717334E-3</v>
          </cell>
          <cell r="G654">
            <v>0.1223943872468419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1.4547752103120123E-3</v>
          </cell>
          <cell r="E655">
            <v>2.6800360492706173E-3</v>
          </cell>
          <cell r="F655">
            <v>4.3054518488717334E-3</v>
          </cell>
          <cell r="G655">
            <v>0.1223943872468419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2.6260090846975102E-4</v>
          </cell>
          <cell r="E656">
            <v>2.4983537611325801E-4</v>
          </cell>
          <cell r="F656">
            <v>5.29623849536069E-4</v>
          </cell>
          <cell r="G656">
            <v>1.2019886905714001E-2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2.6260090846975102E-4</v>
          </cell>
          <cell r="E657">
            <v>5.1243628458300897E-4</v>
          </cell>
          <cell r="F657">
            <v>1.04206013411908E-3</v>
          </cell>
          <cell r="G657">
            <v>1.2958388318979599E-2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7.7492989848067305E-4</v>
          </cell>
          <cell r="E658">
            <v>0.1187432210247292</v>
          </cell>
          <cell r="F658">
            <v>0.31440375445062796</v>
          </cell>
          <cell r="G658">
            <v>0.45707691194318145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6.2958990124595479E-6</v>
          </cell>
          <cell r="E659">
            <v>9.6472639583476292E-4</v>
          </cell>
          <cell r="F659">
            <v>2.5543656155740083E-3</v>
          </cell>
          <cell r="G659">
            <v>3.7135101951327105E-3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1.0572031357171527E-5</v>
          </cell>
          <cell r="E660">
            <v>1.6199620876497852E-3</v>
          </cell>
          <cell r="F660">
            <v>4.2892735941422733E-3</v>
          </cell>
          <cell r="G660">
            <v>6.2357013907664649E-3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3.502448829889439E-5</v>
          </cell>
          <cell r="E661">
            <v>6.8322044612628086E-5</v>
          </cell>
          <cell r="F661">
            <v>8.8003799386200318E-5</v>
          </cell>
          <cell r="G661">
            <v>3.7710306412568146E-5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2.8711631348459665E-4</v>
          </cell>
          <cell r="E662">
            <v>5.5012404359392657E-4</v>
          </cell>
          <cell r="F662">
            <v>6.9417131703947144E-4</v>
          </cell>
          <cell r="G662">
            <v>2.7540667667796324E-4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5.5116381953174595E-7</v>
          </cell>
          <cell r="F663">
            <v>4.6446386224773501E-7</v>
          </cell>
          <cell r="G663">
            <v>5.1331519055532895E-7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4.2334739803094299E-7</v>
          </cell>
          <cell r="E664">
            <v>1.1320358307835049E-6</v>
          </cell>
          <cell r="F664">
            <v>1.4976578267203344E-6</v>
          </cell>
          <cell r="G664">
            <v>8.2688769811083376E-7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2.9733799689155629</v>
          </cell>
          <cell r="E665">
            <v>2.9709446033358082</v>
          </cell>
          <cell r="F665">
            <v>3.1183339168657573</v>
          </cell>
          <cell r="G665">
            <v>2.783896791082324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2.4842702656880998E-3</v>
          </cell>
          <cell r="E666">
            <v>1.4769009814737101E-5</v>
          </cell>
          <cell r="F666">
            <v>3.7230011209845102E-4</v>
          </cell>
          <cell r="G666">
            <v>0.18741064867018001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3.0202504542556308</v>
          </cell>
          <cell r="E667">
            <v>3.0152678892414619</v>
          </cell>
          <cell r="F667">
            <v>3.1652226606925562</v>
          </cell>
          <cell r="G667">
            <v>3.0156243516423893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5.8716064577789932E-3</v>
          </cell>
          <cell r="E668">
            <v>1.155651921363051E-2</v>
          </cell>
          <cell r="F668">
            <v>1.3284268000544058E-2</v>
          </cell>
          <cell r="G668">
            <v>0.60388160367118249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5.8716064577789932E-3</v>
          </cell>
          <cell r="E669">
            <v>1.155651921363051E-2</v>
          </cell>
          <cell r="F669">
            <v>1.3284268000544058E-2</v>
          </cell>
          <cell r="G669">
            <v>0.60388160367118249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6.53983814557604E-4</v>
          </cell>
          <cell r="E670">
            <v>6.3491860978458995E-4</v>
          </cell>
          <cell r="F670">
            <v>3.0991445983836102E-4</v>
          </cell>
          <cell r="G670">
            <v>6.2851647565818E-2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6.53983814557604E-4</v>
          </cell>
          <cell r="E671">
            <v>1.28890242434219E-3</v>
          </cell>
          <cell r="F671">
            <v>1.59881688418056E-3</v>
          </cell>
          <cell r="G671">
            <v>6.3831916220960794E-2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7.6661235680157902E-3</v>
          </cell>
          <cell r="E672">
            <v>1.3694462651152381</v>
          </cell>
          <cell r="F672">
            <v>105.03236613086909</v>
          </cell>
          <cell r="G672">
            <v>365.04521720839432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5.7896795301247204E-5</v>
          </cell>
          <cell r="E673">
            <v>1.0342456573258191E-2</v>
          </cell>
          <cell r="F673">
            <v>0.79323498348703414</v>
          </cell>
          <cell r="G673">
            <v>2.7569276739279154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1.0458558755819645E-4</v>
          </cell>
          <cell r="E674">
            <v>1.8682759414941859E-2</v>
          </cell>
          <cell r="F674">
            <v>1.4329108612669703</v>
          </cell>
          <cell r="G674">
            <v>4.9801530314924269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2.2981077528469286E-4</v>
          </cell>
          <cell r="E675">
            <v>5.1609950248909461E-4</v>
          </cell>
          <cell r="F675">
            <v>6.6237191981324893E-4</v>
          </cell>
          <cell r="G675">
            <v>5.0720631406951937E-4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2.2981077528469286E-4</v>
          </cell>
          <cell r="E676">
            <v>5.1609950248909461E-4</v>
          </cell>
          <cell r="F676">
            <v>6.6237191981324893E-4</v>
          </cell>
          <cell r="G676">
            <v>5.0720631406951937E-4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1.57350278681678E-4</v>
          </cell>
          <cell r="E677">
            <v>1.2195962640439E-4</v>
          </cell>
          <cell r="F677">
            <v>8.7430194885878195E-5</v>
          </cell>
          <cell r="G677">
            <v>1.0759560637717E-4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1.57350278681678E-4</v>
          </cell>
          <cell r="E678">
            <v>2.7930990508606799E-4</v>
          </cell>
          <cell r="F678">
            <v>3.6674009997194598E-4</v>
          </cell>
          <cell r="G678">
            <v>2.3276763293019899E-4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6.27608826533202E-5</v>
          </cell>
          <cell r="F679">
            <v>8.8237609988902057E-5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5.7233830755325852E-5</v>
          </cell>
          <cell r="F680">
            <v>8.0466944103631141E-5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7.8199410126390495E-6</v>
          </cell>
          <cell r="F681">
            <v>4.0633866790141399E-6</v>
          </cell>
          <cell r="G681">
            <v>6.3632508021608104E-7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7.7158329577680995E-6</v>
          </cell>
          <cell r="F682">
            <v>1.12834790444831E-5</v>
          </cell>
          <cell r="G682">
            <v>4.9260222967300809E-6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8.2986774951525195</v>
          </cell>
          <cell r="E683">
            <v>22.571514950459388</v>
          </cell>
          <cell r="F683">
            <v>27.415791806331338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1.4029538969084536E-2</v>
          </cell>
          <cell r="E684">
            <v>3.9011118356651046E-2</v>
          </cell>
          <cell r="F684">
            <v>4.796233513807005E-2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0.11321524550003428</v>
          </cell>
          <cell r="E685">
            <v>0.30793335539507949</v>
          </cell>
          <cell r="F685">
            <v>0.37402171632102743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4.9142291096792104E-4</v>
          </cell>
          <cell r="F686">
            <v>1.95686786828947E-4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8.5068185110466954E-4</v>
          </cell>
          <cell r="F687">
            <v>1.0463502457860917E-3</v>
          </cell>
          <cell r="G687">
            <v>-2.6072833929835157E-9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0.43194105747631301</v>
          </cell>
          <cell r="E688">
            <v>1.64390268824594</v>
          </cell>
          <cell r="F688">
            <v>2.24727920886937</v>
          </cell>
          <cell r="G688">
            <v>1.8068001390509782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3.1054880995788343E-3</v>
          </cell>
          <cell r="E689">
            <v>1.1819020551185692E-2</v>
          </cell>
          <cell r="F689">
            <v>1.6157062911199359E-2</v>
          </cell>
          <cell r="G689">
            <v>1.2990189825721523E-2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5.8927838673439696E-3</v>
          </cell>
          <cell r="E690">
            <v>2.2427048952877775E-2</v>
          </cell>
          <cell r="F690">
            <v>3.0658652235598487E-2</v>
          </cell>
          <cell r="G690">
            <v>2.4649387981595886E-2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7.574787388374101E-5</v>
          </cell>
          <cell r="E691">
            <v>1.2217626601666138E-4</v>
          </cell>
          <cell r="F691">
            <v>1.4507745152206645E-4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8.4967225901429102E-5</v>
          </cell>
          <cell r="E692">
            <v>1.3704646562573669E-4</v>
          </cell>
          <cell r="F692">
            <v>1.6273497808794556E-4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3.8887242699221804E-6</v>
          </cell>
          <cell r="F693">
            <v>2.2366260580955002E-6</v>
          </cell>
          <cell r="G693">
            <v>3.98861359047105E-7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6.33333333333333E-6</v>
          </cell>
          <cell r="E694">
            <v>1.017028643017164E-5</v>
          </cell>
          <cell r="F694">
            <v>1.215751380827414E-5</v>
          </cell>
          <cell r="G694">
            <v>-5.9222662384827187E-7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38.049254121891302</v>
          </cell>
          <cell r="E695">
            <v>28.963634506624942</v>
          </cell>
          <cell r="F695">
            <v>31.207706648213062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4.5402595658550308E-2</v>
          </cell>
          <cell r="E696">
            <v>3.4698244129038339E-2</v>
          </cell>
          <cell r="F696">
            <v>3.7385286002256164E-2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0.51908941503262362</v>
          </cell>
          <cell r="E697">
            <v>0.39513826066336838</v>
          </cell>
          <cell r="F697">
            <v>0.42575316027575816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1.4850794627529799E-6</v>
          </cell>
          <cell r="F698">
            <v>1.8444233438272801E-6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8.1145206579643302E-4</v>
          </cell>
          <cell r="F699">
            <v>8.1334574072688829E-4</v>
          </cell>
          <cell r="G699">
            <v>-7.4567087069874957E-9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3.4660439532505102E-5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3.4660439532505102E-5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5.5802649349386294E-2</v>
          </cell>
          <cell r="E704">
            <v>5.6328779940567668E-2</v>
          </cell>
          <cell r="F704">
            <v>5.6429065979461762E-2</v>
          </cell>
          <cell r="G704">
            <v>4.2927847253013116E-2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5.5802649349386294E-2</v>
          </cell>
          <cell r="E705">
            <v>5.6328779940567668E-2</v>
          </cell>
          <cell r="F705">
            <v>5.6429065979461762E-2</v>
          </cell>
          <cell r="G705">
            <v>4.2927847253013116E-2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5.9082381437495597E-3</v>
          </cell>
          <cell r="E706">
            <v>5.1122626733180398E-5</v>
          </cell>
          <cell r="F706">
            <v>1.08945964967358E-5</v>
          </cell>
          <cell r="G706">
            <v>1.60522210317694E-4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5.9082381437495597E-3</v>
          </cell>
          <cell r="E707">
            <v>5.9593607704827396E-3</v>
          </cell>
          <cell r="F707">
            <v>5.9702553669794796E-3</v>
          </cell>
          <cell r="G707">
            <v>4.5388046022445602E-3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6.4917024213862753E-4</v>
          </cell>
          <cell r="E708">
            <v>1.5205468655035343E-3</v>
          </cell>
          <cell r="F708">
            <v>1.4470524072983145E-3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7.8212804185948278E-4</v>
          </cell>
          <cell r="E709">
            <v>1.8319729791586665E-3</v>
          </cell>
          <cell r="F709">
            <v>1.7434259803094842E-3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3.15127208930924E-6</v>
          </cell>
          <cell r="F710">
            <v>1.71530321473997E-6</v>
          </cell>
          <cell r="G710">
            <v>2.8761035184805401E-7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5.3619480963606388E-5</v>
          </cell>
          <cell r="E711">
            <v>1.1113146502007605E-4</v>
          </cell>
          <cell r="F711">
            <v>1.0749413171959528E-4</v>
          </cell>
          <cell r="G711">
            <v>-6.4612911484769955E-7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11.396329694566329</v>
          </cell>
          <cell r="E712">
            <v>9.1846977947326938</v>
          </cell>
          <cell r="F712">
            <v>9.373034582315201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9.0097125044912314E-3</v>
          </cell>
          <cell r="E713">
            <v>7.2910045619349433E-3</v>
          </cell>
          <cell r="F713">
            <v>7.4422583403372889E-3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0.15547516636516148</v>
          </cell>
          <cell r="E714">
            <v>0.12530283485310656</v>
          </cell>
          <cell r="F714">
            <v>0.1278722316823358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6.2419031536793302E-7</v>
          </cell>
          <cell r="F715">
            <v>5.4826160135485995E-7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1.9721969843660109E-4</v>
          </cell>
          <cell r="E716">
            <v>1.616760588292624E-4</v>
          </cell>
          <cell r="F716">
            <v>1.6223133418086911E-4</v>
          </cell>
          <cell r="G716">
            <v>-7.7251429402843763E-9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2.0255664523640401E-5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2.0255664523640401E-5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4.5515180257297926E-4</v>
          </cell>
          <cell r="E721">
            <v>5.4017077376381992E-4</v>
          </cell>
          <cell r="F721">
            <v>6.1354246408227284E-4</v>
          </cell>
          <cell r="G721">
            <v>4.0036496604602513E-3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4.5515180257297926E-4</v>
          </cell>
          <cell r="E722">
            <v>5.4017077376381992E-4</v>
          </cell>
          <cell r="F722">
            <v>6.1354246408227284E-4</v>
          </cell>
          <cell r="G722">
            <v>4.0036496604602513E-3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2.12473264511474E-4</v>
          </cell>
          <cell r="E723">
            <v>1.32879927125787E-6</v>
          </cell>
          <cell r="F723">
            <v>6.8904007751505001E-6</v>
          </cell>
          <cell r="G723">
            <v>2.0472085618632299E-4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2.12473264511474E-4</v>
          </cell>
          <cell r="E724">
            <v>2.13802063782732E-4</v>
          </cell>
          <cell r="F724">
            <v>2.20692464557882E-4</v>
          </cell>
          <cell r="G724">
            <v>4.2541332074420499E-4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4.8977922591549458E-5</v>
          </cell>
          <cell r="F725">
            <v>6.9565132309691512E-5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5.853332234359791E-5</v>
          </cell>
          <cell r="F726">
            <v>8.3137015575682305E-5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4.3186588756839002E-6</v>
          </cell>
          <cell r="F727">
            <v>2.1729975715359499E-6</v>
          </cell>
          <cell r="G727">
            <v>3.4217737358049398E-7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4.2611639183086501E-6</v>
          </cell>
          <cell r="F728">
            <v>6.16132863701055E-6</v>
          </cell>
          <cell r="G728">
            <v>-1.8435793619189973E-7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1.0668628479556581</v>
          </cell>
          <cell r="E729">
            <v>7.8764647632087278E-2</v>
          </cell>
          <cell r="F729">
            <v>8.6778969299157654E-2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5.6248970255130945E-4</v>
          </cell>
          <cell r="E730">
            <v>4.1862540779609251E-5</v>
          </cell>
          <cell r="F730">
            <v>4.6466247877181365E-5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1.455474553827636E-2</v>
          </cell>
          <cell r="E731">
            <v>1.0745518094418479E-3</v>
          </cell>
          <cell r="F731">
            <v>1.1838877121303883E-3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E732">
            <v>1.36671447345233E-7</v>
          </cell>
          <cell r="F732">
            <v>1.11275644658706E-7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D733">
            <v>1.3393286378155902E-5</v>
          </cell>
          <cell r="E733">
            <v>1.0749420596325361E-6</v>
          </cell>
          <cell r="F733">
            <v>1.145993468577935E-6</v>
          </cell>
          <cell r="G733">
            <v>-4.6615095273023201E-9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D734">
            <v>9.9171771606368191E-3</v>
          </cell>
          <cell r="E734">
            <v>2.5809519838367892E-2</v>
          </cell>
          <cell r="F734">
            <v>2.6249634466271123E-2</v>
          </cell>
          <cell r="G734">
            <v>1.0079874933233809E-2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D735">
            <v>9.9171771606368191E-3</v>
          </cell>
          <cell r="E735">
            <v>2.5809519838367892E-2</v>
          </cell>
          <cell r="F735">
            <v>2.6249634466271123E-2</v>
          </cell>
          <cell r="G735">
            <v>1.0079874933233809E-2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D736">
            <v>1.4744652521714E-3</v>
          </cell>
          <cell r="E736">
            <v>1.89919511552643E-3</v>
          </cell>
          <cell r="F736">
            <v>2.2269669166663099E-4</v>
          </cell>
          <cell r="G736">
            <v>3.6534339150018998E-4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D737">
            <v>1.4744652521714E-3</v>
          </cell>
          <cell r="E737">
            <v>3.3736603676978402E-3</v>
          </cell>
          <cell r="F737">
            <v>3.59635705936447E-3</v>
          </cell>
          <cell r="G737">
            <v>1.3313680471416301E-3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G740">
            <v>1.8935710428524999E-5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G741">
            <v>1.8935710428524999E-5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D742">
            <v>1.6005552904866245E-4</v>
          </cell>
          <cell r="E742">
            <v>2.4379854391323358E-4</v>
          </cell>
          <cell r="F742">
            <v>3.1189470751833559E-4</v>
          </cell>
          <cell r="G742">
            <v>4.2877317114896939E-3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D743">
            <v>1.6005552904866245E-4</v>
          </cell>
          <cell r="E743">
            <v>2.4379854391323358E-4</v>
          </cell>
          <cell r="F743">
            <v>3.1189470751833559E-4</v>
          </cell>
          <cell r="G743">
            <v>4.2877317114896939E-3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D744">
            <v>2.3103614269644399E-4</v>
          </cell>
          <cell r="E744">
            <v>1.53196853178104E-6</v>
          </cell>
          <cell r="F744">
            <v>8.0783427413875508E-6</v>
          </cell>
          <cell r="G744">
            <v>2.15480188473083E-4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D745">
            <v>2.3103614269644399E-4</v>
          </cell>
          <cell r="E745">
            <v>2.3256811122822501E-4</v>
          </cell>
          <cell r="F745">
            <v>2.40646453969613E-4</v>
          </cell>
          <cell r="G745">
            <v>4.56126642442696E-4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G748">
            <v>9.5116957643236397E-6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G749">
            <v>9.5116957643236397E-6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D750">
            <v>1.7886982170978858E-4</v>
          </cell>
          <cell r="E750">
            <v>2.4874806845538467E-4</v>
          </cell>
          <cell r="F750">
            <v>3.3160768637228197E-4</v>
          </cell>
          <cell r="G750">
            <v>4.3048591755884529E-3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D751">
            <v>1.7886982170978858E-4</v>
          </cell>
          <cell r="E751">
            <v>2.4874806845538467E-4</v>
          </cell>
          <cell r="F751">
            <v>3.3160768637228197E-4</v>
          </cell>
          <cell r="G751">
            <v>4.3048591755884529E-3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D752">
            <v>2.6335930037533697E-4</v>
          </cell>
          <cell r="E752">
            <v>1.6494702880489101E-6</v>
          </cell>
          <cell r="F752">
            <v>4.0071222293865903E-6</v>
          </cell>
          <cell r="G752">
            <v>1.8914712630093799E-4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D753">
            <v>2.6335930037533697E-4</v>
          </cell>
          <cell r="E753">
            <v>2.65008770663385E-4</v>
          </cell>
          <cell r="F753">
            <v>2.6901589289277198E-4</v>
          </cell>
          <cell r="G753">
            <v>4.5816301919370997E-4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E754">
            <v>6.5332128507293204E-3</v>
          </cell>
          <cell r="F754">
            <v>7.3111162214886199E-2</v>
          </cell>
          <cell r="G754">
            <v>1.4743063953354888E-4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E755">
            <v>1.3927966474477636E-5</v>
          </cell>
          <cell r="F755">
            <v>1.6348896543197966E-4</v>
          </cell>
          <cell r="G755">
            <v>3.5395143820137773E-7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E756">
            <v>1.1583710728243469E-4</v>
          </cell>
          <cell r="F756">
            <v>1.2962972023916001E-3</v>
          </cell>
          <cell r="G756">
            <v>2.6140184314458954E-6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E757">
            <v>3.46780185421134E-7</v>
          </cell>
          <cell r="F757">
            <v>2.9031305746203199E-6</v>
          </cell>
          <cell r="G757">
            <v>1.89499032043563E-8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E758">
            <v>3.46780185421134E-7</v>
          </cell>
          <cell r="F758">
            <v>3.2499107600414598E-6</v>
          </cell>
          <cell r="G758">
            <v>3.9764976647800241E-8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E759">
            <v>4.345262200638E-3</v>
          </cell>
          <cell r="F759">
            <v>0.43692887413469089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E760">
            <v>6.5485625493767262E-6</v>
          </cell>
          <cell r="F760">
            <v>6.9232558452318727E-4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E761">
            <v>7.7043656039680805E-5</v>
          </cell>
          <cell r="F761">
            <v>7.7469658534519772E-3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E762">
            <v>1.6705062135911699E-7</v>
          </cell>
          <cell r="F762">
            <v>1.2957120919697899E-5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E763">
            <v>1.6705062135911699E-7</v>
          </cell>
          <cell r="F763">
            <v>1.3124171541057001E-5</v>
          </cell>
          <cell r="G763">
            <v>1.1306793827999879E-8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  <cell r="D764">
            <v>0.44188254800419102</v>
          </cell>
          <cell r="E764">
            <v>0.44073492572919898</v>
          </cell>
          <cell r="F764">
            <v>0.437457879399622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  <cell r="D765">
            <v>5.9984197052671766E-2</v>
          </cell>
          <cell r="E765">
            <v>4.7980139603766424E-2</v>
          </cell>
          <cell r="F765">
            <v>2.998312574483173E-2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  <cell r="D766">
            <v>6.0284112961008296E-3</v>
          </cell>
          <cell r="E766">
            <v>6.0127547848458241E-3</v>
          </cell>
          <cell r="F766">
            <v>5.9680474679348183E-3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  <cell r="D767">
            <v>1.30332047521267E-3</v>
          </cell>
          <cell r="E767">
            <v>1.04265638017014E-3</v>
          </cell>
          <cell r="F767">
            <v>6.5164345916684239E-4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E768">
            <v>3.4146046500505901E-3</v>
          </cell>
          <cell r="F768">
            <v>0.71361896264002933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E769">
            <v>3.4159446681297049E-6</v>
          </cell>
          <cell r="F769">
            <v>7.5075020313825774E-4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E770">
            <v>6.0542635639194861E-5</v>
          </cell>
          <cell r="F770">
            <v>1.2652818486525349E-2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E771">
            <v>8.5283762338153295E-8</v>
          </cell>
          <cell r="F771">
            <v>1.4077425963244301E-5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E772">
            <v>8.5283762338153295E-8</v>
          </cell>
          <cell r="F772">
            <v>1.4162709725582401E-5</v>
          </cell>
          <cell r="G772">
            <v>2.4940062508005704E-9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E773">
            <v>2.20280393902755E-4</v>
          </cell>
          <cell r="F773">
            <v>5.9535775620294402E-3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E774">
            <v>1.472018176808406E-7</v>
          </cell>
          <cell r="F774">
            <v>4.1377703379119181E-6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E775">
            <v>3.9056807429566589E-6</v>
          </cell>
          <cell r="F775">
            <v>1.0555988585158577E-4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E776">
            <v>2.0795980546222001E-8</v>
          </cell>
          <cell r="F776">
            <v>7.0625633025468804E-8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E777">
            <v>2.0795980546222001E-8</v>
          </cell>
          <cell r="F777">
            <v>9.1421613571690695E-8</v>
          </cell>
          <cell r="G777">
            <v>2.15740531439499E-10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18.873117222715901</v>
          </cell>
          <cell r="C9">
            <v>21.778534865283806</v>
          </cell>
          <cell r="D9">
            <v>33.982254256749307</v>
          </cell>
          <cell r="E9">
            <v>58.274375843411519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82.760003935016442</v>
          </cell>
          <cell r="C14">
            <v>82.759946462471319</v>
          </cell>
          <cell r="D14">
            <v>76.101792106795273</v>
          </cell>
          <cell r="E14">
            <v>61.811234124429618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7">
          <cell r="B17">
            <v>12.841922638207519</v>
          </cell>
          <cell r="C17">
            <v>16.03599804210317</v>
          </cell>
          <cell r="D17">
            <v>2.0799523878130883</v>
          </cell>
          <cell r="E17">
            <v>35.209532069617488</v>
          </cell>
        </row>
        <row r="18">
          <cell r="B18">
            <v>3.9602824658366086E-2</v>
          </cell>
          <cell r="C18">
            <v>1.0527724105199968E-4</v>
          </cell>
          <cell r="D18">
            <v>8.95458388395063E-2</v>
          </cell>
          <cell r="E18">
            <v>3.9292450638802397E-4</v>
          </cell>
        </row>
        <row r="19">
          <cell r="B19">
            <v>6.5070008691642389</v>
          </cell>
          <cell r="C19">
            <v>7.302767945686452</v>
          </cell>
          <cell r="D19">
            <v>8.1987638607941804</v>
          </cell>
          <cell r="E19">
            <v>7.3981387632960764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1.1930720764664444E-3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0.96588279753660633</v>
          </cell>
          <cell r="C24">
            <v>4.9219561132103976E-4</v>
          </cell>
          <cell r="D24">
            <v>1.1098038514362185</v>
          </cell>
          <cell r="E24">
            <v>2.1734882426662681E-3</v>
          </cell>
        </row>
        <row r="25">
          <cell r="B25">
            <v>1.2827316376056315E-3</v>
          </cell>
          <cell r="C25">
            <v>1.1263731027348074E-2</v>
          </cell>
          <cell r="D25">
            <v>1.5655743460238368E-2</v>
          </cell>
          <cell r="E25">
            <v>1.2933916388017791E-3</v>
          </cell>
        </row>
        <row r="26">
          <cell r="B26">
            <v>1.5475491633037712</v>
          </cell>
          <cell r="C26">
            <v>1.4243003053066379</v>
          </cell>
          <cell r="D26">
            <v>1.3364080254815884</v>
          </cell>
          <cell r="E26">
            <v>1.4251031665028226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1.8028257651087713E-3</v>
          </cell>
          <cell r="C28">
            <v>1.1264975413823808E-4</v>
          </cell>
          <cell r="D28">
            <v>2.8729803407233382E-3</v>
          </cell>
          <cell r="E28">
            <v>2.2250353448257808E-4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0.66997432288065795</v>
          </cell>
          <cell r="C39">
            <v>0.51983940231616066</v>
          </cell>
          <cell r="D39">
            <v>0.39631787155220649</v>
          </cell>
          <cell r="E39">
            <v>3.1844582971297664E-2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7.0507360338489838E-2</v>
          </cell>
          <cell r="C41">
            <v>0.17131408052140842</v>
          </cell>
          <cell r="D41">
            <v>7.9110489637926301E-2</v>
          </cell>
          <cell r="E41">
            <v>0.17092271110088245</v>
          </cell>
        </row>
        <row r="42">
          <cell r="B42">
            <v>0.17246873554716075</v>
          </cell>
          <cell r="C42">
            <v>0.16247909054894485</v>
          </cell>
          <cell r="D42">
            <v>1.4331611035018468</v>
          </cell>
          <cell r="E42">
            <v>3.1396111070305972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0.2300472712172921</v>
          </cell>
          <cell r="C44">
            <v>0.23015931021227523</v>
          </cell>
          <cell r="D44">
            <v>2.0200174167348183E-3</v>
          </cell>
          <cell r="E44">
            <v>8.4037019448282503E-4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1.7701694873177368E-2</v>
          </cell>
          <cell r="C48">
            <v>1.7126111254576314E-3</v>
          </cell>
          <cell r="D48">
            <v>7.8356944193841566E-3</v>
          </cell>
          <cell r="E48">
            <v>7.9408274063398551E-3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6.8078172064471891E-4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1.427479427739518E-3</v>
          </cell>
        </row>
        <row r="51">
          <cell r="B51">
            <v>2.8716223932301638E-2</v>
          </cell>
          <cell r="C51">
            <v>1.7427712055110471E-3</v>
          </cell>
          <cell r="D51">
            <v>2.3115851487788459E-2</v>
          </cell>
          <cell r="E51">
            <v>1.7949254230574943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3.0213982359351904E-3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2.0850292386061439E-3</v>
          </cell>
        </row>
        <row r="54">
          <cell r="B54">
            <v>0.95937093844566002</v>
          </cell>
          <cell r="C54">
            <v>1.1059519379377449</v>
          </cell>
          <cell r="D54">
            <v>1.1059495448661352</v>
          </cell>
          <cell r="E54">
            <v>1.1059490368898082</v>
          </cell>
        </row>
        <row r="55">
          <cell r="B55">
            <v>0.59440785250209804</v>
          </cell>
          <cell r="C55">
            <v>0.62587978305122871</v>
          </cell>
          <cell r="D55">
            <v>6.9107725847629004E-2</v>
          </cell>
          <cell r="E55">
            <v>2.3613882134214531E-2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7.9859631449864007E-4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3.4912072766099212E-3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8.0089750985742425E-4</v>
          </cell>
        </row>
        <row r="70">
          <cell r="B70">
            <v>9.4649346157739914E-2</v>
          </cell>
          <cell r="C70">
            <v>9.2480422020363318E-3</v>
          </cell>
          <cell r="D70">
            <v>1.6223413305628723E-2</v>
          </cell>
          <cell r="E70">
            <v>9.4495531609855785E-2</v>
          </cell>
        </row>
        <row r="71">
          <cell r="B71">
            <v>8.207220085840539E-3</v>
          </cell>
          <cell r="C71">
            <v>6.4812219877681664E-3</v>
          </cell>
          <cell r="D71">
            <v>1.69887701673322E-2</v>
          </cell>
          <cell r="E71">
            <v>6.080785064613288E-2</v>
          </cell>
        </row>
        <row r="72">
          <cell r="B72">
            <v>7.4947440367819579E-3</v>
          </cell>
          <cell r="C72">
            <v>6.0133670478198856E-3</v>
          </cell>
          <cell r="D72">
            <v>1.6188380842646694E-2</v>
          </cell>
          <cell r="E72">
            <v>7.3629627395918232E-2</v>
          </cell>
        </row>
        <row r="73">
          <cell r="B73">
            <v>2.3644084781318576E-3</v>
          </cell>
          <cell r="C73">
            <v>2.3532494802306755E-3</v>
          </cell>
          <cell r="D73">
            <v>7.495623688775982E-2</v>
          </cell>
          <cell r="E73">
            <v>0.17059199404176825</v>
          </cell>
        </row>
        <row r="74">
          <cell r="B74">
            <v>4.6248206482256728E-3</v>
          </cell>
          <cell r="C74">
            <v>4.6026407655491161E-3</v>
          </cell>
          <cell r="D74">
            <v>0.11316847797645557</v>
          </cell>
          <cell r="E74">
            <v>0.23784486725944753</v>
          </cell>
        </row>
        <row r="75">
          <cell r="B75">
            <v>4.6647648968557104E-3</v>
          </cell>
          <cell r="C75">
            <v>4.6416063765355731E-3</v>
          </cell>
          <cell r="D75">
            <v>5.2266956915542395E-2</v>
          </cell>
          <cell r="E75">
            <v>9.576486680705576E-2</v>
          </cell>
        </row>
        <row r="76">
          <cell r="B76">
            <v>2.4052570588972118E-3</v>
          </cell>
          <cell r="C76">
            <v>2.3933576070637201E-3</v>
          </cell>
          <cell r="D76">
            <v>9.7377013613128768E-2</v>
          </cell>
          <cell r="E76">
            <v>0.22779128068509741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1.8035550439674291</v>
          </cell>
          <cell r="C91">
            <v>9.4578092083984471E-4</v>
          </cell>
          <cell r="D91">
            <v>2.2229329830406335</v>
          </cell>
          <cell r="E91">
            <v>4.6485084160176925E-3</v>
          </cell>
        </row>
        <row r="92">
          <cell r="B92">
            <v>0.33918332353047803</v>
          </cell>
          <cell r="C92">
            <v>0.27798616811134103</v>
          </cell>
          <cell r="D92">
            <v>0.51024545054733927</v>
          </cell>
          <cell r="E92">
            <v>3.3824580707897765E-3</v>
          </cell>
        </row>
        <row r="93">
          <cell r="B93">
            <v>14.461267807514632</v>
          </cell>
          <cell r="C93">
            <v>13.051649634971081</v>
          </cell>
          <cell r="D93">
            <v>12.148021152353042</v>
          </cell>
          <cell r="E93">
            <v>12.779637702077476</v>
          </cell>
        </row>
        <row r="94">
          <cell r="B94">
            <v>9.2716753634165365E-3</v>
          </cell>
          <cell r="C94">
            <v>5.7934159271093852E-4</v>
          </cell>
          <cell r="D94">
            <v>1.4775327466577157E-2</v>
          </cell>
          <cell r="E94">
            <v>1.1443038916246868E-3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1.7329088002385731</v>
          </cell>
          <cell r="C97">
            <v>2.8583756915671827</v>
          </cell>
          <cell r="D97">
            <v>6.9897156225164712E-3</v>
          </cell>
          <cell r="E97">
            <v>6.1208971189790127</v>
          </cell>
        </row>
        <row r="98">
          <cell r="B98">
            <v>0.90179052849990871</v>
          </cell>
          <cell r="C98">
            <v>0.90177743978115743</v>
          </cell>
          <cell r="D98">
            <v>0.90178730928961459</v>
          </cell>
          <cell r="E98">
            <v>3.8348797003066339</v>
          </cell>
        </row>
        <row r="99">
          <cell r="B99">
            <v>2.9000451281762638</v>
          </cell>
          <cell r="C99">
            <v>7.6037617079209756</v>
          </cell>
          <cell r="D99">
            <v>7.5010089329936518</v>
          </cell>
          <cell r="E99">
            <v>1.6708935627527237</v>
          </cell>
        </row>
        <row r="100">
          <cell r="B100">
            <v>0.18408031036455724</v>
          </cell>
          <cell r="C100">
            <v>0.18577393448735277</v>
          </cell>
          <cell r="D100">
            <v>2.472203904412394E-3</v>
          </cell>
          <cell r="E100">
            <v>7.3038173683884048E-4</v>
          </cell>
        </row>
        <row r="101">
          <cell r="B101">
            <v>2.1758932587314663</v>
          </cell>
          <cell r="C101">
            <v>1.9637402507917983</v>
          </cell>
          <cell r="D101">
            <v>1.6836723089451413</v>
          </cell>
          <cell r="E101">
            <v>3.6048033668827109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4">
          <cell r="B104">
            <v>0.92941520446191328</v>
          </cell>
          <cell r="C104">
            <v>2.0703834895038904</v>
          </cell>
          <cell r="D104">
            <v>0.82595651843136164</v>
          </cell>
          <cell r="E104">
            <v>1.3159799433697916</v>
          </cell>
        </row>
        <row r="105">
          <cell r="B105">
            <v>0.65959430772421512</v>
          </cell>
          <cell r="C105">
            <v>0.56585285529137075</v>
          </cell>
          <cell r="D105">
            <v>4.2563543939021944</v>
          </cell>
          <cell r="E105">
            <v>6.6414850341032015</v>
          </cell>
        </row>
        <row r="106">
          <cell r="B106">
            <v>1.9348406886931981</v>
          </cell>
          <cell r="C106">
            <v>1.858781292415014</v>
          </cell>
          <cell r="D106">
            <v>1.5300069227797846E-2</v>
          </cell>
          <cell r="E106">
            <v>5.6622719877645472E-3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4.2615191361352965E-2</v>
          </cell>
          <cell r="C109">
            <v>4.0812701106143819E-3</v>
          </cell>
          <cell r="D109">
            <v>1.8386933730142194E-2</v>
          </cell>
          <cell r="E109">
            <v>1.9675413697306739E-2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3.853577529963367E-3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6.2383520956379494E-2</v>
          </cell>
          <cell r="C112">
            <v>3.7491615956718126E-3</v>
          </cell>
          <cell r="D112">
            <v>4.8994977176416078E-2</v>
          </cell>
          <cell r="E112">
            <v>3.7162804730339927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5.5463831962922084E-3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1.4243177642094775</v>
          </cell>
          <cell r="C115">
            <v>1.5783355758304463</v>
          </cell>
          <cell r="D115">
            <v>1.4829297215062558</v>
          </cell>
          <cell r="E115">
            <v>1.3239249428329605</v>
          </cell>
        </row>
        <row r="116">
          <cell r="B116">
            <v>0.69258788469608357</v>
          </cell>
          <cell r="C116">
            <v>0.75021427846861288</v>
          </cell>
          <cell r="D116">
            <v>8.6307231006324869E-2</v>
          </cell>
          <cell r="E116">
            <v>3.1467538637219281E-2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1.277138182137035E-3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2.4008010938561037E-4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2.6275928450274657E-3</v>
          </cell>
        </row>
        <row r="123">
          <cell r="B123">
            <v>0</v>
          </cell>
          <cell r="C123">
            <v>2.5024139631154618</v>
          </cell>
          <cell r="D123">
            <v>2.5782416168489815</v>
          </cell>
          <cell r="E123">
            <v>3.9426591857218853</v>
          </cell>
        </row>
      </sheetData>
      <sheetData sheetId="59">
        <row r="13">
          <cell r="B13">
            <v>16.05240518163934</v>
          </cell>
          <cell r="C13">
            <v>20.045000566106399</v>
          </cell>
          <cell r="D13">
            <v>2.5999420635460826</v>
          </cell>
          <cell r="E13">
            <v>44.011914185088131</v>
          </cell>
        </row>
        <row r="14">
          <cell r="B14">
            <v>250.94820421254272</v>
          </cell>
          <cell r="C14">
            <v>253.29988923882391</v>
          </cell>
          <cell r="D14">
            <v>233.17604637129213</v>
          </cell>
          <cell r="E14">
            <v>187.17896763960835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8">
          <cell r="B18">
            <v>0.13159457279192607</v>
          </cell>
          <cell r="C18">
            <v>1.5399205996043113</v>
          </cell>
          <cell r="D18">
            <v>0.26197867055615592</v>
          </cell>
          <cell r="E18">
            <v>1.3891990917154846E-3</v>
          </cell>
        </row>
        <row r="19">
          <cell r="B19">
            <v>18.203592910183175</v>
          </cell>
          <cell r="C19">
            <v>20.429782855997278</v>
          </cell>
          <cell r="D19">
            <v>22.936366951459874</v>
          </cell>
          <cell r="E19">
            <v>20.696586499362994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3.2226226929708847E-3</v>
          </cell>
          <cell r="L22">
            <v>2.5855788135677416</v>
          </cell>
          <cell r="M22">
            <v>1.7938997884461263</v>
          </cell>
          <cell r="N22">
            <v>1.5949325860265322</v>
          </cell>
          <cell r="O22">
            <v>3.2782177953276608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6.9301379987464259E-2</v>
          </cell>
          <cell r="M23">
            <v>3.2715320072866615E-2</v>
          </cell>
          <cell r="N23">
            <v>1.9324140015720543E-2</v>
          </cell>
          <cell r="O23">
            <v>0.43473415838829066</v>
          </cell>
        </row>
        <row r="24">
          <cell r="B24">
            <v>3.694259216277342</v>
          </cell>
          <cell r="C24">
            <v>2.3655892676315276E-3</v>
          </cell>
          <cell r="D24">
            <v>4.363618349574808</v>
          </cell>
          <cell r="E24">
            <v>9.3225543311034834E-3</v>
          </cell>
        </row>
        <row r="25">
          <cell r="B25">
            <v>5.622861947033867E-3</v>
          </cell>
          <cell r="C25">
            <v>4.5103671519964646E-2</v>
          </cell>
          <cell r="D25">
            <v>6.2923552613257522E-2</v>
          </cell>
          <cell r="E25">
            <v>0.27907435081575743</v>
          </cell>
        </row>
        <row r="26">
          <cell r="B26">
            <v>40.317924263362841</v>
          </cell>
          <cell r="C26">
            <v>38.473218649025796</v>
          </cell>
          <cell r="D26">
            <v>36.326281722734663</v>
          </cell>
          <cell r="E26">
            <v>39.147010715564846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2.7644899795054845E-2</v>
          </cell>
          <cell r="C28">
            <v>2.1085826137320489</v>
          </cell>
          <cell r="D28">
            <v>3.2038504864832944E-2</v>
          </cell>
          <cell r="E28">
            <v>2.2322219794794411E-3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1.9320107039859387</v>
          </cell>
          <cell r="C39">
            <v>1.4770180695037476</v>
          </cell>
          <cell r="D39">
            <v>1.1181509104044527</v>
          </cell>
          <cell r="E39">
            <v>8.9202645044906881E-2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0.30807588297283733</v>
          </cell>
          <cell r="C41">
            <v>0.6947143077396567</v>
          </cell>
          <cell r="D41">
            <v>0.31500774325434611</v>
          </cell>
          <cell r="E41">
            <v>0.64903306248192127</v>
          </cell>
        </row>
        <row r="42">
          <cell r="B42">
            <v>0.87273671104241346</v>
          </cell>
          <cell r="C42">
            <v>0.71952683502440296</v>
          </cell>
          <cell r="D42">
            <v>5.3479179069400002</v>
          </cell>
          <cell r="E42">
            <v>9.443422852424364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3.7119769905005242</v>
          </cell>
          <cell r="C44">
            <v>3.7138596923230089</v>
          </cell>
          <cell r="D44">
            <v>3.2595304513227993E-2</v>
          </cell>
          <cell r="E44">
            <v>1.3560339710974026E-2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9.3017740035692284E-2</v>
          </cell>
          <cell r="C48">
            <v>6.4604484232850456E-3</v>
          </cell>
          <cell r="D48">
            <v>3.7688624161643827E-2</v>
          </cell>
          <cell r="E48">
            <v>3.271262685588603E-2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1.6209088586779021E-3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0.45576473250006921</v>
          </cell>
        </row>
        <row r="51">
          <cell r="B51">
            <v>0.12762844631340867</v>
          </cell>
          <cell r="C51">
            <v>6.1445131480503123E-3</v>
          </cell>
          <cell r="D51">
            <v>8.735459830434969E-2</v>
          </cell>
          <cell r="E51">
            <v>5.9911303680173118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7.1938053236552104E-3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0.4574199411791024</v>
          </cell>
        </row>
        <row r="54">
          <cell r="B54">
            <v>2.6454026128621484</v>
          </cell>
          <cell r="C54">
            <v>3.0460669396388824</v>
          </cell>
          <cell r="D54">
            <v>3.3327771513619973</v>
          </cell>
          <cell r="E54">
            <v>3.0323782025761243</v>
          </cell>
        </row>
        <row r="55">
          <cell r="B55">
            <v>1.6825659411482647</v>
          </cell>
          <cell r="C55">
            <v>1.7385639901302212</v>
          </cell>
          <cell r="D55">
            <v>0.19633141106573898</v>
          </cell>
          <cell r="E55">
            <v>6.7920188096086284E-2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0.23242462185302032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7.3510255104334661E-3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1.3348291830957077E-3</v>
          </cell>
        </row>
        <row r="63">
          <cell r="B63">
            <v>0.13523219023012664</v>
          </cell>
          <cell r="C63">
            <v>1.3221320379185442E-2</v>
          </cell>
          <cell r="D63">
            <v>2.3176958480957667E-2</v>
          </cell>
          <cell r="E63">
            <v>0.13499746364737347</v>
          </cell>
        </row>
        <row r="64">
          <cell r="B64">
            <v>9.4740996940955603E-3</v>
          </cell>
          <cell r="C64">
            <v>7.4857559684559007E-3</v>
          </cell>
          <cell r="D64">
            <v>1.9594448215244406E-2</v>
          </cell>
          <cell r="E64">
            <v>7.0135594024316975E-2</v>
          </cell>
        </row>
        <row r="65">
          <cell r="B65">
            <v>8.3822232631575698E-3</v>
          </cell>
          <cell r="C65">
            <v>6.7248995920868096E-3</v>
          </cell>
          <cell r="D65">
            <v>1.810338568997388E-2</v>
          </cell>
          <cell r="E65">
            <v>8.2338094975933807E-2</v>
          </cell>
        </row>
        <row r="66">
          <cell r="B66">
            <v>2.6241354928878912E-3</v>
          </cell>
          <cell r="C66">
            <v>2.6102405822054199E-3</v>
          </cell>
          <cell r="D66">
            <v>8.2892664609824654E-2</v>
          </cell>
          <cell r="E66">
            <v>0.18865279450622618</v>
          </cell>
        </row>
        <row r="67">
          <cell r="B67">
            <v>5.1332651297649251E-3</v>
          </cell>
          <cell r="C67">
            <v>5.1077179705996522E-3</v>
          </cell>
          <cell r="D67">
            <v>0.12515133236391174</v>
          </cell>
          <cell r="E67">
            <v>0.26302649320611782</v>
          </cell>
        </row>
        <row r="68">
          <cell r="B68">
            <v>5.1774380681421173E-3</v>
          </cell>
          <cell r="C68">
            <v>5.1508086680583289E-3</v>
          </cell>
          <cell r="D68">
            <v>5.7802535495026668E-2</v>
          </cell>
          <cell r="E68">
            <v>0.10590525499054955</v>
          </cell>
        </row>
        <row r="69">
          <cell r="B69">
            <v>2.6693085003377426E-3</v>
          </cell>
          <cell r="C69">
            <v>2.6545947477181831E-3</v>
          </cell>
          <cell r="D69">
            <v>0.10768700320957836</v>
          </cell>
          <cell r="E69">
            <v>0.25190748012004099</v>
          </cell>
        </row>
        <row r="90">
          <cell r="B90">
            <v>2.0280866490380944</v>
          </cell>
          <cell r="C90">
            <v>3.3452617801954414</v>
          </cell>
          <cell r="D90">
            <v>8.1803202411154154E-3</v>
          </cell>
          <cell r="E90">
            <v>7.1635101197639797</v>
          </cell>
        </row>
        <row r="91">
          <cell r="B91">
            <v>1.1839713117158137</v>
          </cell>
          <cell r="C91">
            <v>1.1839541273841776</v>
          </cell>
          <cell r="D91">
            <v>1.1839670851770401</v>
          </cell>
          <cell r="E91">
            <v>5.0348583241355831</v>
          </cell>
        </row>
        <row r="92">
          <cell r="B92">
            <v>1.4500225640881319</v>
          </cell>
          <cell r="C92">
            <v>3.8018808539604878</v>
          </cell>
          <cell r="D92">
            <v>3.7505044664968259</v>
          </cell>
          <cell r="E92">
            <v>0.83544678137636186</v>
          </cell>
        </row>
        <row r="93">
          <cell r="B93">
            <v>0.21543593047121112</v>
          </cell>
          <cell r="C93">
            <v>0.21741804082315655</v>
          </cell>
          <cell r="D93">
            <v>2.8933107913978818E-3</v>
          </cell>
          <cell r="E93">
            <v>8.547925020521421E-4</v>
          </cell>
        </row>
        <row r="94">
          <cell r="B94">
            <v>3.1084189410449503</v>
          </cell>
          <cell r="C94">
            <v>2.8053432154168556</v>
          </cell>
          <cell r="D94">
            <v>2.4052461556359179</v>
          </cell>
          <cell r="E94">
            <v>5.1497190955467316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0.86290136659153904</v>
          </cell>
          <cell r="D97">
            <v>0.88904883339620122</v>
          </cell>
          <cell r="E97">
            <v>1.3595376502489278</v>
          </cell>
        </row>
      </sheetData>
      <sheetData sheetId="60">
        <row r="14">
          <cell r="B14">
            <v>3.0805586334854409</v>
          </cell>
          <cell r="C14">
            <v>3.080557875959506</v>
          </cell>
          <cell r="D14">
            <v>2.8402389634809211</v>
          </cell>
          <cell r="E14">
            <v>2.3425161625536033</v>
          </cell>
        </row>
        <row r="15">
          <cell r="B15">
            <v>7.3394300010600002</v>
          </cell>
          <cell r="C15">
            <v>7.3545262121312689</v>
          </cell>
          <cell r="D15">
            <v>7.3545317549068008</v>
          </cell>
          <cell r="E15">
            <v>7.3749918391910203</v>
          </cell>
        </row>
        <row r="16">
          <cell r="B16">
            <v>4.7247299999999992</v>
          </cell>
          <cell r="C16">
            <v>4.8081253448466308</v>
          </cell>
          <cell r="D16">
            <v>4.8646016374405683</v>
          </cell>
          <cell r="E16">
            <v>4.8951676104572011</v>
          </cell>
        </row>
        <row r="17">
          <cell r="B17">
            <v>3.3394499999999998</v>
          </cell>
          <cell r="C17">
            <v>3.9713866918461065</v>
          </cell>
          <cell r="D17">
            <v>4.3598077457250559</v>
          </cell>
          <cell r="E17">
            <v>4.3598077457250559</v>
          </cell>
        </row>
        <row r="18">
          <cell r="B18">
            <v>2.2941014825429602E-2</v>
          </cell>
          <cell r="C18">
            <v>2.2222179506227568E-2</v>
          </cell>
          <cell r="D18">
            <v>1.225174490063112E-2</v>
          </cell>
          <cell r="E18">
            <v>7.0881156147418849E-3</v>
          </cell>
        </row>
        <row r="19">
          <cell r="B19">
            <v>0.27248343338216119</v>
          </cell>
          <cell r="C19">
            <v>0.27247913931914114</v>
          </cell>
          <cell r="D19">
            <v>0.30586043962895082</v>
          </cell>
          <cell r="E19">
            <v>0.27599271147366111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8.3494914097132708E-3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4.7994061282120096E-2</v>
          </cell>
          <cell r="C24">
            <v>1.6768985044245122E-4</v>
          </cell>
          <cell r="D24">
            <v>4.1424492747650879E-2</v>
          </cell>
          <cell r="E24">
            <v>7.3943005939039463E-4</v>
          </cell>
        </row>
        <row r="25">
          <cell r="B25">
            <v>2.3357503925620221E-4</v>
          </cell>
          <cell r="C25">
            <v>4.6394714043591911E-4</v>
          </cell>
          <cell r="D25">
            <v>5.9798724232807549E-4</v>
          </cell>
          <cell r="E25">
            <v>2.3596571996056109E-4</v>
          </cell>
        </row>
        <row r="26">
          <cell r="B26">
            <v>7.8399999999999997E-2</v>
          </cell>
          <cell r="C26">
            <v>7.1001927006362847E-2</v>
          </cell>
          <cell r="D26">
            <v>7.048924537128215E-2</v>
          </cell>
          <cell r="E26">
            <v>7.048992092815029E-2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4.5139052997557605E-3</v>
          </cell>
          <cell r="C28">
            <v>1.799404850813922E-3</v>
          </cell>
          <cell r="D28">
            <v>1.6130500692361476E-3</v>
          </cell>
          <cell r="E28">
            <v>8.1750303726213676E-4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9.0660038621025937E-2</v>
          </cell>
          <cell r="D33">
            <v>8.3655956114954938E-2</v>
          </cell>
          <cell r="E33">
            <v>0.27355307821147729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4.4927333808425299E-2</v>
          </cell>
        </row>
        <row r="35">
          <cell r="B35">
            <v>1.1186210000000001</v>
          </cell>
          <cell r="C35">
            <v>1.6529270844344852</v>
          </cell>
          <cell r="D35">
            <v>3.5611849167848</v>
          </cell>
          <cell r="E35">
            <v>3.4922697991095903</v>
          </cell>
        </row>
        <row r="36">
          <cell r="B36">
            <v>0.67885700000000004</v>
          </cell>
          <cell r="C36">
            <v>1.1559140880654231</v>
          </cell>
          <cell r="D36">
            <v>1.2900016663490987</v>
          </cell>
          <cell r="E36">
            <v>1.2531198881556842</v>
          </cell>
        </row>
        <row r="37">
          <cell r="B37">
            <v>0.27424799999999999</v>
          </cell>
          <cell r="C37">
            <v>0.43896094062837138</v>
          </cell>
          <cell r="D37">
            <v>1.1128803121620514</v>
          </cell>
          <cell r="E37">
            <v>1.1011569191687425</v>
          </cell>
        </row>
        <row r="38">
          <cell r="B38">
            <v>0.90292899999999998</v>
          </cell>
          <cell r="C38">
            <v>1.1231013272269348</v>
          </cell>
          <cell r="D38">
            <v>3.1799385964553704</v>
          </cell>
          <cell r="E38">
            <v>3.0953694671588599</v>
          </cell>
        </row>
        <row r="39">
          <cell r="B39">
            <v>3.1430827846293606E-2</v>
          </cell>
          <cell r="C39">
            <v>2.3409553840320979E-2</v>
          </cell>
          <cell r="D39">
            <v>1.5209696442908781E-2</v>
          </cell>
          <cell r="E39">
            <v>7.1558989531641283E-3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8.3029153278126339E-3</v>
          </cell>
          <cell r="C41">
            <v>1.2863182850188478E-2</v>
          </cell>
          <cell r="D41">
            <v>1.5379771191598644E-2</v>
          </cell>
          <cell r="E41">
            <v>2.6957734938180503E-2</v>
          </cell>
        </row>
        <row r="42">
          <cell r="B42">
            <v>1.143463608844973E-2</v>
          </cell>
          <cell r="C42">
            <v>6.0141439990460191E-3</v>
          </cell>
          <cell r="D42">
            <v>5.2990930472991096E-2</v>
          </cell>
          <cell r="E42">
            <v>0.11608709586115301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4.4755919197669317E-2</v>
          </cell>
          <cell r="C44">
            <v>9.38549511771683E-3</v>
          </cell>
          <cell r="D44">
            <v>1.6971816472824974E-3</v>
          </cell>
          <cell r="E44">
            <v>1.6870444963487698E-3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4.1473070480830326E-3</v>
          </cell>
          <cell r="C48">
            <v>4.7143199687971259E-4</v>
          </cell>
          <cell r="D48">
            <v>7.0590899619124938E-4</v>
          </cell>
          <cell r="E48">
            <v>7.3543298995196345E-4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8.6196273045791201E-3</v>
          </cell>
          <cell r="C51">
            <v>3.6103757359242771E-4</v>
          </cell>
          <cell r="D51">
            <v>1.7664915191925369E-3</v>
          </cell>
          <cell r="E51">
            <v>0.13326676430970874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7.351251520192148E-2</v>
          </cell>
          <cell r="C54">
            <v>8.4745674549080385E-2</v>
          </cell>
          <cell r="D54">
            <v>8.474536934816114E-2</v>
          </cell>
          <cell r="E54">
            <v>8.4746728353492756E-2</v>
          </cell>
        </row>
        <row r="55">
          <cell r="B55">
            <v>6.5199765875715229E-2</v>
          </cell>
          <cell r="C55">
            <v>4.7889000898285052E-2</v>
          </cell>
          <cell r="D55">
            <v>4.7108470872894992E-3</v>
          </cell>
          <cell r="E55">
            <v>3.8388993450158004E-3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0.1</v>
          </cell>
          <cell r="C63">
            <v>9.9996637424090234E-2</v>
          </cell>
          <cell r="D63">
            <v>9.9996145710836981E-2</v>
          </cell>
          <cell r="E63">
            <v>9.9995986649413088E-2</v>
          </cell>
        </row>
        <row r="64">
          <cell r="B64">
            <v>1.4042473040049501E-3</v>
          </cell>
          <cell r="C64">
            <v>1.4055449580370218E-3</v>
          </cell>
          <cell r="D64">
            <v>6.7320944024097948E-3</v>
          </cell>
          <cell r="E64">
            <v>2.1487111368889041E-2</v>
          </cell>
        </row>
        <row r="65">
          <cell r="B65">
            <v>1.0411007081888499E-3</v>
          </cell>
          <cell r="C65">
            <v>1.042215438916965E-3</v>
          </cell>
          <cell r="D65">
            <v>4.2078481813258841E-3</v>
          </cell>
          <cell r="E65">
            <v>1.0168087160850872E-2</v>
          </cell>
        </row>
        <row r="66">
          <cell r="B66">
            <v>9.675135389452178E-4</v>
          </cell>
          <cell r="C66">
            <v>9.6859180723921014E-4</v>
          </cell>
          <cell r="D66">
            <v>6.9508735477695871E-2</v>
          </cell>
          <cell r="E66">
            <v>7.0449600889671546E-2</v>
          </cell>
        </row>
        <row r="67">
          <cell r="B67">
            <v>1.8913736819967898E-3</v>
          </cell>
          <cell r="C67">
            <v>1.8933776734076503E-3</v>
          </cell>
          <cell r="D67">
            <v>0.1282094865690927</v>
          </cell>
          <cell r="E67">
            <v>0.12870322853009891</v>
          </cell>
        </row>
        <row r="68">
          <cell r="B68">
            <v>1.9088953672279207E-3</v>
          </cell>
          <cell r="C68">
            <v>1.9109347759718853E-3</v>
          </cell>
          <cell r="D68">
            <v>3.844757886979288E-2</v>
          </cell>
          <cell r="E68">
            <v>3.9318426967606165E-2</v>
          </cell>
        </row>
        <row r="69">
          <cell r="B69">
            <v>9.8470536844521054E-4</v>
          </cell>
          <cell r="C69">
            <v>9.8579329625242645E-4</v>
          </cell>
          <cell r="D69">
            <v>0.12410281356768019</v>
          </cell>
          <cell r="E69">
            <v>0.12484351272563397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1.5096211071269109E-2</v>
          </cell>
          <cell r="D15">
            <v>1.124521837691578E-5</v>
          </cell>
          <cell r="E15">
            <v>2.0842376663581446E-2</v>
          </cell>
        </row>
        <row r="16">
          <cell r="B16">
            <v>0</v>
          </cell>
          <cell r="C16">
            <v>1.060778842149501E-3</v>
          </cell>
          <cell r="D16">
            <v>5.5981972912240779E-3</v>
          </cell>
          <cell r="E16">
            <v>2.6704376866713928E-2</v>
          </cell>
        </row>
        <row r="17">
          <cell r="B17">
            <v>0</v>
          </cell>
          <cell r="C17">
            <v>3.5774572505640399E-4</v>
          </cell>
          <cell r="D17">
            <v>5.5513809150840102E-8</v>
          </cell>
          <cell r="E17">
            <v>8.3129358173521506E-8</v>
          </cell>
        </row>
        <row r="18">
          <cell r="B18">
            <v>0</v>
          </cell>
          <cell r="C18">
            <v>1.11067872666598E-5</v>
          </cell>
          <cell r="D18">
            <v>5.64068827272582E-5</v>
          </cell>
          <cell r="E18">
            <v>2.5999717446874499E-5</v>
          </cell>
        </row>
        <row r="19">
          <cell r="B19">
            <v>0</v>
          </cell>
          <cell r="C19">
            <v>4.5574767095773301E-7</v>
          </cell>
          <cell r="D19">
            <v>3.3385870811082297E-2</v>
          </cell>
          <cell r="E19">
            <v>3.5745708501704998E-2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1.51756691446388E-2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9.1516469615322401E-7</v>
          </cell>
          <cell r="D24">
            <v>4.1257267696477098E-2</v>
          </cell>
          <cell r="E24">
            <v>3.3513993542295902E-6</v>
          </cell>
        </row>
        <row r="25">
          <cell r="B25">
            <v>0</v>
          </cell>
          <cell r="C25">
            <v>2.8992777529881098E-4</v>
          </cell>
          <cell r="D25">
            <v>1.3552031037346101E-4</v>
          </cell>
          <cell r="E25">
            <v>1.77630688469059E-6</v>
          </cell>
        </row>
        <row r="26">
          <cell r="B26">
            <v>0</v>
          </cell>
          <cell r="C26">
            <v>3.5238170607046602E-7</v>
          </cell>
          <cell r="D26">
            <v>2.9720651437494899E-7</v>
          </cell>
          <cell r="E26">
            <v>1.9910921805315698E-6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7.1224250099504999E-6</v>
          </cell>
          <cell r="D28">
            <v>4.4641334635281904E-6</v>
          </cell>
          <cell r="E28">
            <v>5.2159040677094798E-6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7.1321505844187403E-3</v>
          </cell>
          <cell r="D33">
            <v>0.20964763382690499</v>
          </cell>
          <cell r="E33">
            <v>0.24874828815282801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2.3036680861921042E-6</v>
          </cell>
        </row>
        <row r="35">
          <cell r="B35">
            <v>0</v>
          </cell>
          <cell r="C35">
            <v>6.9847435083463801E-8</v>
          </cell>
          <cell r="D35">
            <v>1.76796384693736</v>
          </cell>
          <cell r="E35">
            <v>7.7912889630065104E-7</v>
          </cell>
        </row>
        <row r="36">
          <cell r="B36">
            <v>0</v>
          </cell>
          <cell r="C36">
            <v>1.4170387273275223E-5</v>
          </cell>
          <cell r="D36">
            <v>8.3049596182526006E-4</v>
          </cell>
          <cell r="E36">
            <v>1.0567502055518601E-6</v>
          </cell>
        </row>
        <row r="37">
          <cell r="B37">
            <v>0</v>
          </cell>
          <cell r="C37">
            <v>1.5623151958364046E-5</v>
          </cell>
          <cell r="D37">
            <v>0.62971668901009326</v>
          </cell>
          <cell r="E37">
            <v>1.3947472093227979E-6</v>
          </cell>
        </row>
        <row r="38">
          <cell r="B38">
            <v>0</v>
          </cell>
          <cell r="C38">
            <v>6.56589247181998E-8</v>
          </cell>
          <cell r="D38">
            <v>2.00470953079645</v>
          </cell>
          <cell r="E38">
            <v>6.9246280900126697E-7</v>
          </cell>
        </row>
        <row r="39">
          <cell r="B39">
            <v>0</v>
          </cell>
          <cell r="C39">
            <v>6.5628446974712297E-6</v>
          </cell>
          <cell r="D39">
            <v>1.4910926108404401E-5</v>
          </cell>
          <cell r="E39">
            <v>2.52564296121355E-3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1.1931372406309501E-2</v>
          </cell>
          <cell r="D41">
            <v>2.5191059964236799E-3</v>
          </cell>
          <cell r="E41">
            <v>1.1579481846546899E-2</v>
          </cell>
        </row>
        <row r="42">
          <cell r="B42">
            <v>0</v>
          </cell>
          <cell r="C42">
            <v>4.3353092393002999E-3</v>
          </cell>
          <cell r="D42">
            <v>4.6977105206875001E-2</v>
          </cell>
          <cell r="E42">
            <v>6.3097059263544905E-2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3.1015663223306501E-7</v>
          </cell>
          <cell r="D44">
            <v>1.6137692856436699E-7</v>
          </cell>
          <cell r="E44">
            <v>4.67927091172786E-7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7.6176969873562725E-5</v>
          </cell>
          <cell r="D48">
            <v>2.3932961433391071E-4</v>
          </cell>
          <cell r="E48">
            <v>3.4692866502257004E-5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0</v>
          </cell>
          <cell r="C51">
            <v>2.0763276230088699E-4</v>
          </cell>
          <cell r="D51">
            <v>1.4058640528360092E-3</v>
          </cell>
          <cell r="E51">
            <v>0.1315019360112045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0</v>
          </cell>
          <cell r="C54">
            <v>2.6189921058014098E-2</v>
          </cell>
          <cell r="D54">
            <v>6.57201886520699E-3</v>
          </cell>
          <cell r="E54">
            <v>1.22223453523903E-2</v>
          </cell>
        </row>
        <row r="55">
          <cell r="B55">
            <v>0</v>
          </cell>
          <cell r="C55">
            <v>2.7183788645958801E-2</v>
          </cell>
          <cell r="D55">
            <v>6.9036934021009503E-7</v>
          </cell>
          <cell r="E55">
            <v>9.5142173543813602E-7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</v>
          </cell>
          <cell r="C63">
            <v>8.9311596930804903E-7</v>
          </cell>
          <cell r="D63">
            <v>8.8070098895504498E-7</v>
          </cell>
          <cell r="E63">
            <v>8.2253478552365995E-7</v>
          </cell>
        </row>
        <row r="64">
          <cell r="B64">
            <v>1.4042473040049501E-3</v>
          </cell>
          <cell r="C64">
            <v>2.1175953288969002E-6</v>
          </cell>
          <cell r="D64">
            <v>5.3276906709103502E-3</v>
          </cell>
          <cell r="E64">
            <v>1.51324480500274E-2</v>
          </cell>
        </row>
        <row r="65">
          <cell r="B65">
            <v>1.0411007081888499E-3</v>
          </cell>
          <cell r="C65">
            <v>1.66296502630644E-6</v>
          </cell>
          <cell r="D65">
            <v>3.1663788352277499E-3</v>
          </cell>
          <cell r="E65">
            <v>6.2400389833274601E-3</v>
          </cell>
        </row>
        <row r="66">
          <cell r="B66">
            <v>9.6546638177292805E-4</v>
          </cell>
          <cell r="C66">
            <v>1.62035577327009E-6</v>
          </cell>
          <cell r="D66">
            <v>6.8541178137281805E-2</v>
          </cell>
          <cell r="E66">
            <v>1.2020908725319001E-3</v>
          </cell>
        </row>
        <row r="67">
          <cell r="B67">
            <v>1.886045797370606E-3</v>
          </cell>
          <cell r="C67">
            <v>3.1015439569056299E-6</v>
          </cell>
          <cell r="D67">
            <v>0.12631838698938691</v>
          </cell>
          <cell r="E67">
            <v>1.005265131027461E-3</v>
          </cell>
        </row>
        <row r="68">
          <cell r="B68">
            <v>1.9035682064854169E-3</v>
          </cell>
          <cell r="C68">
            <v>3.1115146175651401E-6</v>
          </cell>
          <cell r="D68">
            <v>3.6538755453150801E-2</v>
          </cell>
          <cell r="E68">
            <v>1.387126417500645E-3</v>
          </cell>
        </row>
        <row r="69">
          <cell r="B69">
            <v>9.8240131318258895E-4</v>
          </cell>
          <cell r="C69">
            <v>1.62911346653785E-6</v>
          </cell>
          <cell r="D69">
            <v>0.12311796918656399</v>
          </cell>
          <cell r="E69">
            <v>1.00673290122825E-3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0.86109934187717241</v>
          </cell>
          <cell r="C5">
            <v>0.63725495042073454</v>
          </cell>
          <cell r="D5">
            <v>1.2033404851988687</v>
          </cell>
          <cell r="E5">
            <v>0</v>
          </cell>
        </row>
        <row r="12">
          <cell r="B12">
            <v>5.4614467084104314E-2</v>
          </cell>
          <cell r="C12">
            <v>4.963892877973141E-2</v>
          </cell>
          <cell r="D12">
            <v>3.3611554622146399E-2</v>
          </cell>
          <cell r="E12">
            <v>2.4561503009816851E-2</v>
          </cell>
        </row>
        <row r="19">
          <cell r="B19">
            <v>1.3280061669669818</v>
          </cell>
          <cell r="C19">
            <v>4.3847682101523704</v>
          </cell>
          <cell r="D19">
            <v>4.3847683840802958</v>
          </cell>
          <cell r="E19">
            <v>4.3847665588907203</v>
          </cell>
        </row>
        <row r="20">
          <cell r="B20">
            <v>5.6294157944489127</v>
          </cell>
          <cell r="C20">
            <v>6.2382375989894205</v>
          </cell>
          <cell r="D20">
            <v>6.0290868594980545</v>
          </cell>
          <cell r="E20">
            <v>6.7463236149378574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8">
          <cell r="B28">
            <v>3.651259346000539E-3</v>
          </cell>
          <cell r="C28">
            <v>5.2385901576496559E-3</v>
          </cell>
          <cell r="D28">
            <v>5.2591998691254478E-3</v>
          </cell>
          <cell r="E28">
            <v>7.4055708569680792E-3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1.2890753853393984</v>
          </cell>
          <cell r="C38">
            <v>4.8202028353132089</v>
          </cell>
          <cell r="D38">
            <v>4.8202037626422527</v>
          </cell>
          <cell r="E38">
            <v>4.8202000643710647</v>
          </cell>
        </row>
        <row r="39">
          <cell r="B39">
            <v>1.1764753577704916</v>
          </cell>
          <cell r="C39">
            <v>4.3991607625867282</v>
          </cell>
          <cell r="D39">
            <v>4.3991616089140884</v>
          </cell>
          <cell r="E39">
            <v>4.3991582336848607</v>
          </cell>
        </row>
      </sheetData>
      <sheetData sheetId="68">
        <row r="3">
          <cell r="B3">
            <v>48.063397652170998</v>
          </cell>
          <cell r="C3">
            <v>49.195466995808211</v>
          </cell>
          <cell r="D3">
            <v>51.968463374255826</v>
          </cell>
          <cell r="E3">
            <v>53.253423825171744</v>
          </cell>
        </row>
        <row r="6">
          <cell r="B6">
            <v>0</v>
          </cell>
          <cell r="C6">
            <v>4.8942321334634595</v>
          </cell>
          <cell r="D6">
            <v>4.8942867807424388</v>
          </cell>
          <cell r="E6">
            <v>14.466150191722601</v>
          </cell>
        </row>
        <row r="11">
          <cell r="B11">
            <v>60.070043358110638</v>
          </cell>
          <cell r="C11">
            <v>61.054913273094428</v>
          </cell>
          <cell r="D11">
            <v>63.816886814617064</v>
          </cell>
          <cell r="E11">
            <v>62.539987096432178</v>
          </cell>
        </row>
        <row r="18">
          <cell r="B18">
            <v>3.5600254872178341</v>
          </cell>
          <cell r="C18">
            <v>3.4647226795167949</v>
          </cell>
          <cell r="D18">
            <v>0.98900736887270957</v>
          </cell>
          <cell r="E18">
            <v>4.4505442796075246E-4</v>
          </cell>
        </row>
        <row r="19">
          <cell r="B19">
            <v>12.728655727200438</v>
          </cell>
          <cell r="C19">
            <v>13.638430963735932</v>
          </cell>
          <cell r="D19">
            <v>13.518654595783994</v>
          </cell>
          <cell r="E19">
            <v>14.506429750696224</v>
          </cell>
        </row>
        <row r="21">
          <cell r="B21">
            <v>7.7980559924360975</v>
          </cell>
          <cell r="C21">
            <v>8.0801715131694731</v>
          </cell>
          <cell r="D21">
            <v>11.008862407597146</v>
          </cell>
          <cell r="E21">
            <v>10.904585351801449</v>
          </cell>
        </row>
        <row r="22">
          <cell r="B22">
            <v>6.7646983408906847E-2</v>
          </cell>
          <cell r="C22">
            <v>8.5497042382649491E-2</v>
          </cell>
          <cell r="D22">
            <v>8.6271676196359545E-2</v>
          </cell>
          <cell r="E22">
            <v>0.45157611361254418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0.74849546556731217</v>
          </cell>
          <cell r="C24">
            <v>0.94973410475198583</v>
          </cell>
          <cell r="D24">
            <v>0.96359198951334912</v>
          </cell>
          <cell r="E24">
            <v>2.4618969181976271</v>
          </cell>
        </row>
        <row r="33">
          <cell r="B33">
            <v>12.006645705939642</v>
          </cell>
          <cell r="C33">
            <v>12.71004533525659</v>
          </cell>
          <cell r="D33">
            <v>12.699032047358298</v>
          </cell>
          <cell r="E33">
            <v>13.350198617895064</v>
          </cell>
        </row>
        <row r="34">
          <cell r="B34">
            <v>8.8978289153367243</v>
          </cell>
          <cell r="C34">
            <v>8.1053341898350748</v>
          </cell>
          <cell r="D34">
            <v>7.9984324157854054</v>
          </cell>
          <cell r="E34">
            <v>5.0099013602875697</v>
          </cell>
        </row>
        <row r="35">
          <cell r="B35">
            <v>2.7300124583408691</v>
          </cell>
          <cell r="C35">
            <v>2.7182451632948927</v>
          </cell>
          <cell r="D35">
            <v>6.0020577577564859E-3</v>
          </cell>
          <cell r="E35">
            <v>5.6259943236925249E-4</v>
          </cell>
        </row>
        <row r="36">
          <cell r="B36">
            <v>0</v>
          </cell>
          <cell r="C36">
            <v>0</v>
          </cell>
          <cell r="D36">
            <v>4.0245857885122478E-4</v>
          </cell>
          <cell r="E36">
            <v>0.90533391294023191</v>
          </cell>
        </row>
        <row r="37">
          <cell r="B37">
            <v>35.244428568129145</v>
          </cell>
          <cell r="C37">
            <v>29.064035623653108</v>
          </cell>
          <cell r="D37">
            <v>32.571486073854658</v>
          </cell>
          <cell r="E37">
            <v>23.744752100200564</v>
          </cell>
        </row>
        <row r="38">
          <cell r="B38">
            <v>0.30793612488172861</v>
          </cell>
          <cell r="C38">
            <v>3.0024821806437716E-5</v>
          </cell>
          <cell r="D38">
            <v>1.5935772599617632</v>
          </cell>
          <cell r="E38">
            <v>1.6400069734377274</v>
          </cell>
        </row>
        <row r="39">
          <cell r="B39">
            <v>0.43674755453192288</v>
          </cell>
          <cell r="C39">
            <v>0.55207065852058268</v>
          </cell>
          <cell r="D39">
            <v>1.4655692646877225</v>
          </cell>
          <cell r="E39">
            <v>1.4655904116700709</v>
          </cell>
        </row>
        <row r="55">
          <cell r="B55">
            <v>9.8139095624007151</v>
          </cell>
          <cell r="C55">
            <v>10.335085018705572</v>
          </cell>
          <cell r="D55">
            <v>10.335097206580622</v>
          </cell>
          <cell r="E55">
            <v>10.335108166049295</v>
          </cell>
        </row>
        <row r="56">
          <cell r="B56">
            <v>1.1081795567235997</v>
          </cell>
          <cell r="C56">
            <v>1.400799029951814</v>
          </cell>
          <cell r="D56">
            <v>1.4133697828964702</v>
          </cell>
          <cell r="E56">
            <v>3.579028311953814</v>
          </cell>
        </row>
        <row r="57">
          <cell r="B57">
            <v>6.9177250408567614</v>
          </cell>
          <cell r="C57">
            <v>6.3117849134579203</v>
          </cell>
          <cell r="D57">
            <v>6.2439426213999063</v>
          </cell>
          <cell r="E57">
            <v>4.6360709647981979</v>
          </cell>
        </row>
        <row r="58">
          <cell r="B58">
            <v>1.8458296733957211</v>
          </cell>
          <cell r="C58">
            <v>1.8458243781353956</v>
          </cell>
          <cell r="D58">
            <v>4.1020313488166985E-3</v>
          </cell>
          <cell r="E58">
            <v>3.8861555790906094E-4</v>
          </cell>
        </row>
        <row r="59">
          <cell r="B59">
            <v>28.619772006167388</v>
          </cell>
          <cell r="C59">
            <v>23.417148894376577</v>
          </cell>
          <cell r="D59">
            <v>27.563173582134166</v>
          </cell>
          <cell r="E59">
            <v>20.524249139525519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2.3674169489998631</v>
          </cell>
          <cell r="C61">
            <v>2.3075053045581861</v>
          </cell>
          <cell r="D61">
            <v>0.66016241872253345</v>
          </cell>
          <cell r="E61">
            <v>2.9818646673370375E-4</v>
          </cell>
        </row>
        <row r="62">
          <cell r="B62">
            <v>5.1850612463740919</v>
          </cell>
          <cell r="C62">
            <v>5.5675610504759092</v>
          </cell>
          <cell r="D62">
            <v>5.695565229072109</v>
          </cell>
          <cell r="E62">
            <v>7.5027381396626138</v>
          </cell>
        </row>
        <row r="63">
          <cell r="B63">
            <v>6.5822788252485864</v>
          </cell>
          <cell r="C63">
            <v>7.067850112601338</v>
          </cell>
          <cell r="D63">
            <v>6.8690308233319373</v>
          </cell>
          <cell r="E63">
            <v>6.051732852118584</v>
          </cell>
        </row>
        <row r="64">
          <cell r="B64">
            <v>5.3111367546158688</v>
          </cell>
          <cell r="C64">
            <v>6.2669476950139451</v>
          </cell>
          <cell r="D64">
            <v>5.8298606317055262</v>
          </cell>
          <cell r="E64">
            <v>5.8968661235196089</v>
          </cell>
        </row>
        <row r="65">
          <cell r="B65">
            <v>0.46152620871717753</v>
          </cell>
          <cell r="C65">
            <v>0.54457806783791973</v>
          </cell>
          <cell r="D65">
            <v>0.54458508726295862</v>
          </cell>
          <cell r="E65">
            <v>0.54460992139374098</v>
          </cell>
        </row>
        <row r="66">
          <cell r="B66">
            <v>4.1173735640062636</v>
          </cell>
          <cell r="C66">
            <v>4.2663305589534835</v>
          </cell>
          <cell r="D66">
            <v>5.8126793512112895</v>
          </cell>
          <cell r="E66">
            <v>5.7576210657511648</v>
          </cell>
        </row>
        <row r="67">
          <cell r="B67">
            <v>6.7646983408906847E-2</v>
          </cell>
          <cell r="C67">
            <v>8.5497042382649491E-2</v>
          </cell>
          <cell r="D67">
            <v>8.6271676196359545E-2</v>
          </cell>
          <cell r="E67">
            <v>0.45157611361254418</v>
          </cell>
        </row>
        <row r="68">
          <cell r="B68">
            <v>0.31052751127219724</v>
          </cell>
          <cell r="C68">
            <v>0.39252223820813392</v>
          </cell>
          <cell r="D68">
            <v>1.0420197471929695</v>
          </cell>
          <cell r="E68">
            <v>1.0420347826974214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4.0436309524502736</v>
          </cell>
          <cell r="D70">
            <v>4.0436761022148788</v>
          </cell>
          <cell r="E70">
            <v>10.402536674987306</v>
          </cell>
        </row>
        <row r="71">
          <cell r="B71">
            <v>72.708383882187121</v>
          </cell>
          <cell r="C71">
            <v>73.853065257109108</v>
          </cell>
          <cell r="D71">
            <v>76.143536291270536</v>
          </cell>
          <cell r="E71">
            <v>76.724859058094452</v>
          </cell>
        </row>
      </sheetData>
      <sheetData sheetId="69">
        <row r="3">
          <cell r="B3">
            <v>56.994774574912441</v>
          </cell>
          <cell r="C3">
            <v>58.701895651568755</v>
          </cell>
          <cell r="D3">
            <v>58.514300890062415</v>
          </cell>
          <cell r="E3">
            <v>54.453042158562013</v>
          </cell>
        </row>
        <row r="6">
          <cell r="B6">
            <v>0</v>
          </cell>
          <cell r="C6">
            <v>9.1172863356586955</v>
          </cell>
          <cell r="D6">
            <v>2.3586237764484421</v>
          </cell>
          <cell r="E6">
            <v>5.2890490218836392</v>
          </cell>
        </row>
        <row r="11">
          <cell r="B11">
            <v>60.950037389413218</v>
          </cell>
          <cell r="C11">
            <v>60.772358610345044</v>
          </cell>
          <cell r="D11">
            <v>61.846951823956815</v>
          </cell>
          <cell r="E11">
            <v>59.380326323248511</v>
          </cell>
        </row>
        <row r="12">
          <cell r="B12">
            <v>30.256635621358559</v>
          </cell>
          <cell r="C12">
            <v>23.411591648706132</v>
          </cell>
          <cell r="D12">
            <v>25.746485478879315</v>
          </cell>
          <cell r="E12">
            <v>13.031021111511466</v>
          </cell>
        </row>
        <row r="13">
          <cell r="B13">
            <v>0</v>
          </cell>
          <cell r="C13">
            <v>0</v>
          </cell>
          <cell r="D13">
            <v>3.1580378080554595E-4</v>
          </cell>
          <cell r="E13">
            <v>1.1123733655372214E-4</v>
          </cell>
        </row>
        <row r="14">
          <cell r="B14">
            <v>25.262699718605031</v>
          </cell>
          <cell r="C14">
            <v>24.948001600225211</v>
          </cell>
          <cell r="D14">
            <v>21.662898697330743</v>
          </cell>
          <cell r="E14">
            <v>14.650949783985773</v>
          </cell>
        </row>
        <row r="15">
          <cell r="B15">
            <v>0.28599049908813823</v>
          </cell>
          <cell r="C15">
            <v>1.8017850366436834</v>
          </cell>
          <cell r="D15">
            <v>1.1569535224916685</v>
          </cell>
          <cell r="E15">
            <v>0.55259944593861576</v>
          </cell>
        </row>
        <row r="16">
          <cell r="B16">
            <v>1.4022811333255694</v>
          </cell>
          <cell r="C16">
            <v>1.5372287417952686</v>
          </cell>
          <cell r="D16">
            <v>0</v>
          </cell>
          <cell r="E16">
            <v>0</v>
          </cell>
        </row>
        <row r="17">
          <cell r="B17">
            <v>7.7268948288589492</v>
          </cell>
          <cell r="C17">
            <v>8.3697003835238633</v>
          </cell>
          <cell r="D17">
            <v>6.020905176280162</v>
          </cell>
          <cell r="E17">
            <v>9.8742396885031454</v>
          </cell>
        </row>
        <row r="19">
          <cell r="B19">
            <v>0.62700122087710108</v>
          </cell>
          <cell r="C19">
            <v>0.68733971440478714</v>
          </cell>
          <cell r="D19">
            <v>0.5697971565956419</v>
          </cell>
          <cell r="E19">
            <v>0.81009781478217058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2.7747980148346745E-3</v>
          </cell>
        </row>
        <row r="21">
          <cell r="B21">
            <v>2.9296060291223185</v>
          </cell>
          <cell r="C21">
            <v>3.1924556052825324</v>
          </cell>
          <cell r="D21">
            <v>5.3309115163242558</v>
          </cell>
          <cell r="E21">
            <v>11.807597478350267</v>
          </cell>
        </row>
        <row r="28">
          <cell r="B28">
            <v>3.9552628145007729</v>
          </cell>
          <cell r="C28">
            <v>2.0704629587762948</v>
          </cell>
          <cell r="D28">
            <v>3.3326509338943984</v>
          </cell>
          <cell r="E28">
            <v>4.9272841646864975</v>
          </cell>
        </row>
        <row r="47">
          <cell r="B47">
            <v>4.2612451332688268</v>
          </cell>
          <cell r="C47">
            <v>4.6176590004979472</v>
          </cell>
          <cell r="D47">
            <v>6.4744139731942845</v>
          </cell>
          <cell r="E47">
            <v>14.125206509207349</v>
          </cell>
        </row>
        <row r="48">
          <cell r="B48">
            <v>24.843070914595856</v>
          </cell>
          <cell r="C48">
            <v>19.260817804174788</v>
          </cell>
          <cell r="D48">
            <v>20.306601398888024</v>
          </cell>
          <cell r="E48">
            <v>10.66267258222752</v>
          </cell>
        </row>
        <row r="49">
          <cell r="B49">
            <v>24.189717333773334</v>
          </cell>
          <cell r="C49">
            <v>25.326925645546122</v>
          </cell>
          <cell r="D49">
            <v>18.417033718591746</v>
          </cell>
          <cell r="E49">
            <v>11.48011012618792</v>
          </cell>
        </row>
        <row r="50">
          <cell r="B50">
            <v>0</v>
          </cell>
          <cell r="C50">
            <v>0</v>
          </cell>
          <cell r="D50">
            <v>2.274621412313329</v>
          </cell>
          <cell r="E50">
            <v>3.9620973767829271</v>
          </cell>
        </row>
        <row r="51">
          <cell r="B51">
            <v>2.0957213701438007</v>
          </cell>
          <cell r="C51">
            <v>2.270066008610252</v>
          </cell>
          <cell r="D51">
            <v>0</v>
          </cell>
          <cell r="E51">
            <v>0</v>
          </cell>
        </row>
        <row r="52">
          <cell r="B52">
            <v>5.553904510426551</v>
          </cell>
          <cell r="C52">
            <v>6.0159373710783726</v>
          </cell>
          <cell r="D52">
            <v>4.9433260101213223</v>
          </cell>
          <cell r="E52">
            <v>8.1862861341505599</v>
          </cell>
        </row>
        <row r="53">
          <cell r="B53">
            <v>6.1735475072154617</v>
          </cell>
          <cell r="C53">
            <v>7.1868602459871767</v>
          </cell>
          <cell r="D53">
            <v>6.3614425200668494</v>
          </cell>
          <cell r="E53">
            <v>5.4085797266386244</v>
          </cell>
        </row>
        <row r="54">
          <cell r="B54">
            <v>1.8770738948288272</v>
          </cell>
          <cell r="C54">
            <v>2.1600847201955409</v>
          </cell>
          <cell r="D54">
            <v>0.18522841638653448</v>
          </cell>
          <cell r="E54">
            <v>0.16229183628954039</v>
          </cell>
        </row>
        <row r="55">
          <cell r="B55">
            <v>0.62700122087710108</v>
          </cell>
          <cell r="C55">
            <v>0.68733971440478714</v>
          </cell>
          <cell r="D55">
            <v>0.5697971565956419</v>
          </cell>
          <cell r="E55">
            <v>0.81009781478217058</v>
          </cell>
        </row>
        <row r="56">
          <cell r="B56">
            <v>1.2230696044865601</v>
          </cell>
          <cell r="C56">
            <v>1.3407709085938346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9.1172863356586955</v>
          </cell>
          <cell r="D58">
            <v>2.3586237764484421</v>
          </cell>
          <cell r="E58">
            <v>5.2890490218836392</v>
          </cell>
        </row>
        <row r="59">
          <cell r="B59">
            <v>73.238408125314578</v>
          </cell>
          <cell r="C59">
            <v>78.574160255405715</v>
          </cell>
          <cell r="D59">
            <v>62.417429977532933</v>
          </cell>
          <cell r="E59">
            <v>60.386740097829289</v>
          </cell>
        </row>
      </sheetData>
      <sheetData sheetId="70">
        <row r="3">
          <cell r="B3">
            <v>44.576907030209838</v>
          </cell>
          <cell r="C3">
            <v>44.861181764826235</v>
          </cell>
          <cell r="D3">
            <v>49.523392773614603</v>
          </cell>
          <cell r="E3">
            <v>46.365377478823753</v>
          </cell>
        </row>
        <row r="10">
          <cell r="B10">
            <v>9.1540056599951541E-2</v>
          </cell>
          <cell r="C10">
            <v>8.5234074516534388</v>
          </cell>
          <cell r="D10">
            <v>5.1420535747082914</v>
          </cell>
          <cell r="E10">
            <v>11.839112580568623</v>
          </cell>
        </row>
        <row r="15">
          <cell r="B15">
            <v>69.470101824221928</v>
          </cell>
          <cell r="C15">
            <v>70.02843467073231</v>
          </cell>
          <cell r="D15">
            <v>70.673627119619681</v>
          </cell>
          <cell r="E15">
            <v>69.681997650529482</v>
          </cell>
        </row>
        <row r="16">
          <cell r="B16">
            <v>60.231858070432999</v>
          </cell>
          <cell r="C16">
            <v>50.662267276066935</v>
          </cell>
          <cell r="D16">
            <v>49.639613297603127</v>
          </cell>
          <cell r="E16">
            <v>22.194050535299919</v>
          </cell>
        </row>
        <row r="17">
          <cell r="B17">
            <v>0</v>
          </cell>
          <cell r="C17">
            <v>0</v>
          </cell>
          <cell r="D17">
            <v>3.1627554087598959E-4</v>
          </cell>
          <cell r="E17">
            <v>1.1153807929097121E-4</v>
          </cell>
        </row>
        <row r="18">
          <cell r="B18">
            <v>46.694646918501668</v>
          </cell>
          <cell r="C18">
            <v>45.814982642411742</v>
          </cell>
          <cell r="D18">
            <v>44.195239524310914</v>
          </cell>
          <cell r="E18">
            <v>30.374238833674518</v>
          </cell>
        </row>
        <row r="19">
          <cell r="B19">
            <v>0.30728984915083885</v>
          </cell>
          <cell r="C19">
            <v>2.4554578587268678</v>
          </cell>
          <cell r="D19">
            <v>1.5471933492184142</v>
          </cell>
          <cell r="E19">
            <v>0.62693818267365042</v>
          </cell>
        </row>
        <row r="20">
          <cell r="B20">
            <v>0.10000470528783008</v>
          </cell>
          <cell r="C20">
            <v>0.10000182413697438</v>
          </cell>
          <cell r="D20">
            <v>2.6341168928954148E-2</v>
          </cell>
          <cell r="E20">
            <v>0</v>
          </cell>
        </row>
        <row r="21">
          <cell r="B21">
            <v>8.3772291434152653</v>
          </cell>
          <cell r="C21">
            <v>9.6738934113189554</v>
          </cell>
          <cell r="D21">
            <v>8.425635866810266</v>
          </cell>
          <cell r="E21">
            <v>15.294468105444675</v>
          </cell>
        </row>
        <row r="22">
          <cell r="B22">
            <v>16.991252545321327</v>
          </cell>
          <cell r="C22">
            <v>17.163596026799432</v>
          </cell>
          <cell r="D22">
            <v>15.82631006743585</v>
          </cell>
          <cell r="E22">
            <v>12.453315240515927</v>
          </cell>
        </row>
        <row r="23">
          <cell r="B23">
            <v>2.5068320205764563</v>
          </cell>
          <cell r="C23">
            <v>2.9280392628611445</v>
          </cell>
          <cell r="D23">
            <v>1.0494126097765564</v>
          </cell>
          <cell r="E23">
            <v>1.5163042738031656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2.6982321571862584E-3</v>
          </cell>
        </row>
        <row r="25">
          <cell r="B25">
            <v>15.19501572802627</v>
          </cell>
          <cell r="C25">
            <v>17.636345155249288</v>
          </cell>
          <cell r="D25">
            <v>27.687750750911704</v>
          </cell>
          <cell r="E25">
            <v>44.004881446863621</v>
          </cell>
        </row>
        <row r="26">
          <cell r="B26">
            <v>219.87423080493457</v>
          </cell>
          <cell r="C26">
            <v>216.46301812830364</v>
          </cell>
          <cell r="D26">
            <v>219.07144003015637</v>
          </cell>
          <cell r="E26">
            <v>196.14900403904147</v>
          </cell>
        </row>
        <row r="102">
          <cell r="B102">
            <v>8.9080424577574888</v>
          </cell>
          <cell r="C102">
            <v>7.88274774127858</v>
          </cell>
          <cell r="D102">
            <v>0.8331266005927026</v>
          </cell>
          <cell r="E102">
            <v>0.15461114978349635</v>
          </cell>
        </row>
        <row r="104">
          <cell r="B104">
            <v>19.060375840747419</v>
          </cell>
          <cell r="C104">
            <v>22.071627187490414</v>
          </cell>
          <cell r="D104">
            <v>34.143755443970832</v>
          </cell>
          <cell r="E104">
            <v>50.000748021458925</v>
          </cell>
        </row>
        <row r="105">
          <cell r="B105">
            <v>45.124413763393264</v>
          </cell>
          <cell r="C105">
            <v>38.437459084499402</v>
          </cell>
          <cell r="D105">
            <v>34.726764555143092</v>
          </cell>
          <cell r="E105">
            <v>16.221013243169139</v>
          </cell>
        </row>
        <row r="106">
          <cell r="B106">
            <v>36.569927955028298</v>
          </cell>
          <cell r="C106">
            <v>38.875586745321236</v>
          </cell>
          <cell r="D106">
            <v>31.194769625127165</v>
          </cell>
          <cell r="E106">
            <v>20.151892289578822</v>
          </cell>
        </row>
        <row r="107">
          <cell r="B107">
            <v>0</v>
          </cell>
          <cell r="C107">
            <v>0</v>
          </cell>
          <cell r="D107">
            <v>4.1914601058796892</v>
          </cell>
          <cell r="E107">
            <v>6.3983590845808189</v>
          </cell>
        </row>
        <row r="108">
          <cell r="B108">
            <v>7.2003387807237682E-2</v>
          </cell>
          <cell r="C108">
            <v>7.2001313378621534E-2</v>
          </cell>
          <cell r="D108">
            <v>2.1051899413794289E-2</v>
          </cell>
          <cell r="E108">
            <v>0</v>
          </cell>
        </row>
        <row r="109">
          <cell r="B109">
            <v>8.0613982624334141E-2</v>
          </cell>
          <cell r="C109">
            <v>7.4913257962543559E-3</v>
          </cell>
          <cell r="D109">
            <v>0</v>
          </cell>
          <cell r="E109">
            <v>0</v>
          </cell>
        </row>
        <row r="110">
          <cell r="B110">
            <v>6.5194865907604331</v>
          </cell>
          <cell r="C110">
            <v>7.6930524965287033</v>
          </cell>
          <cell r="D110">
            <v>5.9353608026295612</v>
          </cell>
          <cell r="E110">
            <v>10.51304094221844</v>
          </cell>
        </row>
        <row r="111">
          <cell r="B111">
            <v>9.1310831617430832</v>
          </cell>
          <cell r="C111">
            <v>8.7387159969723012</v>
          </cell>
          <cell r="D111">
            <v>9.4560270606056491</v>
          </cell>
          <cell r="E111">
            <v>7.4130663791196207</v>
          </cell>
        </row>
        <row r="112">
          <cell r="B112">
            <v>2.696897582435422</v>
          </cell>
          <cell r="C112">
            <v>3.1682289709648677</v>
          </cell>
          <cell r="D112">
            <v>0.163341102714536</v>
          </cell>
          <cell r="E112">
            <v>0.14129626645436419</v>
          </cell>
        </row>
        <row r="113">
          <cell r="B113">
            <v>0.7853439959166052</v>
          </cell>
          <cell r="C113">
            <v>0.94130088727139527</v>
          </cell>
          <cell r="D113">
            <v>3.7008437331993833E-2</v>
          </cell>
          <cell r="E113">
            <v>4.6034461850921735E-2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129.03972877481354</v>
          </cell>
          <cell r="C116">
            <v>136.41161920115519</v>
          </cell>
          <cell r="D116">
            <v>125.84471920811728</v>
          </cell>
          <cell r="E116">
            <v>122.87917441878318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26.978374317089791</v>
          </cell>
          <cell r="C224">
            <v>25.929183231242252</v>
          </cell>
          <cell r="D224">
            <v>21.716605261935381</v>
          </cell>
          <cell r="E224">
            <v>22.085841745494935</v>
          </cell>
        </row>
        <row r="231">
          <cell r="B231">
            <v>15.55276043611129</v>
          </cell>
          <cell r="C231">
            <v>14.85145868651367</v>
          </cell>
          <cell r="D231">
            <v>3.6489901396074131</v>
          </cell>
          <cell r="E231">
            <v>2.0697949488205349</v>
          </cell>
        </row>
        <row r="233">
          <cell r="B233">
            <v>22.300288308761164</v>
          </cell>
          <cell r="C233">
            <v>25.707091403704563</v>
          </cell>
          <cell r="D233">
            <v>39.452033753405644</v>
          </cell>
          <cell r="E233">
            <v>58.992955413414315</v>
          </cell>
        </row>
        <row r="234">
          <cell r="B234">
            <v>52.108877541065404</v>
          </cell>
          <cell r="C234">
            <v>43.979293080987453</v>
          </cell>
          <cell r="D234">
            <v>39.243086032058613</v>
          </cell>
          <cell r="E234">
            <v>18.136709848004145</v>
          </cell>
        </row>
        <row r="235">
          <cell r="B235">
            <v>42.950384776797947</v>
          </cell>
          <cell r="C235">
            <v>44.416559508472162</v>
          </cell>
          <cell r="D235">
            <v>36.262672374636288</v>
          </cell>
          <cell r="E235">
            <v>23.057137656719593</v>
          </cell>
        </row>
        <row r="236">
          <cell r="B236">
            <v>0</v>
          </cell>
          <cell r="C236">
            <v>0</v>
          </cell>
          <cell r="D236">
            <v>5.1742682514973453</v>
          </cell>
          <cell r="E236">
            <v>8.3866304461882368</v>
          </cell>
        </row>
        <row r="238">
          <cell r="B238">
            <v>9.6700561654665618E-2</v>
          </cell>
          <cell r="C238">
            <v>8.9149441279655749E-3</v>
          </cell>
          <cell r="D238">
            <v>0</v>
          </cell>
          <cell r="E238">
            <v>0</v>
          </cell>
        </row>
        <row r="239">
          <cell r="B239">
            <v>7.8204548950828157</v>
          </cell>
          <cell r="C239">
            <v>9.1550060757404061</v>
          </cell>
          <cell r="D239">
            <v>6.8962895346293038</v>
          </cell>
          <cell r="E239">
            <v>12.51839607897093</v>
          </cell>
        </row>
        <row r="240">
          <cell r="B240">
            <v>9.6515610313796358</v>
          </cell>
          <cell r="C240">
            <v>9.3359632070533891</v>
          </cell>
          <cell r="D240">
            <v>10.471417855674128</v>
          </cell>
          <cell r="E240">
            <v>8.2737547274183108</v>
          </cell>
        </row>
        <row r="241">
          <cell r="B241">
            <v>2.8667000760667642</v>
          </cell>
          <cell r="C241">
            <v>3.3630674979046531</v>
          </cell>
          <cell r="D241">
            <v>0.20004844464530619</v>
          </cell>
          <cell r="E241">
            <v>0.17422019037025507</v>
          </cell>
        </row>
        <row r="242">
          <cell r="B242">
            <v>2.5068320205764563</v>
          </cell>
          <cell r="C242">
            <v>2.9280392628611445</v>
          </cell>
          <cell r="D242">
            <v>1.0494126097765564</v>
          </cell>
          <cell r="E242">
            <v>1.5163042738031656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9.1540056599951541E-2</v>
          </cell>
          <cell r="C244">
            <v>8.5234074516534388</v>
          </cell>
          <cell r="D244">
            <v>5.1420535747082914</v>
          </cell>
          <cell r="E244">
            <v>11.839112580568623</v>
          </cell>
        </row>
        <row r="245">
          <cell r="B245">
            <v>156.0181030919033</v>
          </cell>
          <cell r="C245">
            <v>162.34080243239748</v>
          </cell>
          <cell r="D245">
            <v>147.56132447005271</v>
          </cell>
          <cell r="E245">
            <v>144.9650161642781</v>
          </cell>
        </row>
      </sheetData>
      <sheetData sheetId="71">
        <row r="21">
          <cell r="B21">
            <v>76.373627403380155</v>
          </cell>
          <cell r="C21">
            <v>75.684189449058891</v>
          </cell>
          <cell r="D21">
            <v>68.910768120773042</v>
          </cell>
          <cell r="E21">
            <v>57.495621886678023</v>
          </cell>
        </row>
        <row r="22">
          <cell r="B22">
            <v>120.36575607060242</v>
          </cell>
          <cell r="C22">
            <v>111.02999935696457</v>
          </cell>
          <cell r="D22">
            <v>95.93952441676592</v>
          </cell>
          <cell r="E22">
            <v>68.400973119302819</v>
          </cell>
        </row>
        <row r="23">
          <cell r="B23">
            <v>1.0905974525834619</v>
          </cell>
          <cell r="C23">
            <v>1.3845489294473754</v>
          </cell>
          <cell r="D23">
            <v>1.8214143617571414</v>
          </cell>
          <cell r="E23">
            <v>2.3630809522191498</v>
          </cell>
        </row>
        <row r="24">
          <cell r="B24">
            <v>0.26728421458836571</v>
          </cell>
          <cell r="C24">
            <v>9.5024707203687428E-2</v>
          </cell>
          <cell r="D24">
            <v>0.17259139566859202</v>
          </cell>
          <cell r="E24">
            <v>2.7010071995740336E-3</v>
          </cell>
        </row>
        <row r="25">
          <cell r="B25">
            <v>4.4227991824287951</v>
          </cell>
          <cell r="C25">
            <v>4.3828828813914811</v>
          </cell>
          <cell r="D25">
            <v>4.9046574632815094</v>
          </cell>
          <cell r="E25">
            <v>3.3297110312266018</v>
          </cell>
        </row>
        <row r="26">
          <cell r="B26">
            <v>2.9733799689155629</v>
          </cell>
          <cell r="C26">
            <v>2.9709446033358082</v>
          </cell>
          <cell r="D26">
            <v>3.1183339168657573</v>
          </cell>
          <cell r="E26">
            <v>2.783896791082324</v>
          </cell>
        </row>
        <row r="27">
          <cell r="B27">
            <v>2.2051222451330899E-2</v>
          </cell>
          <cell r="C27">
            <v>1.0296223975369383E-2</v>
          </cell>
          <cell r="D27">
            <v>1.8033115598482394E-2</v>
          </cell>
          <cell r="E27">
            <v>5.3552888054927755E-4</v>
          </cell>
        </row>
        <row r="28">
          <cell r="B28">
            <v>2.4842702656880998E-3</v>
          </cell>
          <cell r="C28">
            <v>1.4769009814737101E-5</v>
          </cell>
          <cell r="D28">
            <v>3.7230011209845102E-4</v>
          </cell>
          <cell r="E28">
            <v>0.18741064867018001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2.5032718221414049E-2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80.687925517926118</v>
          </cell>
          <cell r="E11">
            <v>79.262262416654352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5.059296933899744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2.6061073639179018</v>
          </cell>
          <cell r="C53">
            <v>2.7145697120443448</v>
          </cell>
          <cell r="D53">
            <v>2.5382052316497252</v>
          </cell>
          <cell r="E53">
            <v>2.5636893480683405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6.4937752321076019</v>
          </cell>
          <cell r="C55">
            <v>6.1271380201437431</v>
          </cell>
          <cell r="D55">
            <v>5.7453886094827737</v>
          </cell>
          <cell r="E55">
            <v>4.8718535899180591</v>
          </cell>
        </row>
        <row r="56">
          <cell r="B56">
            <v>3.7912909868400897</v>
          </cell>
          <cell r="C56">
            <v>3.2580453191077501</v>
          </cell>
          <cell r="D56">
            <v>3.1659815829039797</v>
          </cell>
          <cell r="E56">
            <v>1.8095815019823471</v>
          </cell>
        </row>
        <row r="57">
          <cell r="B57">
            <v>7.1781476999790721</v>
          </cell>
          <cell r="C57">
            <v>6.3993943530191375</v>
          </cell>
          <cell r="D57">
            <v>6.2304222636938142</v>
          </cell>
          <cell r="E57">
            <v>3.7166348698668901</v>
          </cell>
        </row>
        <row r="58">
          <cell r="B58">
            <v>14.652830219948751</v>
          </cell>
          <cell r="C58">
            <v>13.979079119684998</v>
          </cell>
          <cell r="D58">
            <v>12.424376922260116</v>
          </cell>
          <cell r="E58">
            <v>9.569793134599303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17.776487635643257</v>
          </cell>
          <cell r="G99">
            <v>17.51211405458254</v>
          </cell>
          <cell r="H99">
            <v>16.799390542610894</v>
          </cell>
          <cell r="I99">
            <v>13.131712187006627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2.3489644126952138E-3</v>
          </cell>
          <cell r="J4">
            <v>1.7162932351497606E-3</v>
          </cell>
          <cell r="K4">
            <v>1.8429174413992173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6.6767067622022845E-4</v>
          </cell>
          <cell r="J5">
            <v>4.8404678518469327E-4</v>
          </cell>
          <cell r="K5">
            <v>0.5632932238741889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2.8683756971716409E-4</v>
          </cell>
          <cell r="J6">
            <v>2.023379113714231E-4</v>
          </cell>
          <cell r="K6">
            <v>2.5032770806332336E-4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1.7968923518737489E-4</v>
          </cell>
          <cell r="J7">
            <v>1.4234664816159743E-4</v>
          </cell>
          <cell r="K7">
            <v>1.7055932536122741E-4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2.9069045809575119E-4</v>
          </cell>
          <cell r="J8">
            <v>2.0526997790493547E-4</v>
          </cell>
          <cell r="K8">
            <v>2.5491689708648485E-4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2.9931535065565445E-4</v>
          </cell>
          <cell r="J9">
            <v>2.1983789508978093E-4</v>
          </cell>
          <cell r="K9">
            <v>8.1930024574316765E-2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3.3802160927598777E-4</v>
          </cell>
          <cell r="J10">
            <v>2.6017360309417198E-4</v>
          </cell>
          <cell r="K10">
            <v>1.1967680527126929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2.8673951354305172E-4</v>
          </cell>
          <cell r="J11">
            <v>2.0228041434315833E-4</v>
          </cell>
          <cell r="K11">
            <v>2.5033630750826731E-4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1.5010969185425632E-2</v>
          </cell>
          <cell r="J12">
            <v>2.2054491848641302E-2</v>
          </cell>
          <cell r="K12">
            <v>2.5284054967932583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1.5010969185425632E-2</v>
          </cell>
          <cell r="J13">
            <v>2.2054491848641302E-2</v>
          </cell>
          <cell r="K13">
            <v>2.5284054967932583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8.17720120393489E-7</v>
          </cell>
          <cell r="J14">
            <v>2.82808487638366E-6</v>
          </cell>
          <cell r="K14">
            <v>1.2465829313880801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1.6105690467121999E-3</v>
          </cell>
          <cell r="J15">
            <v>2.22926984128339E-3</v>
          </cell>
          <cell r="K15">
            <v>0.25546244517052302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0.21508942941145773</v>
          </cell>
          <cell r="J16">
            <v>0.1576032858050285</v>
          </cell>
          <cell r="K16">
            <v>5.3743715154853162E-2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0.21508942941145773</v>
          </cell>
          <cell r="J17">
            <v>0.1576032858050285</v>
          </cell>
          <cell r="K17">
            <v>5.3743715154853162E-2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1.9536753275659683E-2</v>
          </cell>
          <cell r="J18">
            <v>7.898676321372514E-3</v>
          </cell>
          <cell r="K18">
            <v>2.7180730963636966E-3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3.1795897799291463E-2</v>
          </cell>
          <cell r="J19">
            <v>8.9461047567104077E-3</v>
          </cell>
          <cell r="K19">
            <v>3.0041860538756698E-3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3.0959079479663698</v>
          </cell>
          <cell r="J20">
            <v>1.24896575995493</v>
          </cell>
          <cell r="K20">
            <v>0.452147139959511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5.4891984893020822E-2</v>
          </cell>
          <cell r="J21">
            <v>2.2144782977924302E-2</v>
          </cell>
          <cell r="K21">
            <v>8.0167932616934511E-3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1.02035420587038E-3</v>
          </cell>
          <cell r="J22">
            <v>8.4626552090718205E-7</v>
          </cell>
          <cell r="K22">
            <v>7.1406385369992699E-5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3.9921462823906927E-3</v>
          </cell>
          <cell r="J23">
            <v>1.8784223066175402E-3</v>
          </cell>
          <cell r="K23">
            <v>6.4430428135313985E-4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4.0704059681582469E-4</v>
          </cell>
          <cell r="J24">
            <v>3.4521692799595137E-4</v>
          </cell>
          <cell r="K24">
            <v>2.9169141269310285E-4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4.0704059681582469E-4</v>
          </cell>
          <cell r="J25">
            <v>3.4521692799595137E-4</v>
          </cell>
          <cell r="K25">
            <v>2.9169141269310285E-4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1.0558680661669501E-6</v>
          </cell>
          <cell r="J26">
            <v>1.55153124574823E-6</v>
          </cell>
          <cell r="K26">
            <v>2.25913231484081E-6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7.8367154158698327E-4</v>
          </cell>
          <cell r="J27">
            <v>7.8044639107255342E-4</v>
          </cell>
          <cell r="K27">
            <v>7.7976148827652025E-4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0.21219937688354254</v>
          </cell>
          <cell r="J28">
            <v>0.21476777363874144</v>
          </cell>
          <cell r="K28">
            <v>0.22765744777598018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0.21219937688354232</v>
          </cell>
          <cell r="J29">
            <v>0.21476777363874136</v>
          </cell>
          <cell r="K29">
            <v>0.22765744777598002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0.23466588616129375</v>
          </cell>
          <cell r="J30">
            <v>0.23750486628902692</v>
          </cell>
          <cell r="K30">
            <v>0.25175909714474465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0.23466588616129375</v>
          </cell>
          <cell r="J31">
            <v>0.23750486628902692</v>
          </cell>
          <cell r="K31">
            <v>0.25175909714474465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7.64039100988851E-2</v>
          </cell>
          <cell r="J32">
            <v>7.0308197601587005E-2</v>
          </cell>
          <cell r="K32">
            <v>0.12980765734115701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0.14050080000354961</v>
          </cell>
          <cell r="J33">
            <v>0.14688475878784621</v>
          </cell>
          <cell r="K33">
            <v>0.17847514458781047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0.48095743557378523</v>
          </cell>
          <cell r="J34">
            <v>0.39264185442194061</v>
          </cell>
          <cell r="K34">
            <v>0.14724538016778863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0.48042303842314854</v>
          </cell>
          <cell r="J35">
            <v>0.39264185442194111</v>
          </cell>
          <cell r="K35">
            <v>0.14724538016778863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0.53439221556016381</v>
          </cell>
          <cell r="J36">
            <v>0.42219499993166559</v>
          </cell>
          <cell r="K36">
            <v>0.1487370894177133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0.53439221556016381</v>
          </cell>
          <cell r="J37">
            <v>0.42219499993166559</v>
          </cell>
          <cell r="K37">
            <v>0.1487370894177133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1.7982027698933398E-2</v>
          </cell>
          <cell r="J38">
            <v>4.4451854312277904E-3</v>
          </cell>
          <cell r="K38">
            <v>1.69432081207464E-3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3.0147274413779925E-2</v>
          </cell>
          <cell r="J39">
            <v>2.4526599434949961E-2</v>
          </cell>
          <cell r="K39">
            <v>9.2158995396798213E-3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1.2573502305481426E-3</v>
          </cell>
          <cell r="J40">
            <v>8.6619239036918208E-4</v>
          </cell>
          <cell r="K40">
            <v>6.3862348470715121E-4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3.4858260413276026E-4</v>
          </cell>
          <cell r="J41">
            <v>2.3245790016213552E-4</v>
          </cell>
          <cell r="K41">
            <v>1.7323174399722565E-4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1.4568344642275271E-4</v>
          </cell>
          <cell r="J42">
            <v>1.0024973753690108E-4</v>
          </cell>
          <cell r="K42">
            <v>6.979111894738876E-5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1.0587638334857467E-4</v>
          </cell>
          <cell r="J43">
            <v>8.0113818996825297E-5</v>
          </cell>
          <cell r="K43">
            <v>5.9513521301429403E-5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1.4692931169291059E-4</v>
          </cell>
          <cell r="J44">
            <v>1.0090820118422328E-4</v>
          </cell>
          <cell r="K44">
            <v>7.0106008825383576E-5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1.767727954481759E-4</v>
          </cell>
          <cell r="J45">
            <v>1.2219403026710819E-4</v>
          </cell>
          <cell r="K45">
            <v>9.4002818301030803E-5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1.8786726468761155E-4</v>
          </cell>
          <cell r="J46">
            <v>1.3004360575536467E-4</v>
          </cell>
          <cell r="K46">
            <v>1.0219395316291766E-4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1.4563842481535674E-4</v>
          </cell>
          <cell r="J47">
            <v>1.0022509646662397E-4</v>
          </cell>
          <cell r="K47">
            <v>6.97843201717751E-5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0.29332985219648045</v>
          </cell>
          <cell r="K48">
            <v>0.33526084198697409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0.29629277999644454</v>
          </cell>
          <cell r="K49">
            <v>0.33864731513835744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3.3434559635494202E-6</v>
          </cell>
          <cell r="J50">
            <v>4.2045671410092099E-2</v>
          </cell>
          <cell r="K50">
            <v>3.1159388246855703E-5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4.5672643934304098E-6</v>
          </cell>
          <cell r="J51">
            <v>4.2050238674485499E-2</v>
          </cell>
          <cell r="K51">
            <v>4.2081398062732298E-2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0.40098227339177056</v>
          </cell>
          <cell r="J52">
            <v>0.58324388366246716</v>
          </cell>
          <cell r="K52">
            <v>1.1458121075441337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0.40098227339177023</v>
          </cell>
          <cell r="J53">
            <v>0.58324388366246682</v>
          </cell>
          <cell r="K53">
            <v>1.1458121075441323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0.44343424556495858</v>
          </cell>
          <cell r="J54">
            <v>0.64498962466460563</v>
          </cell>
          <cell r="K54">
            <v>1.2671140169865827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0.44343424556495858</v>
          </cell>
          <cell r="J55">
            <v>0.64498962466460563</v>
          </cell>
          <cell r="K55">
            <v>1.2671140169865827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0.196881906101743</v>
          </cell>
          <cell r="J56">
            <v>0.14228404505907</v>
          </cell>
          <cell r="K56">
            <v>0.53157634064289205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0.23321035829173381</v>
          </cell>
          <cell r="J57">
            <v>0.33937609993656753</v>
          </cell>
          <cell r="K57">
            <v>0.63748261532634676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/>
          <cell r="K58">
            <v>8.5550995963850056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/>
          <cell r="K59">
            <v>2196.3259520775382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/>
          <cell r="K60">
            <v>-2196.32595207754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/>
          <cell r="K61">
            <v>2325.44606582918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/>
          <cell r="K62">
            <v>25.058686054193746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/>
          <cell r="K63">
            <v>0.31915330621193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/>
          <cell r="K64">
            <v>0.31915330621193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0.26706858893761148</v>
          </cell>
          <cell r="J65">
            <v>0.28786618926963814</v>
          </cell>
          <cell r="K65">
            <v>0.30974923251008646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8.250743277959252</v>
          </cell>
          <cell r="J66">
            <v>8.6650561565256226</v>
          </cell>
          <cell r="K66">
            <v>7.0759448215666962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3.8862332189007809</v>
          </cell>
          <cell r="J67">
            <v>4.1156980835506562</v>
          </cell>
          <cell r="K67">
            <v>3.4993804314380212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0.52820358341350215</v>
          </cell>
          <cell r="J68">
            <v>0.58381033627694978</v>
          </cell>
          <cell r="K68">
            <v>2.059091806870887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0.42656913294998461</v>
          </cell>
          <cell r="J69">
            <v>0.49624350005102175</v>
          </cell>
          <cell r="K69">
            <v>0.55534796590144919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14.625155372336279</v>
          </cell>
          <cell r="J70">
            <v>15.433155959441045</v>
          </cell>
          <cell r="K70">
            <v>14.617968154131013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7.5499932230193606E-2</v>
          </cell>
          <cell r="J71">
            <v>4.9328549414868E-2</v>
          </cell>
          <cell r="K71">
            <v>2.22687855726963E-7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0.85743540701093302</v>
          </cell>
          <cell r="J72">
            <v>0.90676395642580099</v>
          </cell>
          <cell r="K72">
            <v>0.90676417911365703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1.9305232804603972E-2</v>
          </cell>
          <cell r="J73">
            <v>1.6268125648841315E-2</v>
          </cell>
          <cell r="K73">
            <v>2.4270293901726852E-3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1.9287505318098388E-2</v>
          </cell>
          <cell r="J74">
            <v>1.6268125648841385E-2</v>
          </cell>
          <cell r="K74">
            <v>2.4270293901726861E-3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2.339602333129507E-2</v>
          </cell>
          <cell r="J75">
            <v>1.9141100779631801E-2</v>
          </cell>
          <cell r="K75">
            <v>2.6988359406051677E-3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2.339602333129507E-2</v>
          </cell>
          <cell r="J76">
            <v>1.9141100779631801E-2</v>
          </cell>
          <cell r="K76">
            <v>2.6988359406051677E-3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2.8030594785572599E-3</v>
          </cell>
          <cell r="J77">
            <v>3.2964451275990201E-4</v>
          </cell>
          <cell r="K77">
            <v>4.3370012312365198E-4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3.8160235019985456E-3</v>
          </cell>
          <cell r="J78">
            <v>3.1367178427453637E-3</v>
          </cell>
          <cell r="K78">
            <v>1.8400714445629728E-3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4.1301400243755233E-3</v>
          </cell>
          <cell r="J79">
            <v>4.7865359105487412E-3</v>
          </cell>
          <cell r="K79">
            <v>4.9664492646921826E-3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1.5622033073217183E-3</v>
          </cell>
          <cell r="J80">
            <v>1.8495005283993122E-3</v>
          </cell>
          <cell r="K80">
            <v>1.9983166928946318E-3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0.32860102054197288</v>
          </cell>
          <cell r="J81">
            <v>0.50431915005418748</v>
          </cell>
          <cell r="K81">
            <v>0.43428581903478802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7.1393877563647603E-5</v>
          </cell>
          <cell r="J82">
            <v>4.6489824661719901E-5</v>
          </cell>
          <cell r="K82">
            <v>1.13688991517206E-4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1.3954086755815973E-4</v>
          </cell>
          <cell r="J83">
            <v>1.6434373042479146E-4</v>
          </cell>
          <cell r="K83">
            <v>1.7754969486200674E-4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1.0816076551075618E-3</v>
          </cell>
          <cell r="J84">
            <v>6.0440432822879355E-5</v>
          </cell>
          <cell r="K84">
            <v>5.2895793472374137E-4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0.100265029628471</v>
          </cell>
          <cell r="J85">
            <v>5.6028281226809104E-3</v>
          </cell>
          <cell r="K85">
            <v>4.90344005488908E-2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1.0816076551075618E-3</v>
          </cell>
          <cell r="J86">
            <v>6.0440432822879355E-5</v>
          </cell>
          <cell r="K86">
            <v>5.2895793472374137E-4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7.0907474267208346E-3</v>
          </cell>
          <cell r="J87">
            <v>1.5149846400374803E-2</v>
          </cell>
          <cell r="K87">
            <v>8.2923316048264389E-3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7.0842361802316602E-3</v>
          </cell>
          <cell r="J88">
            <v>1.5149846400374862E-2</v>
          </cell>
          <cell r="K88">
            <v>8.2923316048264441E-3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8.5905865096118326E-3</v>
          </cell>
          <cell r="J89">
            <v>1.7825478134387503E-2</v>
          </cell>
          <cell r="K89">
            <v>9.2158401131284227E-3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8.5905865096118326E-3</v>
          </cell>
          <cell r="J90">
            <v>1.7825478134387503E-2</v>
          </cell>
          <cell r="K90">
            <v>9.2158401131284227E-3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4.74110707064545E-3</v>
          </cell>
          <cell r="J91">
            <v>3.4388640255915198E-4</v>
          </cell>
          <cell r="K91">
            <v>1.4580079101548899E-3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5.892489071727249E-3</v>
          </cell>
          <cell r="J92">
            <v>5.1248378517474973E-3</v>
          </cell>
          <cell r="K92">
            <v>3.6835935698594094E-3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0.44931628152396957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-0.44931628152397002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4.9231802302610447E-3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>
            <v>7.9771572192967894E-3</v>
          </cell>
          <cell r="K96">
            <v>0.53425844753097096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>
            <v>1.4143895778894995E-4</v>
          </cell>
          <cell r="K97">
            <v>9.4726675094143811E-3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>
            <v>4.93662482125113E-7</v>
          </cell>
          <cell r="K98">
            <v>4.0320212516919762E-4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>
            <v>1.02528298274712E-6</v>
          </cell>
          <cell r="K99">
            <v>5.4368176531874096E-4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>
            <v>4.93662482125113E-7</v>
          </cell>
          <cell r="K100">
            <v>4.0320212516919751E-4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/>
          <cell r="K101">
            <v>1.3701492545253902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/>
          <cell r="K102">
            <v>2095.6179116622393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/>
          <cell r="K103">
            <v>-2095.6179116622402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/>
          <cell r="K104">
            <v>12.139522395094946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/>
          <cell r="K105">
            <v>2354.6268670362301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/>
          <cell r="K106">
            <v>25.373134343062787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/>
          <cell r="K107">
            <v>7.4859121277739804E-2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/>
          <cell r="K108">
            <v>7.4859121277739804E-2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I109">
            <v>9.1748248545591604E-2</v>
          </cell>
          <cell r="J109">
            <v>9.3491108689797597E-2</v>
          </cell>
          <cell r="K109">
            <v>6.2334037356052599E-2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I110">
            <v>7.6245397328579328E-4</v>
          </cell>
          <cell r="J110">
            <v>7.7312505483903495E-4</v>
          </cell>
          <cell r="K110">
            <v>4.9734604273446231E-4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I111">
            <v>6.9949905806036068E-4</v>
          </cell>
          <cell r="J111">
            <v>7.2936325928210871E-4</v>
          </cell>
          <cell r="K111">
            <v>4.9734604273446231E-4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I112">
            <v>1.6267419954892099E-3</v>
          </cell>
          <cell r="J112">
            <v>1.6576437710957017E-3</v>
          </cell>
          <cell r="K112">
            <v>1.105213428298804E-3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I113">
            <v>4.1606853320682602E-5</v>
          </cell>
          <cell r="J113">
            <v>2.6223555525921E-6</v>
          </cell>
          <cell r="K113">
            <v>2.8150922716963602E-6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I114">
            <v>6.2151275477245868E-5</v>
          </cell>
          <cell r="J114">
            <v>6.4736749980598293E-5</v>
          </cell>
          <cell r="K114">
            <v>4.384337221288983E-5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I115">
            <v>331.495211789211</v>
          </cell>
          <cell r="J115">
            <v>91.096990710693206</v>
          </cell>
          <cell r="K115">
            <v>40.292493183502899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I116">
            <v>6.9887117265540626</v>
          </cell>
          <cell r="J116">
            <v>2.7396145378282739</v>
          </cell>
          <cell r="K116">
            <v>2.1204155728437977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8.4923739416467164E-2</v>
          </cell>
          <cell r="K117">
            <v>4.1230673053165932E-2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I118">
            <v>5.8775746771136665</v>
          </cell>
          <cell r="J118">
            <v>1.615194870756973</v>
          </cell>
          <cell r="K118">
            <v>0.71440590750891675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I119">
            <v>1.1334691055771056</v>
          </cell>
          <cell r="J119">
            <v>1.1334698366562614</v>
          </cell>
          <cell r="K119">
            <v>1.4129356610786272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8.4915611815391756E-2</v>
          </cell>
          <cell r="K120">
            <v>4.122295978126523E-2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I121">
            <v>1.8290388015855399E-6</v>
          </cell>
          <cell r="J121">
            <v>2.4375380754199002E-6</v>
          </cell>
          <cell r="K121">
            <v>4.2247967392577503E-6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I122">
            <v>1.0275214416568759</v>
          </cell>
          <cell r="J122">
            <v>1.0275238791949513</v>
          </cell>
          <cell r="K122">
            <v>0.72469279076547044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I123">
            <v>293.74727205731898</v>
          </cell>
          <cell r="J123">
            <v>138.323829613497</v>
          </cell>
          <cell r="K123">
            <v>9.811176134157829E-4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I124">
            <v>5.1494222067070901</v>
          </cell>
          <cell r="J124">
            <v>3.0757806203822162</v>
          </cell>
          <cell r="K124">
            <v>1.2302804092840933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I125">
            <v>3.9857160387696022</v>
          </cell>
          <cell r="J125">
            <v>1.8768497912279065</v>
          </cell>
          <cell r="K125">
            <v>1.3312314971720271E-5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I126">
            <v>1.2511682384072358</v>
          </cell>
          <cell r="J126">
            <v>1.2511724458969888</v>
          </cell>
          <cell r="K126">
            <v>1.2511733130682072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I127">
            <v>5.9469290235236665</v>
          </cell>
          <cell r="J127">
            <v>2.3344752339329822</v>
          </cell>
          <cell r="K127">
            <v>4.6485291408406845E-4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I128">
            <v>392.53886110457302</v>
          </cell>
          <cell r="J128">
            <v>154.091674203624</v>
          </cell>
          <cell r="K128">
            <v>3.0683539815913902E-2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I129">
            <v>6.9599088848328599</v>
          </cell>
          <cell r="J129">
            <v>2.7321218830429794</v>
          </cell>
          <cell r="K129">
            <v>5.4403439389918214E-4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I130">
            <v>0.18076107721714499</v>
          </cell>
          <cell r="J130">
            <v>7.2887710118805801E-6</v>
          </cell>
          <cell r="K130">
            <v>3.6264160910890898E-6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I131">
            <v>0.75430186541845123</v>
          </cell>
          <cell r="J131">
            <v>0.29624384509594198</v>
          </cell>
          <cell r="K131">
            <v>1.9099490369710037E-3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I132">
            <v>5.2381301448165098</v>
          </cell>
          <cell r="J132">
            <v>4.3674885393114566</v>
          </cell>
          <cell r="K132">
            <v>4.9911091726128101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I133">
            <v>5.2381301448165098</v>
          </cell>
          <cell r="J133">
            <v>4.3674885393114566</v>
          </cell>
          <cell r="K133">
            <v>4.9911091726128101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I134">
            <v>5.5683356361420104E-3</v>
          </cell>
          <cell r="J134">
            <v>5.56221439957895E-3</v>
          </cell>
          <cell r="K134">
            <v>5.5407393062582499E-3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I135">
            <v>0.69705892672760894</v>
          </cell>
          <cell r="J135">
            <v>0.69705862395101659</v>
          </cell>
          <cell r="K135">
            <v>0.70740769687761307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I136">
            <v>1.279857694407839</v>
          </cell>
          <cell r="J136">
            <v>1.2826617638340414</v>
          </cell>
          <cell r="K136">
            <v>2.4775637049048038E-4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I137">
            <v>12.342953175273294</v>
          </cell>
          <cell r="J137">
            <v>12.034791497872481</v>
          </cell>
          <cell r="K137">
            <v>2.1951214425456555E-3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I138">
            <v>2535.9329016307502</v>
          </cell>
          <cell r="J138">
            <v>2541.4889348893198</v>
          </cell>
          <cell r="K138">
            <v>0.490908898903893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I139">
            <v>27.326863164124457</v>
          </cell>
          <cell r="J139">
            <v>27.386734212169397</v>
          </cell>
          <cell r="K139">
            <v>5.2899665830160834E-3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I140">
            <v>5.66070409657265E-3</v>
          </cell>
          <cell r="J140">
            <v>1.9606102860354298E-2</v>
          </cell>
          <cell r="K140">
            <v>4.9079487491894497E-8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I141">
            <v>6.9926189858022639E-2</v>
          </cell>
          <cell r="J141">
            <v>7.0079096356055678E-2</v>
          </cell>
          <cell r="K141">
            <v>8.0898049785699255E-5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I142">
            <v>1.2262675938751699</v>
          </cell>
          <cell r="J142">
            <v>0.77689343300725699</v>
          </cell>
          <cell r="K142">
            <v>0.31692308028407301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I143">
            <v>5.354276624935427E-3</v>
          </cell>
          <cell r="J143">
            <v>3.5464321907877762E-3</v>
          </cell>
          <cell r="K143">
            <v>1.5365399890341991E-3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I144">
            <v>1.2130992653989058E-2</v>
          </cell>
          <cell r="J144">
            <v>7.9639179021199161E-3</v>
          </cell>
          <cell r="K144">
            <v>3.338000665832916E-3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I145">
            <v>2.174233322473711E-2</v>
          </cell>
          <cell r="J145">
            <v>1.3774706258993913E-2</v>
          </cell>
          <cell r="K145">
            <v>5.619203551136054E-3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I146">
            <v>7.7699208991836006E-5</v>
          </cell>
          <cell r="J146">
            <v>7.2973272923199903E-5</v>
          </cell>
          <cell r="K146">
            <v>1.4029321605777101E-6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I147">
            <v>4.7609066805219947E-4</v>
          </cell>
          <cell r="J147">
            <v>3.1551763602274719E-4</v>
          </cell>
          <cell r="K147">
            <v>1.3654256694477316E-4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I148">
            <v>2.4171877999918951E-3</v>
          </cell>
          <cell r="J148">
            <v>3.6428675650853976E-2</v>
          </cell>
          <cell r="K148">
            <v>0.5086729648669055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I149">
            <v>6.4299576945597231E-3</v>
          </cell>
          <cell r="J149">
            <v>9.6903866263355523E-2</v>
          </cell>
          <cell r="K149">
            <v>1.353120202109013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I150">
            <v>0.33180569102247026</v>
          </cell>
          <cell r="J150">
            <v>0.62769191301709948</v>
          </cell>
          <cell r="K150">
            <v>2.1989267374401114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I151">
            <v>1.06716053531825E-4</v>
          </cell>
          <cell r="J151">
            <v>2.5400242245361901E-3</v>
          </cell>
          <cell r="K151">
            <v>3.5856902034544398E-2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I152">
            <v>1.9494308039425624E-4</v>
          </cell>
          <cell r="J152">
            <v>2.706843371330067E-3</v>
          </cell>
          <cell r="K152">
            <v>3.7745280011956893E-2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I153">
            <v>16.056723670083191</v>
          </cell>
          <cell r="J153">
            <v>9.5922320217122614</v>
          </cell>
          <cell r="K153">
            <v>9.5764718717422941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I154">
            <v>16.056723670083191</v>
          </cell>
          <cell r="J154">
            <v>9.5922320217122614</v>
          </cell>
          <cell r="K154">
            <v>9.5764718717422941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I155">
            <v>1.6542441183320701E-6</v>
          </cell>
          <cell r="J155">
            <v>2.36507228894272E-6</v>
          </cell>
          <cell r="K155">
            <v>3.38243390568828E-6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I156">
            <v>1.6999951846988057</v>
          </cell>
          <cell r="J156">
            <v>1.1999993574263939</v>
          </cell>
          <cell r="K156">
            <v>1.1999994655835842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  <cell r="J157"/>
          <cell r="K157">
            <v>291.8257439722413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  <cell r="J158"/>
          <cell r="K158">
            <v>-291.82574397224198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  <cell r="J159"/>
          <cell r="K159">
            <v>0.82072700049909153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  <cell r="J160"/>
          <cell r="K160">
            <v>0.24194197219049121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  <cell r="J161"/>
          <cell r="K161">
            <v>402.54701628198802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  <cell r="J162"/>
          <cell r="K162">
            <v>4.3377911237283202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  <cell r="J163"/>
          <cell r="K163">
            <v>2.42000396529903E-2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  <cell r="J164"/>
          <cell r="K164">
            <v>2.42000396529903E-2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I165">
            <v>0.58733405996265597</v>
          </cell>
          <cell r="J165">
            <v>0.64697065398105202</v>
          </cell>
          <cell r="K165">
            <v>0.44825178079646899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I166">
            <v>4.8809126578811474E-3</v>
          </cell>
          <cell r="J166">
            <v>5.3501261173184945E-3</v>
          </cell>
          <cell r="K166">
            <v>3.5764769744399071E-3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I167">
            <v>4.4779015209918801E-3</v>
          </cell>
          <cell r="J167">
            <v>5.0472887899231031E-3</v>
          </cell>
          <cell r="K167">
            <v>3.5764769744399071E-3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I168">
            <v>1.0413724467422976E-2</v>
          </cell>
          <cell r="J168">
            <v>1.1471110886188874E-2</v>
          </cell>
          <cell r="K168">
            <v>7.9477266098664651E-3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I169">
            <v>3.0645252165103798E-4</v>
          </cell>
          <cell r="J169">
            <v>5.0283311657433997E-5</v>
          </cell>
          <cell r="K169">
            <v>3.6271772677474601E-7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I170">
            <v>3.9868252763354474E-4</v>
          </cell>
          <cell r="J170">
            <v>4.4884816487171389E-4</v>
          </cell>
          <cell r="K170">
            <v>3.1819689208704586E-4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I171">
            <v>5.7119218767906089E-3</v>
          </cell>
          <cell r="J171">
            <v>6.0356058132644613E-3</v>
          </cell>
          <cell r="K171">
            <v>6.3024010838467481E-3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I172">
            <v>5.7119218767906089E-3</v>
          </cell>
          <cell r="J172">
            <v>6.0356058132644613E-3</v>
          </cell>
          <cell r="K172">
            <v>6.3024010838467481E-3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I173">
            <v>1.26615985815935E-7</v>
          </cell>
          <cell r="J173">
            <v>5.50297411144577E-8</v>
          </cell>
          <cell r="K173">
            <v>6.7410615935078502E-8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I174">
            <v>5.2492147519397003E-4</v>
          </cell>
          <cell r="J174">
            <v>5.2497650493508498E-4</v>
          </cell>
          <cell r="K174">
            <v>5.2504391555101997E-4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I175">
            <v>0.15294793529086143</v>
          </cell>
          <cell r="J175">
            <v>0.16816086980561304</v>
          </cell>
          <cell r="K175">
            <v>0.19689374643977575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I176">
            <v>7.6473967645430649</v>
          </cell>
          <cell r="J176">
            <v>8.4080434902806562</v>
          </cell>
          <cell r="K176">
            <v>9.8446873219887721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I177">
            <v>13.149152494005754</v>
          </cell>
          <cell r="J177">
            <v>14.457030207002576</v>
          </cell>
          <cell r="K177">
            <v>16.927236658208116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I178">
            <v>0.14474880624193001</v>
          </cell>
          <cell r="J178">
            <v>6.0145520793316601E-2</v>
          </cell>
          <cell r="K178">
            <v>0.17057746399958501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I179">
            <v>0.28890228625333714</v>
          </cell>
          <cell r="J179">
            <v>0.31763735956092792</v>
          </cell>
          <cell r="K179">
            <v>0.37191040996270947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  <cell r="K180">
            <v>0.25225847199927043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  <cell r="K181">
            <v>-0.25225847199926998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  <cell r="J182"/>
          <cell r="K182">
            <v>1.6282521501267734E-3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  <cell r="J183"/>
          <cell r="K183">
            <v>1.7996471132980165E-3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  <cell r="J184">
            <v>5.4986437175722604E-3</v>
          </cell>
          <cell r="K184">
            <v>0.306644219412124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  <cell r="J185">
            <v>9.7493682935678329E-5</v>
          </cell>
          <cell r="K185">
            <v>5.4369542448958101E-3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  <cell r="J186"/>
          <cell r="K186">
            <v>2.9315413810936201E-4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  <cell r="J187"/>
          <cell r="K187">
            <v>2.9315413810936201E-4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I188">
            <v>11.2854805570673</v>
          </cell>
          <cell r="J188">
            <v>11.861180055329882</v>
          </cell>
          <cell r="K188">
            <v>13.102201516446467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I189">
            <v>11.2854805570673</v>
          </cell>
          <cell r="J189">
            <v>11.861180055329882</v>
          </cell>
          <cell r="K189">
            <v>13.102201516446467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I190">
            <v>11.2854805570673</v>
          </cell>
          <cell r="J190">
            <v>11.8611800553299</v>
          </cell>
          <cell r="K190">
            <v>13.102201516446501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I191">
            <v>0.62473201264545597</v>
          </cell>
          <cell r="J191">
            <v>0.57340778206653598</v>
          </cell>
          <cell r="K191">
            <v>2.7057511587043899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I192">
            <v>3.2532755757258092</v>
          </cell>
          <cell r="J192">
            <v>3.4192330401129989</v>
          </cell>
          <cell r="K192">
            <v>3.7769832029746202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I193">
            <v>11.070638281929464</v>
          </cell>
          <cell r="J193">
            <v>12.09499371345726</v>
          </cell>
          <cell r="K193">
            <v>10.294001400111588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I194">
            <v>12.011494521573953</v>
          </cell>
          <cell r="J194">
            <v>13.114304668904985</v>
          </cell>
          <cell r="K194">
            <v>11.146919768459236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I195">
            <v>4.9263598175594104E-7</v>
          </cell>
          <cell r="J195">
            <v>2.9036963833338897E-7</v>
          </cell>
          <cell r="K195">
            <v>1.9389033949606099E-7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I196">
            <v>0.849701125727929</v>
          </cell>
          <cell r="J196">
            <v>0.849701416097568</v>
          </cell>
          <cell r="K196">
            <v>0.849701609987907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I197">
            <v>1.3387656664929378E-2</v>
          </cell>
          <cell r="J197">
            <v>0.53496723588910178</v>
          </cell>
          <cell r="K197">
            <v>0.53522014746536517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I198">
            <v>1.3387656664929378E-2</v>
          </cell>
          <cell r="J198">
            <v>0.53496723588910178</v>
          </cell>
          <cell r="K198">
            <v>0.53522014746536517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I199">
            <v>3.2602358673342999E-7</v>
          </cell>
          <cell r="J199">
            <v>3.05863080510826E-2</v>
          </cell>
          <cell r="K199">
            <v>5.0999192789158602E-6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I200">
            <v>9.3540608740532696E-4</v>
          </cell>
          <cell r="J200">
            <v>3.1521714138487901E-2</v>
          </cell>
          <cell r="K200">
            <v>3.1526814057766799E-2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I201">
            <v>5.6222552132875601E-2</v>
          </cell>
          <cell r="J201">
            <v>6.2723589240832739E-2</v>
          </cell>
          <cell r="K201">
            <v>6.031805304857997E-2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I202">
            <v>5.6222552132875601E-2</v>
          </cell>
          <cell r="J202">
            <v>6.2723589240832739E-2</v>
          </cell>
          <cell r="K202">
            <v>6.031805304857997E-2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I203">
            <v>5.4557341719883E-4</v>
          </cell>
          <cell r="J203"/>
          <cell r="K203">
            <v>1.7400312519264E-8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I204">
            <v>5.0210438976576802E-3</v>
          </cell>
          <cell r="J204">
            <v>5.0210438976576802E-3</v>
          </cell>
          <cell r="K204">
            <v>5.0210612979702E-3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I205">
            <v>8.1619579201791943</v>
          </cell>
          <cell r="J205">
            <v>9.4388171455991987</v>
          </cell>
          <cell r="K205">
            <v>7.4007311432680325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I206">
            <v>3.8583801077210618</v>
          </cell>
          <cell r="J206">
            <v>4.4619862870105171</v>
          </cell>
          <cell r="K206">
            <v>3.4985274495448784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I207">
            <v>11.4032575403984</v>
          </cell>
          <cell r="J207">
            <v>13.032726507979435</v>
          </cell>
          <cell r="K207">
            <v>9.8664107371998693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I208">
            <v>3.8817122224918399E-2</v>
          </cell>
          <cell r="J208">
            <v>0.119435408143758</v>
          </cell>
          <cell r="K208">
            <v>3.7490109482633101E-2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I209">
            <v>0.15110105522654391</v>
          </cell>
          <cell r="J209">
            <v>0.20979532657244734</v>
          </cell>
          <cell r="K209">
            <v>0.14058752072658878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I210">
            <v>3.7090868307081129E-3</v>
          </cell>
          <cell r="J210">
            <v>4.0435857689944902E-3</v>
          </cell>
          <cell r="K210">
            <v>4.0526403104056835E-3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I211">
            <v>3.7090868307081129E-3</v>
          </cell>
          <cell r="J211">
            <v>4.0435857689944902E-3</v>
          </cell>
          <cell r="K211">
            <v>4.0526403104056835E-3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I212">
            <v>1.115871213086E-7</v>
          </cell>
          <cell r="J212">
            <v>1.43576028146705E-7</v>
          </cell>
          <cell r="K212">
            <v>2.5239813179899798E-7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I213">
            <v>2.8787979635096499E-4</v>
          </cell>
          <cell r="J213">
            <v>2.8799409576960098E-4</v>
          </cell>
          <cell r="K213">
            <v>2.8828059457245998E-4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I214">
            <v>2.4214603343638934E-2</v>
          </cell>
          <cell r="J214">
            <v>3.0782668047256882E-2</v>
          </cell>
          <cell r="K214">
            <v>0.10445367647911921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I215">
            <v>2.4241538386290326E-2</v>
          </cell>
          <cell r="J215">
            <v>3.0782668047256857E-2</v>
          </cell>
          <cell r="K215">
            <v>0.10445367647911921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I216">
            <v>2.6924710334151097E-2</v>
          </cell>
          <cell r="J216">
            <v>3.3092149147052323E-2</v>
          </cell>
          <cell r="K216">
            <v>0.10551061038954773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I217">
            <v>2.6924710334151097E-2</v>
          </cell>
          <cell r="J217">
            <v>3.3092149147052323E-2</v>
          </cell>
          <cell r="K217">
            <v>0.10551061038954773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I218">
            <v>2.9574146124679698E-3</v>
          </cell>
          <cell r="J218">
            <v>2.16916687917723E-4</v>
          </cell>
          <cell r="K218">
            <v>5.1001230288283397E-3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I219">
            <v>3.6579779713066304E-3</v>
          </cell>
          <cell r="J219">
            <v>3.2147041514887509E-3</v>
          </cell>
          <cell r="K219">
            <v>6.4902792247548101E-3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I220">
            <v>1.9645485319841924</v>
          </cell>
          <cell r="J220">
            <v>2.0647706129512264</v>
          </cell>
          <cell r="K220">
            <v>2.2808115925859727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I221">
            <v>1.9645485319841924</v>
          </cell>
          <cell r="J221">
            <v>2.0647706129512264</v>
          </cell>
          <cell r="K221">
            <v>2.2808115925859727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I222">
            <v>1.96454853198419</v>
          </cell>
          <cell r="J222">
            <v>2.06477061295123</v>
          </cell>
          <cell r="K222">
            <v>2.2808115925859802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I223">
            <v>2.74908312193862E-2</v>
          </cell>
          <cell r="J223">
            <v>2.88991218266847E-2</v>
          </cell>
          <cell r="K223">
            <v>0.60668617297997995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I224">
            <v>0.56632265850452601</v>
          </cell>
          <cell r="J224">
            <v>0.59521390393139695</v>
          </cell>
          <cell r="K224">
            <v>0.657491767962471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I225">
            <v>4.9155209091335745E-3</v>
          </cell>
          <cell r="J225">
            <v>5.4978640276426164E-4</v>
          </cell>
          <cell r="K225">
            <v>0.13859996210994632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I226">
            <v>1.0456459466968819E-2</v>
          </cell>
          <cell r="J226">
            <v>1.1632021596730358E-3</v>
          </cell>
          <cell r="K226">
            <v>0.29012116426093015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I227">
            <v>1.14627338967049</v>
          </cell>
          <cell r="J227">
            <v>0.14208552073908101</v>
          </cell>
          <cell r="K227">
            <v>31.0489996014973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I228">
            <v>2.0323996270753406E-2</v>
          </cell>
          <cell r="J228">
            <v>2.519246821614916E-3</v>
          </cell>
          <cell r="K228">
            <v>0.55051417733151253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I229">
            <v>6.1618296660771197E-6</v>
          </cell>
          <cell r="J229">
            <v>1.61684563912662E-6</v>
          </cell>
          <cell r="K229">
            <v>1.7459331657432901E-2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I230">
            <v>6.8414468575851706E-4</v>
          </cell>
          <cell r="J230">
            <v>1.8668196321730557E-4</v>
          </cell>
          <cell r="K230">
            <v>1.7463944528416851E-2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I231">
            <v>12.704043425301876</v>
          </cell>
          <cell r="J231">
            <v>12.796320096138055</v>
          </cell>
          <cell r="K231">
            <v>13.061669197369394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I232">
            <v>12.704043425301876</v>
          </cell>
          <cell r="J232">
            <v>12.796320096138055</v>
          </cell>
          <cell r="K232">
            <v>13.061669197369394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I233">
            <v>15.880052805510315</v>
          </cell>
          <cell r="J233">
            <v>15.995398637356228</v>
          </cell>
          <cell r="K233">
            <v>16.327085445665649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I234">
            <v>15.880052805510315</v>
          </cell>
          <cell r="J234">
            <v>15.995398637356228</v>
          </cell>
          <cell r="K234">
            <v>16.327085445665649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I235">
            <v>4.3594499999999998</v>
          </cell>
          <cell r="J235">
            <v>4.3594499999999998</v>
          </cell>
          <cell r="K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I236">
            <v>1.4180425767349349E-2</v>
          </cell>
          <cell r="J236">
            <v>1.6919892534327512E-2</v>
          </cell>
          <cell r="K236">
            <v>2.3748197859626333E-3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I237">
            <v>1.4167404256084584E-2</v>
          </cell>
          <cell r="J237">
            <v>1.6919892534327557E-2</v>
          </cell>
          <cell r="K237">
            <v>2.3748197859626351E-3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I238">
            <v>1.7184136013402306E-2</v>
          </cell>
          <cell r="J238">
            <v>1.9907885350804112E-2</v>
          </cell>
          <cell r="K238">
            <v>2.6408252804226906E-3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I239">
            <v>1.7184136013402306E-2</v>
          </cell>
          <cell r="J239">
            <v>1.9907885350804112E-2</v>
          </cell>
          <cell r="K239">
            <v>2.6408252804226906E-3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I240">
            <v>2.8663191034119699E-3</v>
          </cell>
          <cell r="J240">
            <v>2.8337046928919498E-4</v>
          </cell>
          <cell r="K240">
            <v>4.4001148730477598E-4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I241">
            <v>3.7835802441363508E-3</v>
          </cell>
          <cell r="J241">
            <v>3.1573244469719174E-3</v>
          </cell>
          <cell r="K241">
            <v>1.8395655817544196E-3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I242">
            <v>1.468277100950132E-3</v>
          </cell>
          <cell r="J242">
            <v>9.1153435452655804E-4</v>
          </cell>
          <cell r="K242">
            <v>1.7677287640026523E-3</v>
          </cell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I243">
            <v>6.9709486214834197E-4</v>
          </cell>
          <cell r="J243">
            <v>4.0977232451193862E-4</v>
          </cell>
          <cell r="K243">
            <v>7.132940626677377E-4</v>
          </cell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I244">
            <v>0.15551329294570401</v>
          </cell>
          <cell r="J244">
            <v>9.4331261642748299E-2</v>
          </cell>
          <cell r="K244">
            <v>0.17491210928026199</v>
          </cell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I245">
            <v>2.7573278891082293E-3</v>
          </cell>
          <cell r="J245">
            <v>1.6725401000487283E-3</v>
          </cell>
          <cell r="K245">
            <v>3.1012785333379852E-3</v>
          </cell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I246">
            <v>2.14375876140149E-4</v>
          </cell>
          <cell r="J246">
            <v>1.3117363228688899E-6</v>
          </cell>
          <cell r="K246">
            <v>9.4419987032377901E-5</v>
          </cell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I247">
            <v>2.14375876140149E-4</v>
          </cell>
          <cell r="J247">
            <v>2.1560658658338838E-4</v>
          </cell>
          <cell r="K247">
            <v>1.858876188286155E-4</v>
          </cell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I248">
            <v>3.7987988594862333E-2</v>
          </cell>
          <cell r="J248">
            <v>0.26926083969798481</v>
          </cell>
          <cell r="K248">
            <v>0.18952530082528538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I249">
            <v>3.794577971864585E-2</v>
          </cell>
          <cell r="J249">
            <v>0.26926083969798525</v>
          </cell>
          <cell r="K249">
            <v>0.18952530082528546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I250">
            <v>4.2213135072620422E-2</v>
          </cell>
          <cell r="J250">
            <v>0.2895319547514621</v>
          </cell>
          <cell r="K250">
            <v>0.19144183775507842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I251">
            <v>4.2213135072620422E-2</v>
          </cell>
          <cell r="J251">
            <v>0.2895319547514621</v>
          </cell>
          <cell r="K251">
            <v>0.19144183775507842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I252">
            <v>1.1219388445463401E-2</v>
          </cell>
          <cell r="J252">
            <v>5.6490475478493798E-2</v>
          </cell>
          <cell r="K252">
            <v>1.08514242970431E-4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I253">
            <v>1.252080215052542E-2</v>
          </cell>
          <cell r="J253">
            <v>6.7727129267831768E-2</v>
          </cell>
          <cell r="K253">
            <v>4.5818158526656723E-2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I254">
            <v>0.88397320553938097</v>
          </cell>
          <cell r="J254">
            <v>0.140882222068273</v>
          </cell>
          <cell r="K254">
            <v>3.3175483511097302E-2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I255">
            <v>1.1793891761581484E-2</v>
          </cell>
          <cell r="J255">
            <v>1.8796380566653739E-3</v>
          </cell>
          <cell r="K255">
            <v>4.4262434564322489E-4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I256">
            <v>1.1994209030385086E-2</v>
          </cell>
          <cell r="J256">
            <v>1.9115633930566261E-3</v>
          </cell>
          <cell r="K256">
            <v>4.5014224574080412E-4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I257">
            <v>70.85614863205852</v>
          </cell>
          <cell r="J257">
            <v>71.398119729380468</v>
          </cell>
          <cell r="K257">
            <v>71.392549452858262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I258">
            <v>70.85614863205852</v>
          </cell>
          <cell r="J258">
            <v>71.398119729380468</v>
          </cell>
          <cell r="K258">
            <v>71.392549452858262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I259">
            <v>7.3394300010600002</v>
          </cell>
          <cell r="J259">
            <v>7.3394300010600002</v>
          </cell>
          <cell r="K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I260">
            <v>4.6862082920123777E-3</v>
          </cell>
          <cell r="J260">
            <v>4.3824367783364751E-3</v>
          </cell>
          <cell r="K260">
            <v>2.2071612651434116E-3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I261">
            <v>4.6905154687513469E-3</v>
          </cell>
          <cell r="J261">
            <v>4.3824367783364586E-3</v>
          </cell>
          <cell r="K261">
            <v>2.2071612651434081E-3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I262">
            <v>5.6812144393479603E-3</v>
          </cell>
          <cell r="J262">
            <v>5.1579374025672309E-3</v>
          </cell>
          <cell r="K262">
            <v>2.4545382127267863E-3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I263">
            <v>5.6812144393479603E-3</v>
          </cell>
          <cell r="J263">
            <v>5.1579374025672309E-3</v>
          </cell>
          <cell r="K263">
            <v>2.4545382127267863E-3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I264">
            <v>2.9666632767641199E-3</v>
          </cell>
          <cell r="J264">
            <v>2.1351552255752601E-4</v>
          </cell>
          <cell r="K264">
            <v>4.4755485248680599E-4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I265">
            <v>3.6897605804348385E-3</v>
          </cell>
          <cell r="J265">
            <v>3.2055022084318788E-3</v>
          </cell>
          <cell r="K265">
            <v>1.838890159331483E-3</v>
          </cell>
        </row>
        <row r="266">
          <cell r="B266" t="str">
            <v>ENUC_GOE_EXT</v>
          </cell>
          <cell r="C266" t="str">
            <v>VAR_fout</v>
          </cell>
          <cell r="D266" t="str">
            <v>ELC</v>
          </cell>
          <cell r="I266">
            <v>29.702600987882736</v>
          </cell>
          <cell r="J266">
            <v>29.702602685820839</v>
          </cell>
          <cell r="K266">
            <v>9.7596947423440685</v>
          </cell>
        </row>
        <row r="267">
          <cell r="B267" t="str">
            <v>ENUC_GOE_EXT</v>
          </cell>
          <cell r="C267" t="str">
            <v>VAR_fin</v>
          </cell>
          <cell r="D267" t="str">
            <v>URN</v>
          </cell>
          <cell r="I267">
            <v>89.579168903945302</v>
          </cell>
          <cell r="J267">
            <v>89.579174024704969</v>
          </cell>
          <cell r="K267">
            <v>29.4339658716099</v>
          </cell>
        </row>
        <row r="268">
          <cell r="B268" t="str">
            <v>ENUC_GOE_EXT</v>
          </cell>
          <cell r="C268" t="str">
            <v>VAR_ncap</v>
          </cell>
          <cell r="D268" t="str">
            <v>-</v>
          </cell>
          <cell r="I268"/>
          <cell r="J268"/>
          <cell r="K268"/>
        </row>
        <row r="269">
          <cell r="B269" t="str">
            <v>ENUC_GOE_EXT</v>
          </cell>
          <cell r="C269" t="str">
            <v>VAR_cap</v>
          </cell>
          <cell r="D269" t="str">
            <v>-</v>
          </cell>
          <cell r="I269">
            <v>1.0095991455298892</v>
          </cell>
          <cell r="J269">
            <v>1.0095991389364063</v>
          </cell>
          <cell r="K269">
            <v>0.34580911779586976</v>
          </cell>
        </row>
        <row r="270">
          <cell r="B270" t="str">
            <v>G-INTC-IND</v>
          </cell>
          <cell r="C270" t="str">
            <v>VAR_fout</v>
          </cell>
          <cell r="D270" t="str">
            <v>ELC35</v>
          </cell>
          <cell r="I270">
            <v>3.4773566321018344E-3</v>
          </cell>
          <cell r="J270">
            <v>2.0727257388208505E-3</v>
          </cell>
          <cell r="K270">
            <v>1.4381900982330103E-3</v>
          </cell>
        </row>
        <row r="271">
          <cell r="B271" t="str">
            <v>G-INTC-IND</v>
          </cell>
          <cell r="C271" t="str">
            <v>VAR_fout</v>
          </cell>
          <cell r="D271" t="str">
            <v>ITOT_ELC</v>
          </cell>
          <cell r="I271">
            <v>53.239459363778835</v>
          </cell>
          <cell r="J271">
            <v>41.932138325605109</v>
          </cell>
          <cell r="K271">
            <v>42.963205993518734</v>
          </cell>
        </row>
        <row r="272">
          <cell r="B272" t="str">
            <v>G-INTC-IND</v>
          </cell>
          <cell r="C272" t="str">
            <v>VAR_fout</v>
          </cell>
          <cell r="D272" t="str">
            <v>ELC13</v>
          </cell>
          <cell r="I272">
            <v>2.3867875559203063E-3</v>
          </cell>
          <cell r="J272">
            <v>1.5252265074176402E-3</v>
          </cell>
          <cell r="K272">
            <v>1.0897456491957094E-3</v>
          </cell>
        </row>
        <row r="273">
          <cell r="B273" t="str">
            <v>G-INTC-IND</v>
          </cell>
          <cell r="C273" t="str">
            <v>VAR_fin</v>
          </cell>
          <cell r="D273" t="str">
            <v>ELC3</v>
          </cell>
          <cell r="I273">
            <v>53.238187779428934</v>
          </cell>
          <cell r="J273">
            <v>19.047090668873338</v>
          </cell>
          <cell r="K273">
            <v>19.389290577683418</v>
          </cell>
        </row>
        <row r="274">
          <cell r="B274" t="str">
            <v>G-INTC-IND</v>
          </cell>
          <cell r="C274" t="str">
            <v>VAR_fin</v>
          </cell>
          <cell r="D274" t="str">
            <v>ELC5</v>
          </cell>
          <cell r="I274">
            <v>7.1205510693143946E-3</v>
          </cell>
          <cell r="J274">
            <v>22.888645608978017</v>
          </cell>
          <cell r="K274">
            <v>23.576413221573976</v>
          </cell>
        </row>
        <row r="275">
          <cell r="B275" t="str">
            <v>G-INTC-IND</v>
          </cell>
          <cell r="C275" t="str">
            <v>VAR_ncap</v>
          </cell>
          <cell r="D275" t="str">
            <v>-</v>
          </cell>
          <cell r="I275">
            <v>7.4593092247689699E-7</v>
          </cell>
          <cell r="J275">
            <v>9.567520776985449E-7</v>
          </cell>
          <cell r="K275">
            <v>1.80028721226448E-6</v>
          </cell>
        </row>
        <row r="276">
          <cell r="B276" t="str">
            <v>G-INTC-IND</v>
          </cell>
          <cell r="C276" t="str">
            <v>VAR_cap</v>
          </cell>
          <cell r="D276" t="str">
            <v>-</v>
          </cell>
          <cell r="I276">
            <v>4.492739735358958</v>
          </cell>
          <cell r="J276">
            <v>4.4927407623219846</v>
          </cell>
          <cell r="K276">
            <v>4.4927425905561718</v>
          </cell>
        </row>
        <row r="277">
          <cell r="B277" t="str">
            <v>D-IH2R</v>
          </cell>
          <cell r="C277" t="str">
            <v>VAR_fout</v>
          </cell>
          <cell r="D277" t="str">
            <v>IH2</v>
          </cell>
          <cell r="I277">
            <v>2.463779060891468</v>
          </cell>
          <cell r="J277">
            <v>6.9678598615864011</v>
          </cell>
          <cell r="K277">
            <v>7.1300632737829375</v>
          </cell>
        </row>
        <row r="278">
          <cell r="B278" t="str">
            <v>D-IH2R</v>
          </cell>
          <cell r="C278" t="str">
            <v>VAR_fin</v>
          </cell>
          <cell r="D278" t="str">
            <v>H2</v>
          </cell>
          <cell r="I278">
            <v>2.463779060891468</v>
          </cell>
          <cell r="J278">
            <v>6.9678598615864011</v>
          </cell>
          <cell r="K278">
            <v>7.1300632737829375</v>
          </cell>
        </row>
        <row r="279">
          <cell r="B279" t="str">
            <v>D-IH2R</v>
          </cell>
          <cell r="C279" t="str">
            <v>VAR_ncap</v>
          </cell>
          <cell r="D279" t="str">
            <v>-</v>
          </cell>
          <cell r="I279">
            <v>8.9824700469326904E-2</v>
          </cell>
          <cell r="J279">
            <v>0.25114286169382599</v>
          </cell>
          <cell r="K279">
            <v>0.166550300782491</v>
          </cell>
        </row>
        <row r="280">
          <cell r="B280" t="str">
            <v>D-IH2R</v>
          </cell>
          <cell r="C280" t="str">
            <v>VAR_cap</v>
          </cell>
          <cell r="D280" t="str">
            <v>-</v>
          </cell>
          <cell r="I280">
            <v>8.9825312751876205E-2</v>
          </cell>
          <cell r="J280">
            <v>0.26705278539730198</v>
          </cell>
          <cell r="K280">
            <v>0.25257206688080303</v>
          </cell>
        </row>
        <row r="281">
          <cell r="B281" t="str">
            <v>ESOL-PV_E</v>
          </cell>
          <cell r="C281" t="str">
            <v>VAR_fout</v>
          </cell>
          <cell r="D281" t="str">
            <v>CELC_E</v>
          </cell>
          <cell r="I281">
            <v>4.9954606805791585E-7</v>
          </cell>
          <cell r="J281">
            <v>1.2649744017876754E-6</v>
          </cell>
          <cell r="K281">
            <v>2.741318667818886E-6</v>
          </cell>
        </row>
        <row r="282">
          <cell r="B282" t="str">
            <v>ESOL-PV_E</v>
          </cell>
          <cell r="C282" t="str">
            <v>VAR_fin</v>
          </cell>
          <cell r="D282" t="str">
            <v>SOL</v>
          </cell>
          <cell r="I282">
            <v>4.9954606805791585E-7</v>
          </cell>
          <cell r="J282">
            <v>1.2649744017876754E-6</v>
          </cell>
          <cell r="K282">
            <v>2.741318667818886E-6</v>
          </cell>
        </row>
        <row r="283">
          <cell r="B283" t="str">
            <v>ESOL-PV_E</v>
          </cell>
          <cell r="C283" t="str">
            <v>VAR_fin</v>
          </cell>
          <cell r="D283" t="str">
            <v>SOLPVC</v>
          </cell>
          <cell r="I283">
            <v>4.9954606805791596E-7</v>
          </cell>
          <cell r="J283">
            <v>1.26497440178768E-6</v>
          </cell>
          <cell r="K283">
            <v>2.7413186678188898E-6</v>
          </cell>
        </row>
        <row r="284">
          <cell r="B284" t="str">
            <v>ESOL-PV_E</v>
          </cell>
          <cell r="C284" t="str">
            <v>VAR_ncap</v>
          </cell>
          <cell r="D284" t="str">
            <v>-</v>
          </cell>
          <cell r="I284">
            <v>1.5666749792031801E-7</v>
          </cell>
          <cell r="J284">
            <v>2.51908509410176E-7</v>
          </cell>
          <cell r="K284">
            <v>3.7453205932866499E-7</v>
          </cell>
        </row>
        <row r="285">
          <cell r="B285" t="str">
            <v>ESOL-PV_E</v>
          </cell>
          <cell r="C285" t="str">
            <v>VAR_cap</v>
          </cell>
          <cell r="D285" t="str">
            <v>-</v>
          </cell>
          <cell r="I285">
            <v>2.5283729915159198E-7</v>
          </cell>
          <cell r="J285">
            <v>5.0474580856176904E-7</v>
          </cell>
          <cell r="K285">
            <v>8.7927786789043403E-7</v>
          </cell>
        </row>
        <row r="286">
          <cell r="B286" t="str">
            <v>EWSTINC</v>
          </cell>
          <cell r="C286" t="str">
            <v>VAR_fout</v>
          </cell>
          <cell r="D286" t="str">
            <v>ELC35</v>
          </cell>
          <cell r="I286">
            <v>7.4918618872868734</v>
          </cell>
          <cell r="J286">
            <v>7.6680258652852036</v>
          </cell>
          <cell r="K286">
            <v>2.1872869104297963E-3</v>
          </cell>
        </row>
        <row r="287">
          <cell r="B287" t="str">
            <v>EWSTINC</v>
          </cell>
          <cell r="C287" t="str">
            <v>VAR_fout</v>
          </cell>
          <cell r="D287" t="str">
            <v>CO2_E</v>
          </cell>
          <cell r="I287">
            <v>1944.97484473807</v>
          </cell>
          <cell r="J287">
            <v>1990.70907087712</v>
          </cell>
          <cell r="K287">
            <v>0.567845227663619</v>
          </cell>
        </row>
        <row r="288">
          <cell r="B288" t="str">
            <v>EWSTINC</v>
          </cell>
          <cell r="C288" t="str">
            <v>VAR_fin</v>
          </cell>
          <cell r="D288" t="str">
            <v>EWST</v>
          </cell>
          <cell r="I288">
            <v>20.95878065450507</v>
          </cell>
          <cell r="J288">
            <v>21.451606367210381</v>
          </cell>
          <cell r="K288">
            <v>6.1190218498234829E-3</v>
          </cell>
        </row>
        <row r="289">
          <cell r="B289" t="str">
            <v>EWSTINC</v>
          </cell>
          <cell r="C289" t="str">
            <v>VAR_ncap</v>
          </cell>
          <cell r="D289" t="str">
            <v>-</v>
          </cell>
          <cell r="I289">
            <v>8.9445632388311103E-2</v>
          </cell>
          <cell r="J289">
            <v>3.9372932534911802E-2</v>
          </cell>
          <cell r="K289">
            <v>4.67564819553924E-8</v>
          </cell>
        </row>
        <row r="290">
          <cell r="B290" t="str">
            <v>EWSTINC</v>
          </cell>
          <cell r="C290" t="str">
            <v>VAR_cap</v>
          </cell>
          <cell r="D290" t="str">
            <v>-</v>
          </cell>
          <cell r="I290">
            <v>0.27948970940110657</v>
          </cell>
          <cell r="J290">
            <v>0.28606078083211939</v>
          </cell>
          <cell r="K290">
            <v>1.3484128991170241E-4</v>
          </cell>
        </row>
        <row r="291">
          <cell r="B291" t="str">
            <v>D-IBIO</v>
          </cell>
          <cell r="C291" t="str">
            <v>VAR_fout</v>
          </cell>
          <cell r="D291" t="str">
            <v>IBIO</v>
          </cell>
          <cell r="I291">
            <v>3.2436108601664548</v>
          </cell>
          <cell r="J291">
            <v>3.2436109908881878</v>
          </cell>
          <cell r="K291">
            <v>3.2436106880120739</v>
          </cell>
        </row>
        <row r="292">
          <cell r="B292" t="str">
            <v>D-IBIO</v>
          </cell>
          <cell r="C292" t="str">
            <v>VAR_fin</v>
          </cell>
          <cell r="D292" t="str">
            <v>BIO</v>
          </cell>
          <cell r="I292">
            <v>3.2436108601664548</v>
          </cell>
          <cell r="J292">
            <v>3.2436109908881878</v>
          </cell>
          <cell r="K292">
            <v>3.2436106880120739</v>
          </cell>
        </row>
        <row r="293">
          <cell r="B293" t="str">
            <v>D-EWOD</v>
          </cell>
          <cell r="C293" t="str">
            <v>VAR_fout</v>
          </cell>
          <cell r="D293" t="str">
            <v>EWOD</v>
          </cell>
          <cell r="I293">
            <v>6.2695840710150819</v>
          </cell>
          <cell r="J293">
            <v>7.4316793878114629</v>
          </cell>
          <cell r="K293">
            <v>8.7557616307971706</v>
          </cell>
        </row>
        <row r="294">
          <cell r="B294" t="str">
            <v>D-EWOD</v>
          </cell>
          <cell r="C294" t="str">
            <v>VAR_fin</v>
          </cell>
          <cell r="D294" t="str">
            <v>WOD</v>
          </cell>
          <cell r="I294">
            <v>6.2695840710150819</v>
          </cell>
          <cell r="J294">
            <v>7.4316793878114629</v>
          </cell>
          <cell r="K294">
            <v>8.7557616307971706</v>
          </cell>
        </row>
        <row r="295">
          <cell r="B295" t="str">
            <v>HPLWOD</v>
          </cell>
          <cell r="C295" t="str">
            <v>VAR_fout</v>
          </cell>
          <cell r="D295" t="str">
            <v>LTH</v>
          </cell>
          <cell r="I295">
            <v>4.0528132241679762</v>
          </cell>
          <cell r="J295">
            <v>4.5042823324393213</v>
          </cell>
          <cell r="K295">
            <v>5.4088979896839264</v>
          </cell>
        </row>
        <row r="296">
          <cell r="B296" t="str">
            <v>HPLWOD</v>
          </cell>
          <cell r="C296" t="str">
            <v>VAR_fin</v>
          </cell>
          <cell r="D296" t="str">
            <v>EWOD</v>
          </cell>
          <cell r="I296">
            <v>5.7897331773828276</v>
          </cell>
          <cell r="J296">
            <v>6.4346890463418811</v>
          </cell>
          <cell r="K296">
            <v>7.7269971281199048</v>
          </cell>
        </row>
        <row r="297">
          <cell r="B297" t="str">
            <v>HPLWOD</v>
          </cell>
          <cell r="C297" t="str">
            <v>VAR_ncap</v>
          </cell>
          <cell r="D297" t="str">
            <v>-</v>
          </cell>
          <cell r="I297">
            <v>5.6852942905183002E-2</v>
          </cell>
          <cell r="J297">
            <v>0.236509417732333</v>
          </cell>
          <cell r="K297">
            <v>0.357057269489783</v>
          </cell>
        </row>
        <row r="298">
          <cell r="B298" t="str">
            <v>HPLWOD</v>
          </cell>
          <cell r="C298" t="str">
            <v>VAR_cap</v>
          </cell>
          <cell r="D298" t="str">
            <v>-</v>
          </cell>
          <cell r="I298">
            <v>0.51406677189045702</v>
          </cell>
          <cell r="J298">
            <v>0.57132795020347205</v>
          </cell>
          <cell r="K298">
            <v>0.68606003712424701</v>
          </cell>
        </row>
        <row r="299">
          <cell r="B299" t="str">
            <v>ENGA-GTCC</v>
          </cell>
          <cell r="C299" t="str">
            <v>VAR_fout</v>
          </cell>
          <cell r="D299" t="str">
            <v>ELC13</v>
          </cell>
          <cell r="I299"/>
          <cell r="J299">
            <v>1.1198988001733588E-3</v>
          </cell>
          <cell r="K299">
            <v>4.8077267279655255E-3</v>
          </cell>
        </row>
        <row r="300">
          <cell r="B300" t="str">
            <v>ENGA-GTCC</v>
          </cell>
          <cell r="C300" t="str">
            <v>VAR_fout</v>
          </cell>
          <cell r="D300" t="str">
            <v>CO2_E</v>
          </cell>
          <cell r="I300"/>
          <cell r="J300">
            <v>0.119675354758532</v>
          </cell>
          <cell r="K300">
            <v>0.464615246434679</v>
          </cell>
        </row>
        <row r="301">
          <cell r="B301" t="str">
            <v>ENGA-GTCC</v>
          </cell>
          <cell r="C301" t="str">
            <v>VAR_fin</v>
          </cell>
          <cell r="D301" t="str">
            <v>ENGA</v>
          </cell>
          <cell r="I301"/>
          <cell r="J301">
            <v>2.121903453165461E-3</v>
          </cell>
          <cell r="K301">
            <v>8.2378589793382744E-3</v>
          </cell>
        </row>
        <row r="302">
          <cell r="B302" t="str">
            <v>ENGA-GTCC</v>
          </cell>
          <cell r="C302" t="str">
            <v>VAR_fin</v>
          </cell>
          <cell r="D302" t="str">
            <v>GTC</v>
          </cell>
          <cell r="I302"/>
          <cell r="J302">
            <v>2.4975846236869199E-4</v>
          </cell>
          <cell r="K302">
            <v>5.5053774193978178E-4</v>
          </cell>
        </row>
        <row r="303">
          <cell r="B303" t="str">
            <v>ENGA-GTCC</v>
          </cell>
          <cell r="C303" t="str">
            <v>VAR_ncap</v>
          </cell>
          <cell r="D303" t="str">
            <v>-</v>
          </cell>
          <cell r="I303"/>
          <cell r="J303">
            <v>5.1872100987169698E-4</v>
          </cell>
          <cell r="K303">
            <v>4.3690279484920203E-5</v>
          </cell>
        </row>
        <row r="304">
          <cell r="B304" t="str">
            <v>ENGA-GTCC</v>
          </cell>
          <cell r="C304" t="str">
            <v>VAR_cap</v>
          </cell>
          <cell r="D304" t="str">
            <v>-</v>
          </cell>
          <cell r="I304"/>
          <cell r="J304">
            <v>2.4975846236869199E-4</v>
          </cell>
          <cell r="K304">
            <v>5.5053774193978178E-4</v>
          </cell>
        </row>
        <row r="305">
          <cell r="B305" t="str">
            <v>D-SNGA</v>
          </cell>
          <cell r="C305" t="str">
            <v>VAR_fout</v>
          </cell>
          <cell r="D305" t="str">
            <v>CO2</v>
          </cell>
          <cell r="I305">
            <v>514.25938270755103</v>
          </cell>
          <cell r="J305">
            <v>279.24260985258798</v>
          </cell>
          <cell r="K305">
            <v>169.415550488995</v>
          </cell>
        </row>
        <row r="306">
          <cell r="B306" t="str">
            <v>D-SNGA</v>
          </cell>
          <cell r="C306" t="str">
            <v>VAR_fout</v>
          </cell>
          <cell r="D306" t="str">
            <v>SNGA</v>
          </cell>
          <cell r="I306">
            <v>9.664477028214554</v>
          </cell>
          <cell r="J306">
            <v>4.9447759832694116</v>
          </cell>
          <cell r="K306">
            <v>3.0269697043341846</v>
          </cell>
        </row>
        <row r="307">
          <cell r="B307" t="str">
            <v>D-SNGA</v>
          </cell>
          <cell r="C307" t="str">
            <v>VAR_fout</v>
          </cell>
          <cell r="D307" t="str">
            <v>RSH2</v>
          </cell>
          <cell r="I307">
            <v>2.4733500634544045E-3</v>
          </cell>
          <cell r="J307">
            <v>1.7865513712962385E-3</v>
          </cell>
          <cell r="K307">
            <v>3.4359264053284776E-3</v>
          </cell>
        </row>
        <row r="308">
          <cell r="B308" t="str">
            <v>D-SNGA</v>
          </cell>
          <cell r="C308" t="str">
            <v>VAR_fin</v>
          </cell>
          <cell r="D308" t="str">
            <v>NGA</v>
          </cell>
          <cell r="I308">
            <v>9.1180741614813918</v>
          </cell>
          <cell r="J308">
            <v>4.9511101037692979</v>
          </cell>
          <cell r="K308">
            <v>3.0038218171807665</v>
          </cell>
        </row>
        <row r="309">
          <cell r="B309" t="str">
            <v>D-SNGA</v>
          </cell>
          <cell r="C309" t="str">
            <v>VAR_fin</v>
          </cell>
          <cell r="D309" t="str">
            <v>BNGA</v>
          </cell>
          <cell r="I309">
            <v>0.57732515176898958</v>
          </cell>
          <cell r="J309">
            <v>9.5267336816410812E-3</v>
          </cell>
          <cell r="K309">
            <v>3.3470753599028687E-2</v>
          </cell>
        </row>
        <row r="310">
          <cell r="B310" t="str">
            <v>D-SNGA</v>
          </cell>
          <cell r="C310" t="str">
            <v>VAR_fin</v>
          </cell>
          <cell r="D310" t="str">
            <v>H2</v>
          </cell>
          <cell r="I310">
            <v>2.4696460024725172E-3</v>
          </cell>
          <cell r="J310">
            <v>1.7814012666015314E-3</v>
          </cell>
          <cell r="K310">
            <v>3.4342399120386754E-3</v>
          </cell>
        </row>
        <row r="311">
          <cell r="B311" t="str">
            <v>D-SNGA</v>
          </cell>
          <cell r="C311" t="str">
            <v>VAR_ncap</v>
          </cell>
          <cell r="D311" t="str">
            <v>-</v>
          </cell>
          <cell r="I311">
            <v>5.9250056713257102E-7</v>
          </cell>
          <cell r="J311">
            <v>6.8336408438968496E-7</v>
          </cell>
          <cell r="K311">
            <v>1.4143384746932501E-6</v>
          </cell>
        </row>
        <row r="312">
          <cell r="B312" t="str">
            <v>D-SNGA</v>
          </cell>
          <cell r="C312" t="str">
            <v>VAR_cap</v>
          </cell>
          <cell r="D312" t="str">
            <v>-</v>
          </cell>
          <cell r="I312">
            <v>2.2350548935677566</v>
          </cell>
          <cell r="J312">
            <v>2.235055576931841</v>
          </cell>
          <cell r="K312">
            <v>1.1208952921340354</v>
          </cell>
        </row>
        <row r="313">
          <cell r="B313" t="str">
            <v>RHES-CHPWOD</v>
          </cell>
          <cell r="C313" t="str">
            <v>VAR_fout</v>
          </cell>
          <cell r="D313" t="str">
            <v>RHES_KEV_WOD_ELC_CHP</v>
          </cell>
          <cell r="I313">
            <v>1.0906905886949576E-3</v>
          </cell>
          <cell r="J313">
            <v>1.1168257668692991E-3</v>
          </cell>
          <cell r="K313">
            <v>8.4890566313709391E-4</v>
          </cell>
        </row>
        <row r="314">
          <cell r="B314" t="str">
            <v>RHES-CHPWOD</v>
          </cell>
          <cell r="C314" t="str">
            <v>VAR_fout</v>
          </cell>
          <cell r="D314" t="str">
            <v>RHES_LTH_CHPWOD</v>
          </cell>
          <cell r="I314">
            <v>2.8835586466026191E-3</v>
          </cell>
          <cell r="J314">
            <v>2.8903623204544842E-3</v>
          </cell>
          <cell r="K314">
            <v>2.1097991732097056E-3</v>
          </cell>
        </row>
        <row r="315">
          <cell r="B315" t="str">
            <v>RHES-CHPWOD</v>
          </cell>
          <cell r="C315" t="str">
            <v>VAR_fin</v>
          </cell>
          <cell r="D315" t="str">
            <v>RWOD</v>
          </cell>
          <cell r="I315">
            <v>0.32705423183735538</v>
          </cell>
          <cell r="J315">
            <v>0.50125965663552008</v>
          </cell>
          <cell r="K315">
            <v>0.42979289206796772</v>
          </cell>
        </row>
        <row r="316">
          <cell r="B316" t="str">
            <v>RHES-CHPWOD</v>
          </cell>
          <cell r="C316" t="str">
            <v>VAR_ncap</v>
          </cell>
          <cell r="D316" t="str">
            <v>-</v>
          </cell>
          <cell r="I316">
            <v>4.7181750301214097E-5</v>
          </cell>
          <cell r="J316">
            <v>1.7858550691596501E-5</v>
          </cell>
          <cell r="K316">
            <v>4.2452704769052403E-5</v>
          </cell>
        </row>
        <row r="317">
          <cell r="B317" t="str">
            <v>RHES-CHPWOD</v>
          </cell>
          <cell r="C317" t="str">
            <v>VAR_cap</v>
          </cell>
          <cell r="D317" t="str">
            <v>-</v>
          </cell>
          <cell r="I317">
            <v>9.7121490455395407E-5</v>
          </cell>
          <cell r="J317">
            <v>9.909044531299705E-5</v>
          </cell>
          <cell r="K317">
            <v>7.531679415317506E-5</v>
          </cell>
        </row>
        <row r="318">
          <cell r="B318" t="str">
            <v>G-INTC-RES</v>
          </cell>
          <cell r="C318" t="str">
            <v>VAR_fout</v>
          </cell>
          <cell r="D318" t="str">
            <v>RHNS_ELC</v>
          </cell>
          <cell r="I318">
            <v>13.473002993179787</v>
          </cell>
          <cell r="J318">
            <v>12.720548835816992</v>
          </cell>
          <cell r="K318">
            <v>10.725492919348499</v>
          </cell>
        </row>
        <row r="319">
          <cell r="B319" t="str">
            <v>G-INTC-RES</v>
          </cell>
          <cell r="C319" t="str">
            <v>VAR_fout</v>
          </cell>
          <cell r="D319" t="str">
            <v>ELC35</v>
          </cell>
          <cell r="I319">
            <v>2.0947542483266547E-3</v>
          </cell>
          <cell r="J319">
            <v>1.5759341170577007E-3</v>
          </cell>
          <cell r="K319">
            <v>9.9227328580221946E-4</v>
          </cell>
        </row>
        <row r="320">
          <cell r="B320" t="str">
            <v>G-INTC-RES</v>
          </cell>
          <cell r="C320" t="str">
            <v>VAR_fout</v>
          </cell>
          <cell r="D320" t="str">
            <v>RHES_ELC</v>
          </cell>
          <cell r="I320">
            <v>16.527105659964608</v>
          </cell>
          <cell r="J320">
            <v>15.950681020223367</v>
          </cell>
          <cell r="K320">
            <v>12.59767358192841</v>
          </cell>
        </row>
        <row r="321">
          <cell r="B321" t="str">
            <v>G-INTC-RES</v>
          </cell>
          <cell r="C321" t="str">
            <v>VAR_fout</v>
          </cell>
          <cell r="D321" t="str">
            <v>RHNM_ELC</v>
          </cell>
          <cell r="I321">
            <v>12.142073934059988</v>
          </cell>
          <cell r="J321">
            <v>11.321905873831509</v>
          </cell>
          <cell r="K321">
            <v>9.6865156123710268</v>
          </cell>
        </row>
        <row r="322">
          <cell r="B322" t="str">
            <v>G-INTC-RES</v>
          </cell>
          <cell r="C322" t="str">
            <v>VAR_fout</v>
          </cell>
          <cell r="D322" t="str">
            <v>RHEM_ELC</v>
          </cell>
          <cell r="I322">
            <v>15.234541057436871</v>
          </cell>
          <cell r="J322">
            <v>14.971654144958013</v>
          </cell>
          <cell r="K322">
            <v>12.478309450877116</v>
          </cell>
        </row>
        <row r="323">
          <cell r="B323" t="str">
            <v>G-INTC-RES</v>
          </cell>
          <cell r="C323" t="str">
            <v>VAR_fin</v>
          </cell>
          <cell r="D323" t="str">
            <v>ELC5</v>
          </cell>
          <cell r="I323">
            <v>57.378818398889621</v>
          </cell>
          <cell r="J323">
            <v>54.966331924329722</v>
          </cell>
          <cell r="K323">
            <v>45.488951546504723</v>
          </cell>
        </row>
        <row r="324">
          <cell r="B324" t="str">
            <v>G-INTC-RES</v>
          </cell>
          <cell r="C324" t="str">
            <v>VAR_ncap</v>
          </cell>
          <cell r="D324" t="str">
            <v>-</v>
          </cell>
          <cell r="I324">
            <v>1.1021002872464401E-7</v>
          </cell>
          <cell r="J324">
            <v>1.5719483314397101E-7</v>
          </cell>
          <cell r="K324">
            <v>2.8652304519106298E-7</v>
          </cell>
        </row>
        <row r="325">
          <cell r="B325" t="str">
            <v>G-INTC-RES</v>
          </cell>
          <cell r="C325" t="str">
            <v>VAR_cap</v>
          </cell>
          <cell r="D325" t="str">
            <v>-</v>
          </cell>
          <cell r="I325">
            <v>4.3300928285123401</v>
          </cell>
          <cell r="J325">
            <v>4.3300929878694081</v>
          </cell>
          <cell r="K325">
            <v>4.3300932813933937</v>
          </cell>
        </row>
        <row r="326">
          <cell r="B326" t="str">
            <v>SCOM-CHPNGA</v>
          </cell>
          <cell r="C326" t="str">
            <v>VAR_fout</v>
          </cell>
          <cell r="D326" t="str">
            <v>CO2_S</v>
          </cell>
          <cell r="I326">
            <v>5.9180844370665797</v>
          </cell>
          <cell r="J326">
            <v>2.9981799109352498</v>
          </cell>
          <cell r="K326">
            <v>0.112112036064468</v>
          </cell>
        </row>
        <row r="327">
          <cell r="B327" t="str">
            <v>SCOM-CHPNGA</v>
          </cell>
          <cell r="C327" t="str">
            <v>VAR_fout</v>
          </cell>
          <cell r="D327" t="str">
            <v>SCOM_NKEV_GAS_ELC_CHP</v>
          </cell>
          <cell r="I327">
            <v>3.6995223963978065E-2</v>
          </cell>
          <cell r="J327">
            <v>1.8753776326444316E-2</v>
          </cell>
          <cell r="K327">
            <v>5.8868226125206673E-4</v>
          </cell>
        </row>
        <row r="328">
          <cell r="B328" t="str">
            <v>SCOM-CHPNGA</v>
          </cell>
          <cell r="C328" t="str">
            <v>VAR_fout</v>
          </cell>
          <cell r="D328" t="str">
            <v>SCOM_LTH_CHPNGA</v>
          </cell>
          <cell r="I328">
            <v>5.2396084488264147E-2</v>
          </cell>
          <cell r="J328">
            <v>2.8130664489666481E-2</v>
          </cell>
          <cell r="K328">
            <v>8.8302339187809977E-4</v>
          </cell>
        </row>
        <row r="329">
          <cell r="B329" t="str">
            <v>SCOM-CHPNGA</v>
          </cell>
          <cell r="C329" t="str">
            <v>VAR_fin</v>
          </cell>
          <cell r="D329" t="str">
            <v>SNGA</v>
          </cell>
          <cell r="I329">
            <v>0.10493057512529391</v>
          </cell>
          <cell r="J329">
            <v>5.3159218278993933E-2</v>
          </cell>
          <cell r="K329">
            <v>1.9878020578806372E-3</v>
          </cell>
        </row>
        <row r="330">
          <cell r="B330" t="str">
            <v>SCOM-CHPNGA</v>
          </cell>
          <cell r="C330" t="str">
            <v>VAR_ncap</v>
          </cell>
          <cell r="D330" t="str">
            <v>-</v>
          </cell>
          <cell r="I330">
            <v>2.81990144439944E-6</v>
          </cell>
          <cell r="J330">
            <v>4.2266639499329601E-5</v>
          </cell>
          <cell r="K330">
            <v>5.1530106297953298E-5</v>
          </cell>
        </row>
        <row r="331">
          <cell r="B331" t="str">
            <v>SCOM-CHPNGA</v>
          </cell>
          <cell r="C331" t="str">
            <v>VAR_cap</v>
          </cell>
          <cell r="D331" t="str">
            <v>-</v>
          </cell>
          <cell r="I331">
            <v>2.1786370515575401E-3</v>
          </cell>
          <cell r="J331">
            <v>1.1708419313181985E-3</v>
          </cell>
          <cell r="K331">
            <v>9.5794790393215936E-5</v>
          </cell>
        </row>
        <row r="332">
          <cell r="B332" t="str">
            <v>D-IPLT</v>
          </cell>
          <cell r="C332" t="str">
            <v>VAR_fout</v>
          </cell>
          <cell r="D332" t="str">
            <v>IPLT</v>
          </cell>
          <cell r="I332">
            <v>0.73278014178243989</v>
          </cell>
          <cell r="J332">
            <v>0.73073660849687461</v>
          </cell>
          <cell r="K332">
            <v>0.72669053871989397</v>
          </cell>
        </row>
        <row r="333">
          <cell r="B333" t="str">
            <v>D-IPLT</v>
          </cell>
          <cell r="C333" t="str">
            <v>VAR_fin</v>
          </cell>
          <cell r="D333" t="str">
            <v>PLT</v>
          </cell>
          <cell r="I333">
            <v>0.73278014178243989</v>
          </cell>
          <cell r="J333">
            <v>0.73073660849687461</v>
          </cell>
          <cell r="K333">
            <v>0.72669053871989397</v>
          </cell>
        </row>
        <row r="334">
          <cell r="B334" t="str">
            <v>LTH-STG</v>
          </cell>
          <cell r="C334" t="str">
            <v>VAR_fout</v>
          </cell>
          <cell r="D334" t="str">
            <v>AUX_LTH-STG_OUT</v>
          </cell>
          <cell r="I334">
            <v>1.0634803839739153E-3</v>
          </cell>
          <cell r="J334">
            <v>5.3347925637041102E-4</v>
          </cell>
          <cell r="K334">
            <v>1.5111499118165757E-2</v>
          </cell>
        </row>
        <row r="335">
          <cell r="B335" t="str">
            <v>LTH-STG</v>
          </cell>
          <cell r="C335" t="str">
            <v>VAR_fout</v>
          </cell>
          <cell r="D335" t="str">
            <v>LTH</v>
          </cell>
          <cell r="I335">
            <v>1.0644578475621246E-3</v>
          </cell>
          <cell r="J335">
            <v>5.3347925637040917E-4</v>
          </cell>
          <cell r="K335">
            <v>1.5111499118165748E-2</v>
          </cell>
        </row>
        <row r="336">
          <cell r="B336" t="str">
            <v>LTH-STG</v>
          </cell>
          <cell r="C336" t="str">
            <v>VAR_fin</v>
          </cell>
          <cell r="D336" t="str">
            <v>AUX_LTH-STG_IN</v>
          </cell>
          <cell r="I336">
            <v>1.292612413846076E-3</v>
          </cell>
          <cell r="J336">
            <v>6.2975208261039349E-4</v>
          </cell>
          <cell r="K336">
            <v>1.6791662164845692E-2</v>
          </cell>
        </row>
        <row r="337">
          <cell r="B337" t="str">
            <v>LTH-STG</v>
          </cell>
          <cell r="C337" t="str">
            <v>VAR_fin</v>
          </cell>
          <cell r="D337" t="str">
            <v>LTH</v>
          </cell>
          <cell r="I337">
            <v>1.292612413846076E-3</v>
          </cell>
          <cell r="J337">
            <v>6.2975208261039349E-4</v>
          </cell>
          <cell r="K337">
            <v>1.6791662164845692E-2</v>
          </cell>
        </row>
        <row r="338">
          <cell r="B338" t="str">
            <v>LTH-STG</v>
          </cell>
          <cell r="C338" t="str">
            <v>VAR_ncap</v>
          </cell>
          <cell r="D338" t="str">
            <v>-</v>
          </cell>
          <cell r="I338">
            <v>7.9875603143553497E-5</v>
          </cell>
          <cell r="J338">
            <v>6.3979470764284494E-5</v>
          </cell>
          <cell r="K338">
            <v>4.6202683664130197E-2</v>
          </cell>
        </row>
        <row r="339">
          <cell r="B339" t="str">
            <v>LTH-STG</v>
          </cell>
          <cell r="C339" t="str">
            <v>VAR_cap</v>
          </cell>
          <cell r="D339" t="str">
            <v>-</v>
          </cell>
          <cell r="I339">
            <v>4.2892189637623221E-4</v>
          </cell>
          <cell r="J339">
            <v>2.6012017859308051E-4</v>
          </cell>
          <cell r="K339">
            <v>4.6328094152027571E-2</v>
          </cell>
        </row>
        <row r="340">
          <cell r="B340" t="str">
            <v>ITOT-CHPOIL</v>
          </cell>
          <cell r="C340" t="str">
            <v>VAR_fout</v>
          </cell>
          <cell r="D340" t="str">
            <v>ITOT_LTH_CHP</v>
          </cell>
          <cell r="I340">
            <v>0.84032241494347748</v>
          </cell>
          <cell r="J340">
            <v>1.2977038729395712E-2</v>
          </cell>
          <cell r="K340">
            <v>9.5096000226026767E-2</v>
          </cell>
        </row>
        <row r="341">
          <cell r="B341" t="str">
            <v>ITOT-CHPOIL</v>
          </cell>
          <cell r="C341" t="str">
            <v>VAR_fout</v>
          </cell>
          <cell r="D341" t="str">
            <v>ITOT_NKEV_OIL_ELC_CHP</v>
          </cell>
          <cell r="I341">
            <v>0.16948837113782894</v>
          </cell>
          <cell r="J341">
            <v>5.8541624313109596E-3</v>
          </cell>
          <cell r="K341">
            <v>4.2899419775182239E-2</v>
          </cell>
        </row>
        <row r="342">
          <cell r="B342" t="str">
            <v>ITOT-CHPOIL</v>
          </cell>
          <cell r="C342" t="str">
            <v>VAR_fout</v>
          </cell>
          <cell r="D342" t="str">
            <v>CO2_I</v>
          </cell>
          <cell r="I342">
            <v>47.5138437756166</v>
          </cell>
          <cell r="J342">
            <v>1.6438418976806299</v>
          </cell>
          <cell r="K342">
            <v>12.0698000065375</v>
          </cell>
        </row>
        <row r="343">
          <cell r="B343" t="str">
            <v>ITOT-CHPOIL</v>
          </cell>
          <cell r="C343" t="str">
            <v>VAR_fin</v>
          </cell>
          <cell r="D343" t="str">
            <v>ILFO</v>
          </cell>
          <cell r="I343">
            <v>0.64469258854296585</v>
          </cell>
          <cell r="J343">
            <v>2.2304503360659898E-2</v>
          </cell>
          <cell r="K343">
            <v>0.16376933523117382</v>
          </cell>
        </row>
        <row r="344">
          <cell r="B344" t="str">
            <v>ITOT-CHPOIL</v>
          </cell>
          <cell r="C344" t="str">
            <v>VAR_ncap</v>
          </cell>
          <cell r="D344" t="str">
            <v>-</v>
          </cell>
          <cell r="I344">
            <v>1.3128298563834099E-2</v>
          </cell>
          <cell r="J344">
            <v>8.3479001603648703E-6</v>
          </cell>
          <cell r="K344">
            <v>4.5462022172263302E-4</v>
          </cell>
        </row>
        <row r="345">
          <cell r="B345" t="str">
            <v>ITOT-CHPOIL</v>
          </cell>
          <cell r="C345" t="str">
            <v>VAR_cap</v>
          </cell>
          <cell r="D345" t="str">
            <v>-</v>
          </cell>
          <cell r="I345">
            <v>3.0477159764427698E-2</v>
          </cell>
          <cell r="J345">
            <v>1.4994570658568098E-2</v>
          </cell>
          <cell r="K345">
            <v>6.0130419165030169E-3</v>
          </cell>
        </row>
        <row r="346">
          <cell r="B346" t="str">
            <v>ENUC_GOE</v>
          </cell>
          <cell r="C346" t="str">
            <v>VAR_fout</v>
          </cell>
          <cell r="D346" t="str">
            <v>ELC</v>
          </cell>
          <cell r="I346"/>
          <cell r="J346"/>
          <cell r="K346"/>
        </row>
        <row r="347">
          <cell r="B347" t="str">
            <v>ENUC_GOE</v>
          </cell>
          <cell r="C347" t="str">
            <v>VAR_fin</v>
          </cell>
          <cell r="D347" t="str">
            <v>URN</v>
          </cell>
          <cell r="I347"/>
          <cell r="J347"/>
          <cell r="K347"/>
        </row>
        <row r="348">
          <cell r="B348" t="str">
            <v>ENUC_GOE</v>
          </cell>
          <cell r="C348" t="str">
            <v>VAR_cap</v>
          </cell>
          <cell r="D348" t="str">
            <v>-</v>
          </cell>
          <cell r="I348"/>
          <cell r="J348"/>
          <cell r="K348"/>
        </row>
        <row r="349">
          <cell r="B349" t="str">
            <v>D-RNGA</v>
          </cell>
          <cell r="C349" t="str">
            <v>VAR_fout</v>
          </cell>
          <cell r="D349" t="str">
            <v>CO2</v>
          </cell>
          <cell r="I349">
            <v>1499.9281634574299</v>
          </cell>
          <cell r="J349">
            <v>1054.61325930831</v>
          </cell>
          <cell r="K349">
            <v>370.55916293596999</v>
          </cell>
        </row>
        <row r="350">
          <cell r="B350" t="str">
            <v>D-RNGA</v>
          </cell>
          <cell r="C350" t="str">
            <v>VAR_fout</v>
          </cell>
          <cell r="D350" t="str">
            <v>RNGA</v>
          </cell>
          <cell r="I350">
            <v>27.510552799450032</v>
          </cell>
          <cell r="J350">
            <v>18.648868477514469</v>
          </cell>
          <cell r="K350">
            <v>6.5921012816932008</v>
          </cell>
        </row>
        <row r="351">
          <cell r="B351" t="str">
            <v>D-RNGA</v>
          </cell>
          <cell r="C351" t="str">
            <v>VAR_fout</v>
          </cell>
          <cell r="D351" t="str">
            <v>RSH2</v>
          </cell>
          <cell r="I351">
            <v>3.9850166207491275E-3</v>
          </cell>
          <cell r="J351">
            <v>7.6122189261293143E-3</v>
          </cell>
          <cell r="K351">
            <v>8.8548482439720806E-3</v>
          </cell>
        </row>
        <row r="352">
          <cell r="B352" t="str">
            <v>D-RNGA</v>
          </cell>
          <cell r="C352" t="str">
            <v>VAR_fin</v>
          </cell>
          <cell r="D352" t="str">
            <v>NGA</v>
          </cell>
          <cell r="I352">
            <v>26.594470983287753</v>
          </cell>
          <cell r="J352">
            <v>18.698816654402602</v>
          </cell>
          <cell r="K352">
            <v>6.5701979243966226</v>
          </cell>
        </row>
        <row r="353">
          <cell r="B353" t="str">
            <v>D-RNGA</v>
          </cell>
          <cell r="C353" t="str">
            <v>VAR_fin</v>
          </cell>
          <cell r="D353" t="str">
            <v>BNGA</v>
          </cell>
          <cell r="I353">
            <v>1.0040302014700064</v>
          </cell>
          <cell r="J353">
            <v>9.7220034423800544E-3</v>
          </cell>
          <cell r="K353">
            <v>4.3428784009998903E-2</v>
          </cell>
        </row>
        <row r="354">
          <cell r="B354" t="str">
            <v>D-RNGA</v>
          </cell>
          <cell r="C354" t="str">
            <v>VAR_fin</v>
          </cell>
          <cell r="D354" t="str">
            <v>H2</v>
          </cell>
          <cell r="I354">
            <v>3.9834418826092894E-3</v>
          </cell>
          <cell r="J354">
            <v>7.6109283320196621E-3</v>
          </cell>
          <cell r="K354">
            <v>8.854848243972693E-3</v>
          </cell>
        </row>
        <row r="355">
          <cell r="B355" t="str">
            <v>D-RNGA</v>
          </cell>
          <cell r="C355" t="str">
            <v>VAR_ncap</v>
          </cell>
          <cell r="D355" t="str">
            <v>-</v>
          </cell>
          <cell r="I355">
            <v>1.9651130799630999E-7</v>
          </cell>
          <cell r="J355">
            <v>2.67940592083724E-7</v>
          </cell>
          <cell r="K355">
            <v>4.7836046878745499E-7</v>
          </cell>
        </row>
        <row r="356">
          <cell r="B356" t="str">
            <v>D-RNGA</v>
          </cell>
          <cell r="C356" t="str">
            <v>VAR_cap</v>
          </cell>
          <cell r="D356" t="str">
            <v>-</v>
          </cell>
          <cell r="I356">
            <v>3.097241240847405</v>
          </cell>
          <cell r="J356">
            <v>3.0972415087879974</v>
          </cell>
          <cell r="K356">
            <v>1.553284227788766</v>
          </cell>
        </row>
        <row r="357">
          <cell r="B357" t="str">
            <v>RHES-CHPGFC</v>
          </cell>
          <cell r="C357" t="str">
            <v>VAR_fout</v>
          </cell>
          <cell r="D357" t="str">
            <v>CO2_R</v>
          </cell>
          <cell r="I357">
            <v>8.9359888812742802E-2</v>
          </cell>
          <cell r="J357">
            <v>9.2655993957536806E-2</v>
          </cell>
          <cell r="K357">
            <v>6.2805395081884804E-2</v>
          </cell>
        </row>
        <row r="358">
          <cell r="B358" t="str">
            <v>RHES-CHPGFC</v>
          </cell>
          <cell r="C358" t="str">
            <v>VAR_fout</v>
          </cell>
          <cell r="D358" t="str">
            <v>RHES_NKEV_GAS_ELC_CHP</v>
          </cell>
          <cell r="I358">
            <v>6.8128993243757742E-4</v>
          </cell>
          <cell r="J358">
            <v>7.2284817981057117E-4</v>
          </cell>
          <cell r="K358">
            <v>5.0110687565333616E-4</v>
          </cell>
        </row>
        <row r="359">
          <cell r="B359" t="str">
            <v>RHES-CHPGFC</v>
          </cell>
          <cell r="C359" t="str">
            <v>VAR_fout</v>
          </cell>
          <cell r="D359" t="str">
            <v>RHES_LTH_CHPNGA</v>
          </cell>
          <cell r="I359">
            <v>7.426060263569593E-4</v>
          </cell>
          <cell r="J359">
            <v>7.6621907059920493E-4</v>
          </cell>
          <cell r="K359">
            <v>5.0110687565333616E-4</v>
          </cell>
        </row>
        <row r="360">
          <cell r="B360" t="str">
            <v>RHES-CHPGFC</v>
          </cell>
          <cell r="C360" t="str">
            <v>VAR_fin</v>
          </cell>
          <cell r="D360" t="str">
            <v>RNGA</v>
          </cell>
          <cell r="I360">
            <v>1.5843951917152972E-3</v>
          </cell>
          <cell r="J360">
            <v>1.6428367722967534E-3</v>
          </cell>
          <cell r="K360">
            <v>1.113570834785191E-3</v>
          </cell>
        </row>
        <row r="361">
          <cell r="B361" t="str">
            <v>RHES-CHPGFC</v>
          </cell>
          <cell r="C361" t="str">
            <v>VAR_ncap</v>
          </cell>
          <cell r="D361" t="str">
            <v>-</v>
          </cell>
          <cell r="I361">
            <v>4.0060107557112799E-5</v>
          </cell>
          <cell r="J361">
            <v>3.6586862117138199E-6</v>
          </cell>
          <cell r="K361">
            <v>3.3545171867318599E-6</v>
          </cell>
        </row>
        <row r="362">
          <cell r="B362" t="str">
            <v>RHES-CHPGFC</v>
          </cell>
          <cell r="C362" t="str">
            <v>VAR_cap</v>
          </cell>
          <cell r="D362" t="str">
            <v>-</v>
          </cell>
          <cell r="I362">
            <v>6.0535097492411397E-5</v>
          </cell>
          <cell r="J362">
            <v>6.4156897964778043E-5</v>
          </cell>
          <cell r="K362">
            <v>4.4168893445763588E-5</v>
          </cell>
        </row>
        <row r="363">
          <cell r="B363" t="str">
            <v>ITOT-CHPHFC</v>
          </cell>
          <cell r="C363" t="str">
            <v>VAR_fout</v>
          </cell>
          <cell r="D363" t="str">
            <v>ITOT_LTH_CHP</v>
          </cell>
          <cell r="I363">
            <v>5.1001579556635068E-3</v>
          </cell>
          <cell r="J363">
            <v>3.26263325085277E-3</v>
          </cell>
          <cell r="K363">
            <v>4.2061495470638352E-2</v>
          </cell>
        </row>
        <row r="364">
          <cell r="B364" t="str">
            <v>ITOT-CHPHFC</v>
          </cell>
          <cell r="C364" t="str">
            <v>VAR_fout</v>
          </cell>
          <cell r="D364" t="str">
            <v>ITOT_KEV_HFC_ELC_CHP</v>
          </cell>
          <cell r="I364">
            <v>7.56994958936562E-3</v>
          </cell>
          <cell r="J364">
            <v>5.4377220847546103E-3</v>
          </cell>
          <cell r="K364">
            <v>8.4122990941276676E-2</v>
          </cell>
        </row>
        <row r="365">
          <cell r="B365" t="str">
            <v>ITOT-CHPHFC</v>
          </cell>
          <cell r="C365" t="str">
            <v>VAR_fin</v>
          </cell>
          <cell r="D365" t="str">
            <v>IH2</v>
          </cell>
          <cell r="I365">
            <v>1.4487941797828953E-2</v>
          </cell>
          <cell r="J365">
            <v>9.8867674268265753E-3</v>
          </cell>
          <cell r="K365">
            <v>0.1402049849021279</v>
          </cell>
        </row>
        <row r="366">
          <cell r="B366" t="str">
            <v>ITOT-CHPHFC</v>
          </cell>
          <cell r="C366" t="str">
            <v>VAR_ncap</v>
          </cell>
          <cell r="D366" t="str">
            <v>-</v>
          </cell>
          <cell r="I366">
            <v>6.1295039002998305E-4</v>
          </cell>
          <cell r="J366">
            <v>7.8151265861733898E-6</v>
          </cell>
          <cell r="K366">
            <v>1.0359291571471601E-2</v>
          </cell>
        </row>
        <row r="367">
          <cell r="B367" t="str">
            <v>ITOT-CHPHFC</v>
          </cell>
          <cell r="C367" t="str">
            <v>VAR_cap</v>
          </cell>
          <cell r="D367" t="str">
            <v>-</v>
          </cell>
          <cell r="I367">
            <v>6.1295039002998305E-4</v>
          </cell>
          <cell r="J367">
            <v>6.2066843207016198E-4</v>
          </cell>
          <cell r="K367">
            <v>1.0624004840602835E-2</v>
          </cell>
        </row>
        <row r="368">
          <cell r="B368" t="str">
            <v>G-INTC-TRA</v>
          </cell>
          <cell r="C368" t="str">
            <v>VAR_fout</v>
          </cell>
          <cell r="D368" t="str">
            <v>TRAN_ELC</v>
          </cell>
          <cell r="I368">
            <v>32.97162650847401</v>
          </cell>
          <cell r="J368">
            <v>50.518679295800595</v>
          </cell>
          <cell r="K368">
            <v>48.257021561239824</v>
          </cell>
        </row>
        <row r="369">
          <cell r="B369" t="str">
            <v>G-INTC-TRA</v>
          </cell>
          <cell r="C369" t="str">
            <v>VAR_fin</v>
          </cell>
          <cell r="D369" t="str">
            <v>ELC3</v>
          </cell>
          <cell r="I369">
            <v>32.96398522021294</v>
          </cell>
          <cell r="J369">
            <v>26.373722279425323</v>
          </cell>
          <cell r="K369">
            <v>22.143253564492976</v>
          </cell>
        </row>
        <row r="370">
          <cell r="B370" t="str">
            <v>G-INTC-TRA</v>
          </cell>
          <cell r="C370" t="str">
            <v>VAR_fin</v>
          </cell>
          <cell r="D370" t="str">
            <v>ELC5</v>
          </cell>
          <cell r="I370">
            <v>7.641288261097238E-3</v>
          </cell>
          <cell r="J370">
            <v>24.144957016375304</v>
          </cell>
          <cell r="K370">
            <v>26.113767996746866</v>
          </cell>
        </row>
        <row r="371">
          <cell r="B371" t="str">
            <v>G-INTC-TRA</v>
          </cell>
          <cell r="C371" t="str">
            <v>VAR_ncap</v>
          </cell>
          <cell r="D371" t="str">
            <v>-</v>
          </cell>
          <cell r="I371">
            <v>0.80013234604439298</v>
          </cell>
          <cell r="J371">
            <v>9.7931992879208004E-6</v>
          </cell>
          <cell r="K371">
            <v>3.8091231486528098E-5</v>
          </cell>
        </row>
        <row r="372">
          <cell r="B372" t="str">
            <v>G-INTC-TRA</v>
          </cell>
          <cell r="C372" t="str">
            <v>VAR_cap</v>
          </cell>
          <cell r="D372" t="str">
            <v>-</v>
          </cell>
          <cell r="I372">
            <v>1.056223000913461</v>
          </cell>
          <cell r="J372">
            <v>1.663673890253184</v>
          </cell>
          <cell r="K372">
            <v>1.6637071542744502</v>
          </cell>
        </row>
        <row r="373">
          <cell r="B373" t="str">
            <v>SCOM-SWHSTG-CHPBIO</v>
          </cell>
          <cell r="C373" t="str">
            <v>VAR_fout</v>
          </cell>
          <cell r="D373" t="str">
            <v>AUX_SCOM-CHPBIO_OUT</v>
          </cell>
          <cell r="I373">
            <v>10.4727732311949</v>
          </cell>
          <cell r="J373">
            <v>13.364469250093507</v>
          </cell>
          <cell r="K373">
            <v>99.584833452691555</v>
          </cell>
        </row>
        <row r="374">
          <cell r="B374" t="str">
            <v>SCOM-SWHSTG-CHPBIO</v>
          </cell>
          <cell r="C374" t="str">
            <v>VAR_fout</v>
          </cell>
          <cell r="D374" t="str">
            <v>SCOM_LTH_CHPBIO</v>
          </cell>
          <cell r="I374">
            <v>10.484422589627805</v>
          </cell>
          <cell r="J374">
            <v>13.364469250093489</v>
          </cell>
          <cell r="K374">
            <v>99.584833452691555</v>
          </cell>
        </row>
        <row r="375">
          <cell r="B375" t="str">
            <v>SCOM-SWHSTG-CHPBIO</v>
          </cell>
          <cell r="C375" t="str">
            <v>VAR_fin</v>
          </cell>
          <cell r="D375" t="str">
            <v>SCOM_LTH_CHPBIO</v>
          </cell>
          <cell r="I375">
            <v>11.649348578975832</v>
          </cell>
          <cell r="J375">
            <v>14.370391172462261</v>
          </cell>
          <cell r="K375">
            <v>100.59074210353657</v>
          </cell>
        </row>
        <row r="376">
          <cell r="B376" t="str">
            <v>SCOM-SWHSTG-CHPBIO</v>
          </cell>
          <cell r="C376" t="str">
            <v>VAR_fin</v>
          </cell>
          <cell r="D376" t="str">
            <v>AUX_SCOM-CHPBIO_IN</v>
          </cell>
          <cell r="I376">
            <v>11.649348578975832</v>
          </cell>
          <cell r="J376">
            <v>14.370391172462261</v>
          </cell>
          <cell r="K376">
            <v>100.59074210353657</v>
          </cell>
        </row>
        <row r="377">
          <cell r="B377" t="str">
            <v>SCOM-SWHSTG-CHPBIO</v>
          </cell>
          <cell r="C377" t="str">
            <v>VAR_ncap</v>
          </cell>
          <cell r="D377" t="str">
            <v>-</v>
          </cell>
          <cell r="I377">
            <v>0.104144263556616</v>
          </cell>
          <cell r="J377">
            <v>0.598843091465039</v>
          </cell>
          <cell r="K377">
            <v>5.7094051952680704</v>
          </cell>
        </row>
        <row r="378">
          <cell r="B378" t="str">
            <v>SCOM-SWHSTG-CHPBIO</v>
          </cell>
          <cell r="C378" t="str">
            <v>VAR_cap</v>
          </cell>
          <cell r="D378" t="str">
            <v>-</v>
          </cell>
          <cell r="I378">
            <v>0.65543835161181851</v>
          </cell>
          <cell r="J378">
            <v>0.83390196473661082</v>
          </cell>
          <cell r="K378">
            <v>6.1880397792593573</v>
          </cell>
        </row>
        <row r="379">
          <cell r="B379" t="str">
            <v>SCOM-SWHSTG-CHPHFC</v>
          </cell>
          <cell r="C379" t="str">
            <v>VAR_fout</v>
          </cell>
          <cell r="D379" t="str">
            <v>AUX_SCOM-CHPHFC_OUT</v>
          </cell>
          <cell r="I379">
            <v>2.2680894921962777E-2</v>
          </cell>
          <cell r="J379">
            <v>4.5065494555226335E-2</v>
          </cell>
          <cell r="K379">
            <v>0.40622532348393015</v>
          </cell>
        </row>
        <row r="380">
          <cell r="B380" t="str">
            <v>SCOM-SWHSTG-CHPHFC</v>
          </cell>
          <cell r="C380" t="str">
            <v>VAR_fout</v>
          </cell>
          <cell r="D380" t="str">
            <v>SCOM_LTH_CHPHFC</v>
          </cell>
          <cell r="I380">
            <v>2.2706123948572281E-2</v>
          </cell>
          <cell r="J380">
            <v>4.5065494555226314E-2</v>
          </cell>
          <cell r="K380">
            <v>0.40622532348393015</v>
          </cell>
        </row>
        <row r="381">
          <cell r="B381" t="str">
            <v>SCOM-SWHSTG-CHPHFC</v>
          </cell>
          <cell r="C381" t="str">
            <v>VAR_fin</v>
          </cell>
          <cell r="D381" t="str">
            <v>SCOM_LTH_CHPHFC</v>
          </cell>
          <cell r="I381">
            <v>2.5214891635424695E-2</v>
          </cell>
          <cell r="J381">
            <v>4.8448268846588281E-2</v>
          </cell>
          <cell r="K381">
            <v>0.41032932069325723</v>
          </cell>
        </row>
        <row r="382">
          <cell r="B382" t="str">
            <v>SCOM-SWHSTG-CHPHFC</v>
          </cell>
          <cell r="C382" t="str">
            <v>VAR_fin</v>
          </cell>
          <cell r="D382" t="str">
            <v>AUX_SCOM-CHPHFC_IN</v>
          </cell>
          <cell r="I382">
            <v>2.5214891635424695E-2</v>
          </cell>
          <cell r="J382">
            <v>4.8448268846588281E-2</v>
          </cell>
          <cell r="K382">
            <v>0.41032932069325723</v>
          </cell>
        </row>
        <row r="383">
          <cell r="B383" t="str">
            <v>SCOM-SWHSTG-CHPHFC</v>
          </cell>
          <cell r="C383" t="str">
            <v>VAR_ncap</v>
          </cell>
          <cell r="D383" t="str">
            <v>-</v>
          </cell>
          <cell r="I383">
            <v>3.01658306978366E-3</v>
          </cell>
          <cell r="J383">
            <v>2.9255211692916401E-4</v>
          </cell>
          <cell r="K383">
            <v>2.3774196821841901E-2</v>
          </cell>
        </row>
        <row r="384">
          <cell r="B384" t="str">
            <v>SCOM-SWHSTG-CHPHFC</v>
          </cell>
          <cell r="C384" t="str">
            <v>VAR_cap</v>
          </cell>
          <cell r="D384" t="str">
            <v>-</v>
          </cell>
          <cell r="I384">
            <v>3.712878245947578E-3</v>
          </cell>
          <cell r="J384">
            <v>3.3492066462414917E-3</v>
          </cell>
          <cell r="K384">
            <v>2.5244235554865928E-2</v>
          </cell>
        </row>
        <row r="385">
          <cell r="B385" t="str">
            <v>D-IHFO</v>
          </cell>
          <cell r="C385" t="str">
            <v>VAR_fout</v>
          </cell>
          <cell r="D385" t="str">
            <v>CO2</v>
          </cell>
          <cell r="I385">
            <v>0.107436978858319</v>
          </cell>
          <cell r="J385">
            <v>5.4265476835198096E-3</v>
          </cell>
          <cell r="K385"/>
        </row>
        <row r="386">
          <cell r="B386" t="str">
            <v>D-IHFO</v>
          </cell>
          <cell r="C386" t="str">
            <v>VAR_fout</v>
          </cell>
          <cell r="D386" t="str">
            <v>IHFO</v>
          </cell>
          <cell r="I386">
            <v>1.3719825468158778E-3</v>
          </cell>
          <cell r="J386">
            <v>6.9297636534172198E-5</v>
          </cell>
          <cell r="K386"/>
        </row>
        <row r="387">
          <cell r="B387" t="str">
            <v>D-IHFO</v>
          </cell>
          <cell r="C387" t="str">
            <v>VAR_fin</v>
          </cell>
          <cell r="D387" t="str">
            <v>HFO</v>
          </cell>
          <cell r="I387">
            <v>1.3952854397184253E-3</v>
          </cell>
          <cell r="J387">
            <v>7.0474645240517107E-5</v>
          </cell>
          <cell r="K387"/>
        </row>
        <row r="388">
          <cell r="B388" t="str">
            <v>RHNM-CHPNGA</v>
          </cell>
          <cell r="C388" t="str">
            <v>VAR_fout</v>
          </cell>
          <cell r="D388" t="str">
            <v>CO2_R</v>
          </cell>
          <cell r="I388">
            <v>210.49655098360299</v>
          </cell>
          <cell r="J388">
            <v>231.12476589381899</v>
          </cell>
          <cell r="K388">
            <v>1.6134270321441</v>
          </cell>
        </row>
        <row r="389">
          <cell r="B389" t="str">
            <v>RHNM-CHPNGA</v>
          </cell>
          <cell r="C389" t="str">
            <v>VAR_fout</v>
          </cell>
          <cell r="D389" t="str">
            <v>RHNM_NKEV_GAS_ELC_CHP</v>
          </cell>
          <cell r="I389">
            <v>1.1258594462199096</v>
          </cell>
          <cell r="J389">
            <v>1.2462885517788433</v>
          </cell>
          <cell r="K389">
            <v>8.774009187425184E-3</v>
          </cell>
        </row>
        <row r="390">
          <cell r="B390" t="str">
            <v>RHNM-CHPNGA</v>
          </cell>
          <cell r="C390" t="str">
            <v>VAR_fout</v>
          </cell>
          <cell r="D390" t="str">
            <v>RHNM_LTH_CHPNGA</v>
          </cell>
          <cell r="I390">
            <v>2.2984758967637093</v>
          </cell>
          <cell r="J390">
            <v>2.5130080634229137</v>
          </cell>
          <cell r="K390">
            <v>1.7264985820417293E-2</v>
          </cell>
        </row>
        <row r="391">
          <cell r="B391" t="str">
            <v>RHNM-CHPNGA</v>
          </cell>
          <cell r="C391" t="str">
            <v>VAR_fin</v>
          </cell>
          <cell r="D391" t="str">
            <v>RNGA</v>
          </cell>
          <cell r="I391">
            <v>3.7322083507731114</v>
          </cell>
          <cell r="J391">
            <v>4.0979568420889834</v>
          </cell>
          <cell r="K391">
            <v>2.8606862272058491E-2</v>
          </cell>
        </row>
        <row r="392">
          <cell r="B392" t="str">
            <v>RHNM-CHPNGA</v>
          </cell>
          <cell r="C392" t="str">
            <v>VAR_ncap</v>
          </cell>
          <cell r="D392" t="str">
            <v>-</v>
          </cell>
          <cell r="I392">
            <v>1.89484563746244E-2</v>
          </cell>
          <cell r="J392">
            <v>9.02973517749164E-3</v>
          </cell>
          <cell r="K392">
            <v>4.6183874320102396E-6</v>
          </cell>
        </row>
        <row r="393">
          <cell r="B393" t="str">
            <v>RHNM-CHPNGA</v>
          </cell>
          <cell r="C393" t="str">
            <v>VAR_cap</v>
          </cell>
          <cell r="D393" t="str">
            <v>-</v>
          </cell>
          <cell r="I393">
            <v>8.3543915923144946E-2</v>
          </cell>
          <cell r="J393">
            <v>9.2478896074909542E-2</v>
          </cell>
          <cell r="K393">
            <v>8.359156407031984E-4</v>
          </cell>
        </row>
        <row r="394">
          <cell r="B394" t="str">
            <v>G-INTC-EXP00-DE</v>
          </cell>
          <cell r="C394" t="str">
            <v>VAR_fout</v>
          </cell>
          <cell r="D394" t="str">
            <v>ELC_E-DE</v>
          </cell>
          <cell r="I394">
            <v>1.4889855545761397E-3</v>
          </cell>
          <cell r="J394">
            <v>1.925482389747024E-3</v>
          </cell>
          <cell r="K394">
            <v>5.2974830788920125E-4</v>
          </cell>
        </row>
        <row r="395">
          <cell r="B395" t="str">
            <v>G-INTC-EXP00-DE</v>
          </cell>
          <cell r="C395" t="str">
            <v>VAR_fin</v>
          </cell>
          <cell r="D395" t="str">
            <v>ELC</v>
          </cell>
          <cell r="I395">
            <v>1.4889855545761397E-3</v>
          </cell>
          <cell r="J395">
            <v>1.925482389747024E-3</v>
          </cell>
          <cell r="K395">
            <v>5.2974830788920125E-4</v>
          </cell>
        </row>
        <row r="396">
          <cell r="B396" t="str">
            <v>G-INTC-EXP00-DE</v>
          </cell>
          <cell r="C396" t="str">
            <v>VAR_ncap</v>
          </cell>
          <cell r="D396" t="str">
            <v>-</v>
          </cell>
          <cell r="I396">
            <v>1.71593823239277E-6</v>
          </cell>
          <cell r="J396">
            <v>2.5194258992165198E-6</v>
          </cell>
          <cell r="K396">
            <v>3.74518912393515E-6</v>
          </cell>
        </row>
        <row r="397">
          <cell r="B397" t="str">
            <v>G-INTC-EXP00-DE</v>
          </cell>
          <cell r="C397" t="str">
            <v>VAR_cap</v>
          </cell>
          <cell r="D397" t="str">
            <v>-</v>
          </cell>
          <cell r="I397">
            <v>9.7715908657569628E-4</v>
          </cell>
          <cell r="J397">
            <v>9.7468224721009022E-4</v>
          </cell>
          <cell r="K397">
            <v>4.9128318591362685E-4</v>
          </cell>
        </row>
        <row r="398">
          <cell r="B398" t="str">
            <v>ENUC_BMGL_EXT</v>
          </cell>
          <cell r="C398" t="str">
            <v>VAR_fout</v>
          </cell>
          <cell r="D398" t="str">
            <v>ELC</v>
          </cell>
          <cell r="I398">
            <v>33.161524799342196</v>
          </cell>
          <cell r="J398">
            <v>33.161526605268932</v>
          </cell>
          <cell r="K398">
            <v>24.066432103800981</v>
          </cell>
        </row>
        <row r="399">
          <cell r="B399" t="str">
            <v>ENUC_BMGL_EXT</v>
          </cell>
          <cell r="C399" t="str">
            <v>VAR_fin</v>
          </cell>
          <cell r="D399" t="str">
            <v>URN</v>
          </cell>
          <cell r="I399">
            <v>100.01083178959657</v>
          </cell>
          <cell r="J399">
            <v>100.01083723603607</v>
          </cell>
          <cell r="K399">
            <v>72.581218972076059</v>
          </cell>
        </row>
        <row r="400">
          <cell r="B400" t="str">
            <v>ENUC_BMGL_EXT</v>
          </cell>
          <cell r="C400" t="str">
            <v>VAR_ncap</v>
          </cell>
          <cell r="D400" t="str">
            <v>-</v>
          </cell>
          <cell r="I400"/>
          <cell r="J400"/>
          <cell r="K400"/>
        </row>
        <row r="401">
          <cell r="B401" t="str">
            <v>ENUC_BMGL_EXT</v>
          </cell>
          <cell r="C401" t="str">
            <v>VAR_cap</v>
          </cell>
          <cell r="D401" t="str">
            <v>-</v>
          </cell>
          <cell r="I401">
            <v>1.2326653547194935</v>
          </cell>
          <cell r="J401">
            <v>1.2326653510199455</v>
          </cell>
          <cell r="K401">
            <v>0.89458653561212942</v>
          </cell>
        </row>
        <row r="402">
          <cell r="B402" t="str">
            <v>CEN-EBAT</v>
          </cell>
          <cell r="C402" t="str">
            <v>VAR_fout</v>
          </cell>
          <cell r="D402" t="str">
            <v>ELC13</v>
          </cell>
          <cell r="I402">
            <v>5.3029446037478285E-2</v>
          </cell>
          <cell r="J402">
            <v>5.321069605631213E-2</v>
          </cell>
          <cell r="K402">
            <v>0.41676617804465577</v>
          </cell>
        </row>
        <row r="403">
          <cell r="B403" t="str">
            <v>CEN-EBAT</v>
          </cell>
          <cell r="C403" t="str">
            <v>VAR_fout</v>
          </cell>
          <cell r="D403" t="str">
            <v>AUX_CEN-EBAT_OUT</v>
          </cell>
          <cell r="I403">
            <v>5.302944603747807E-2</v>
          </cell>
          <cell r="J403">
            <v>5.3210696056311978E-2</v>
          </cell>
          <cell r="K403">
            <v>0.41676617804465427</v>
          </cell>
        </row>
        <row r="404">
          <cell r="B404" t="str">
            <v>CEN-EBAT</v>
          </cell>
          <cell r="C404" t="str">
            <v>VAR_fin</v>
          </cell>
          <cell r="D404" t="str">
            <v>AUX_CEN-EBAT_IN</v>
          </cell>
          <cell r="I404">
            <v>6.116508025911891E-2</v>
          </cell>
          <cell r="J404">
            <v>6.1372938023353543E-2</v>
          </cell>
          <cell r="K404">
            <v>0.48067779877178324</v>
          </cell>
        </row>
        <row r="405">
          <cell r="B405" t="str">
            <v>CEN-EBAT</v>
          </cell>
          <cell r="C405" t="str">
            <v>VAR_fin</v>
          </cell>
          <cell r="D405" t="str">
            <v>ELC13</v>
          </cell>
          <cell r="I405">
            <v>6.116508025911891E-2</v>
          </cell>
          <cell r="J405">
            <v>6.1372938023353543E-2</v>
          </cell>
          <cell r="K405">
            <v>0.48067779877178324</v>
          </cell>
        </row>
        <row r="406">
          <cell r="B406" t="str">
            <v>CEN-EBAT</v>
          </cell>
          <cell r="C406" t="str">
            <v>VAR_ncap</v>
          </cell>
          <cell r="D406" t="str">
            <v>-</v>
          </cell>
          <cell r="I406">
            <v>3.9364820608708802E-3</v>
          </cell>
          <cell r="J406">
            <v>7.7392998682334797E-3</v>
          </cell>
          <cell r="K406">
            <v>0.307846320819049</v>
          </cell>
        </row>
        <row r="407">
          <cell r="B407" t="str">
            <v>CEN-EBAT</v>
          </cell>
          <cell r="C407" t="str">
            <v>VAR_cap</v>
          </cell>
          <cell r="D407" t="str">
            <v>-</v>
          </cell>
          <cell r="I407">
            <v>1.1954230230677288E-2</v>
          </cell>
          <cell r="J407">
            <v>1.2611586503716096E-2</v>
          </cell>
          <cell r="K407">
            <v>0.31241736811141785</v>
          </cell>
        </row>
        <row r="408">
          <cell r="B408" t="str">
            <v>ESOL-PV</v>
          </cell>
          <cell r="C408" t="str">
            <v>VAR_fout</v>
          </cell>
          <cell r="D408" t="str">
            <v>ELC35</v>
          </cell>
          <cell r="I408">
            <v>0.19114955598791936</v>
          </cell>
          <cell r="J408">
            <v>0.19186671428690705</v>
          </cell>
          <cell r="K408">
            <v>1.5236520613559779</v>
          </cell>
        </row>
        <row r="409">
          <cell r="B409" t="str">
            <v>ESOL-PV</v>
          </cell>
          <cell r="C409" t="str">
            <v>VAR_fin</v>
          </cell>
          <cell r="D409" t="str">
            <v>SOL</v>
          </cell>
          <cell r="I409">
            <v>0.19114955598791936</v>
          </cell>
          <cell r="J409">
            <v>0.19186671428690705</v>
          </cell>
          <cell r="K409">
            <v>1.5236520613559779</v>
          </cell>
        </row>
        <row r="410">
          <cell r="B410" t="str">
            <v>ESOL-PV</v>
          </cell>
          <cell r="C410" t="str">
            <v>VAR_fin</v>
          </cell>
          <cell r="D410" t="str">
            <v>SOLPVC</v>
          </cell>
          <cell r="I410">
            <v>0.191149555987919</v>
          </cell>
          <cell r="J410">
            <v>0.19186671428690699</v>
          </cell>
          <cell r="K410">
            <v>1.5236520613559801</v>
          </cell>
        </row>
        <row r="411">
          <cell r="B411" t="str">
            <v>ESOL-PV</v>
          </cell>
          <cell r="C411" t="str">
            <v>VAR_ncap</v>
          </cell>
          <cell r="D411" t="str">
            <v>-</v>
          </cell>
          <cell r="I411">
            <v>1.01753470943815E-2</v>
          </cell>
          <cell r="J411">
            <v>2.0675528617565401E-4</v>
          </cell>
          <cell r="K411">
            <v>0.43090928517066801</v>
          </cell>
        </row>
        <row r="412">
          <cell r="B412" t="str">
            <v>ESOL-PV</v>
          </cell>
          <cell r="C412" t="str">
            <v>VAR_cap</v>
          </cell>
          <cell r="D412" t="str">
            <v>-</v>
          </cell>
          <cell r="I412">
            <v>5.5102827779538698E-2</v>
          </cell>
          <cell r="J412">
            <v>5.5309583065714402E-2</v>
          </cell>
          <cell r="K412">
            <v>0.43922496565278901</v>
          </cell>
        </row>
        <row r="413">
          <cell r="B413" t="str">
            <v>RHEM-SHSTG-CHPNGA</v>
          </cell>
          <cell r="C413" t="str">
            <v>VAR_fout</v>
          </cell>
          <cell r="D413" t="str">
            <v>RHEM_LTH_CHPNGA</v>
          </cell>
          <cell r="I413">
            <v>0.83613906061817922</v>
          </cell>
          <cell r="J413">
            <v>0.71387836418680584</v>
          </cell>
          <cell r="K413">
            <v>3.3839790090717799E-3</v>
          </cell>
        </row>
        <row r="414">
          <cell r="B414" t="str">
            <v>RHEM-SHSTG-CHPNGA</v>
          </cell>
          <cell r="C414" t="str">
            <v>VAR_fout</v>
          </cell>
          <cell r="D414" t="str">
            <v>AUX_REM-CHPNGA_OUT</v>
          </cell>
          <cell r="I414">
            <v>0.83537125615480312</v>
          </cell>
          <cell r="J414">
            <v>0.71387836418680839</v>
          </cell>
          <cell r="K414">
            <v>3.3839790090717833E-3</v>
          </cell>
        </row>
        <row r="415">
          <cell r="B415" t="str">
            <v>RHEM-SHSTG-CHPNGA</v>
          </cell>
          <cell r="C415" t="str">
            <v>VAR_fin</v>
          </cell>
          <cell r="D415" t="str">
            <v>AUX_REM-CHPNGA_IN</v>
          </cell>
          <cell r="I415">
            <v>1.0134976328023313</v>
          </cell>
          <cell r="J415">
            <v>0.83985902847132843</v>
          </cell>
          <cell r="K415">
            <v>3.7621150790901861E-3</v>
          </cell>
        </row>
        <row r="416">
          <cell r="B416" t="str">
            <v>RHEM-SHSTG-CHPNGA</v>
          </cell>
          <cell r="C416" t="str">
            <v>VAR_fin</v>
          </cell>
          <cell r="D416" t="str">
            <v>RHEM_LTH_CHPNGA</v>
          </cell>
          <cell r="I416">
            <v>1.0134976328023313</v>
          </cell>
          <cell r="J416">
            <v>0.83985902847132843</v>
          </cell>
          <cell r="K416">
            <v>3.7621150790901861E-3</v>
          </cell>
        </row>
        <row r="417">
          <cell r="B417" t="str">
            <v>RHEM-SHSTG-CHPNGA</v>
          </cell>
          <cell r="C417" t="str">
            <v>VAR_ncap</v>
          </cell>
          <cell r="D417" t="str">
            <v>-</v>
          </cell>
          <cell r="I417">
            <v>6.2665864477744002E-3</v>
          </cell>
          <cell r="J417">
            <v>8.5656298420922206E-3</v>
          </cell>
          <cell r="K417">
            <v>6.6484319116754E-5</v>
          </cell>
        </row>
        <row r="418">
          <cell r="B418" t="str">
            <v>RHEM-SHSTG-CHPNGA</v>
          </cell>
          <cell r="C418" t="str">
            <v>VAR_cap</v>
          </cell>
          <cell r="D418" t="str">
            <v>-</v>
          </cell>
          <cell r="I418">
            <v>5.3403060036189533E-2</v>
          </cell>
          <cell r="J418">
            <v>4.5764170009628256E-2</v>
          </cell>
          <cell r="K418">
            <v>6.3062585860065301E-3</v>
          </cell>
        </row>
        <row r="419">
          <cell r="B419" t="str">
            <v>RHNS-ESOLPV</v>
          </cell>
          <cell r="C419" t="str">
            <v>VAR_fout</v>
          </cell>
          <cell r="D419" t="str">
            <v>RHNS_SOL_ELC</v>
          </cell>
          <cell r="I419">
            <v>2.7873896877926184E-3</v>
          </cell>
          <cell r="J419">
            <v>2.9425866724515251E-3</v>
          </cell>
          <cell r="K419">
            <v>3.2770445878762548E-3</v>
          </cell>
        </row>
        <row r="420">
          <cell r="B420" t="str">
            <v>RHNS-ESOLPV</v>
          </cell>
          <cell r="C420" t="str">
            <v>VAR_fin</v>
          </cell>
          <cell r="D420" t="str">
            <v>SOL</v>
          </cell>
          <cell r="I420">
            <v>2.7873896877926184E-3</v>
          </cell>
          <cell r="J420">
            <v>2.9425866724515251E-3</v>
          </cell>
          <cell r="K420">
            <v>3.2770445878762548E-3</v>
          </cell>
        </row>
        <row r="421">
          <cell r="B421" t="str">
            <v>RHNS-ESOLPV</v>
          </cell>
          <cell r="C421" t="str">
            <v>VAR_fin</v>
          </cell>
          <cell r="D421" t="str">
            <v>SOLPVC</v>
          </cell>
          <cell r="I421">
            <v>2.7873896877926201E-3</v>
          </cell>
          <cell r="J421">
            <v>2.9425866724515199E-3</v>
          </cell>
          <cell r="K421">
            <v>3.27704458787626E-3</v>
          </cell>
        </row>
        <row r="422">
          <cell r="B422" t="str">
            <v>RHNS-ESOLPV</v>
          </cell>
          <cell r="C422" t="str">
            <v>VAR_ncap</v>
          </cell>
          <cell r="D422" t="str">
            <v>-</v>
          </cell>
          <cell r="I422">
            <v>4.4764221485331703E-5</v>
          </cell>
          <cell r="J422">
            <v>5.1842611950784597E-5</v>
          </cell>
          <cell r="K422">
            <v>8.5731964475896805E-4</v>
          </cell>
        </row>
        <row r="423">
          <cell r="B423" t="str">
            <v>RHNS-ESOLPV</v>
          </cell>
          <cell r="C423" t="str">
            <v>VAR_cap</v>
          </cell>
          <cell r="D423" t="str">
            <v>-</v>
          </cell>
          <cell r="I423">
            <v>8.0383920404087901E-4</v>
          </cell>
          <cell r="J423">
            <v>8.4867872982916505E-4</v>
          </cell>
          <cell r="K423">
            <v>9.4495100619921201E-4</v>
          </cell>
        </row>
        <row r="424">
          <cell r="B424" t="str">
            <v>RHSA-WHSTG-CHP</v>
          </cell>
          <cell r="C424" t="str">
            <v>VAR_fout</v>
          </cell>
          <cell r="D424" t="str">
            <v>AUX_RHSA-CHP_OUT</v>
          </cell>
          <cell r="I424">
            <v>1.9024876958477477</v>
          </cell>
          <cell r="J424">
            <v>3.1991860527619411</v>
          </cell>
          <cell r="K424">
            <v>7.2144422383509321E-2</v>
          </cell>
        </row>
        <row r="425">
          <cell r="B425" t="str">
            <v>RHSA-WHSTG-CHP</v>
          </cell>
          <cell r="C425" t="str">
            <v>VAR_fout</v>
          </cell>
          <cell r="D425" t="str">
            <v>RHSA_LTH</v>
          </cell>
          <cell r="I425">
            <v>1.9042363058623086</v>
          </cell>
          <cell r="J425">
            <v>3.1991860527619309</v>
          </cell>
          <cell r="K425">
            <v>7.214442238350928E-2</v>
          </cell>
        </row>
        <row r="426">
          <cell r="B426" t="str">
            <v>RHSA-WHSTG-CHP</v>
          </cell>
          <cell r="C426" t="str">
            <v>VAR_fin</v>
          </cell>
          <cell r="D426" t="str">
            <v>RHSA_LTH</v>
          </cell>
          <cell r="I426">
            <v>2.308160960370925</v>
          </cell>
          <cell r="J426">
            <v>3.7637504267954771</v>
          </cell>
          <cell r="K426">
            <v>8.016260814523081E-2</v>
          </cell>
        </row>
        <row r="427">
          <cell r="B427" t="str">
            <v>RHSA-WHSTG-CHP</v>
          </cell>
          <cell r="C427" t="str">
            <v>VAR_fin</v>
          </cell>
          <cell r="D427" t="str">
            <v>AUX_RHSA-CHP_IN</v>
          </cell>
          <cell r="I427">
            <v>2.308160960370925</v>
          </cell>
          <cell r="J427">
            <v>3.7637504267954771</v>
          </cell>
          <cell r="K427">
            <v>8.016260814523081E-2</v>
          </cell>
        </row>
        <row r="428">
          <cell r="B428" t="str">
            <v>RHSA-WHSTG-CHP</v>
          </cell>
          <cell r="C428" t="str">
            <v>VAR_ncap</v>
          </cell>
          <cell r="D428" t="str">
            <v>-</v>
          </cell>
          <cell r="I428">
            <v>7.9281569225352802E-2</v>
          </cell>
          <cell r="J428">
            <v>9.6814095523913596E-2</v>
          </cell>
          <cell r="K428">
            <v>5.1280442717240801E-5</v>
          </cell>
        </row>
        <row r="429">
          <cell r="B429" t="str">
            <v>RHSA-WHSTG-CHP</v>
          </cell>
          <cell r="C429" t="str">
            <v>VAR_cap</v>
          </cell>
          <cell r="D429" t="str">
            <v>-</v>
          </cell>
          <cell r="I429">
            <v>0.12099909404839286</v>
          </cell>
          <cell r="J429">
            <v>0.20293665548363854</v>
          </cell>
          <cell r="K429">
            <v>6.0893538451460602E-2</v>
          </cell>
        </row>
        <row r="430">
          <cell r="B430" t="str">
            <v>G-INTC-SER</v>
          </cell>
          <cell r="C430" t="str">
            <v>VAR_fout</v>
          </cell>
          <cell r="D430" t="str">
            <v>ELC35</v>
          </cell>
          <cell r="I430">
            <v>2.0945050092069902E-3</v>
          </cell>
          <cell r="J430">
            <v>1.6112891700700515E-3</v>
          </cell>
          <cell r="K430">
            <v>1.0377653987810795E-3</v>
          </cell>
        </row>
        <row r="431">
          <cell r="B431" t="str">
            <v>G-INTC-SER</v>
          </cell>
          <cell r="C431" t="str">
            <v>VAR_fout</v>
          </cell>
          <cell r="D431" t="str">
            <v>SCOM_ELC</v>
          </cell>
          <cell r="I431">
            <v>44.758807919532664</v>
          </cell>
          <cell r="J431">
            <v>41.557452827904839</v>
          </cell>
          <cell r="K431">
            <v>33.107876137570749</v>
          </cell>
        </row>
        <row r="432">
          <cell r="B432" t="str">
            <v>G-INTC-SER</v>
          </cell>
          <cell r="C432" t="str">
            <v>VAR_fin</v>
          </cell>
          <cell r="D432" t="str">
            <v>ELC5</v>
          </cell>
          <cell r="I432">
            <v>44.760902424541911</v>
          </cell>
          <cell r="J432">
            <v>41.55905230253051</v>
          </cell>
          <cell r="K432">
            <v>33.108900268055521</v>
          </cell>
        </row>
        <row r="433">
          <cell r="B433" t="str">
            <v>G-INTC-SER</v>
          </cell>
          <cell r="C433" t="str">
            <v>VAR_ncap</v>
          </cell>
          <cell r="D433" t="str">
            <v>-</v>
          </cell>
          <cell r="I433">
            <v>1.7067437517647899E-7</v>
          </cell>
          <cell r="J433">
            <v>2.3295337436099201E-7</v>
          </cell>
          <cell r="K433">
            <v>4.0287811119559499E-7</v>
          </cell>
        </row>
        <row r="434">
          <cell r="B434" t="str">
            <v>G-INTC-SER</v>
          </cell>
          <cell r="C434" t="str">
            <v>VAR_cap</v>
          </cell>
          <cell r="D434" t="str">
            <v>-</v>
          </cell>
          <cell r="I434">
            <v>4.3683893205327822</v>
          </cell>
          <cell r="J434">
            <v>4.3683895622702043</v>
          </cell>
          <cell r="K434">
            <v>4.3683899811743867</v>
          </cell>
        </row>
        <row r="435">
          <cell r="B435" t="str">
            <v>CHPWOD</v>
          </cell>
          <cell r="C435" t="str">
            <v>VAR_fout</v>
          </cell>
          <cell r="D435" t="str">
            <v>ELC35</v>
          </cell>
          <cell r="I435">
            <v>2.4454152907868397E-3</v>
          </cell>
          <cell r="J435">
            <v>2.2737357822534771E-3</v>
          </cell>
          <cell r="K435">
            <v>1.2980194931589612E-3</v>
          </cell>
        </row>
        <row r="436">
          <cell r="B436" t="str">
            <v>CHPWOD</v>
          </cell>
          <cell r="C436" t="str">
            <v>VAR_fout</v>
          </cell>
          <cell r="D436" t="str">
            <v>LTH</v>
          </cell>
          <cell r="I436">
            <v>6.395212740371168E-3</v>
          </cell>
          <cell r="J436">
            <v>5.9462391102602834E-3</v>
          </cell>
          <cell r="K436">
            <v>3.3945607648626988E-3</v>
          </cell>
        </row>
        <row r="437">
          <cell r="B437" t="str">
            <v>CHPWOD</v>
          </cell>
          <cell r="C437" t="str">
            <v>VAR_fin</v>
          </cell>
          <cell r="D437" t="str">
            <v>EWOD</v>
          </cell>
          <cell r="I437">
            <v>0.47985089363224981</v>
          </cell>
          <cell r="J437">
            <v>0.50206665337692413</v>
          </cell>
          <cell r="K437">
            <v>0.46934910143398834</v>
          </cell>
        </row>
        <row r="438">
          <cell r="B438" t="str">
            <v>CHPWOD</v>
          </cell>
          <cell r="C438" t="str">
            <v>VAR_ncap</v>
          </cell>
          <cell r="D438" t="str">
            <v>-</v>
          </cell>
          <cell r="I438">
            <v>1.4771770962072799E-4</v>
          </cell>
          <cell r="J438">
            <v>3.78654268283171E-5</v>
          </cell>
          <cell r="K438">
            <v>9.4666776701871206E-6</v>
          </cell>
        </row>
        <row r="439">
          <cell r="B439" t="str">
            <v>CHPWOD</v>
          </cell>
          <cell r="C439" t="str">
            <v>VAR_cap</v>
          </cell>
          <cell r="D439" t="str">
            <v>-</v>
          </cell>
          <cell r="I439">
            <v>3.9298290972160713E-4</v>
          </cell>
          <cell r="J439">
            <v>3.26282239336641E-4</v>
          </cell>
          <cell r="K439">
            <v>1.640207287270687E-4</v>
          </cell>
        </row>
        <row r="440">
          <cell r="B440" t="str">
            <v>D-EH2R</v>
          </cell>
          <cell r="C440" t="str">
            <v>VAR_fout</v>
          </cell>
          <cell r="D440" t="str">
            <v>EH2</v>
          </cell>
          <cell r="I440"/>
          <cell r="J440">
            <v>3.1311922519376566E-3</v>
          </cell>
          <cell r="K440">
            <v>4.9002708690864026E-3</v>
          </cell>
        </row>
        <row r="441">
          <cell r="B441" t="str">
            <v>D-EH2R</v>
          </cell>
          <cell r="C441" t="str">
            <v>VAR_fin</v>
          </cell>
          <cell r="D441" t="str">
            <v>H2</v>
          </cell>
          <cell r="I441"/>
          <cell r="J441">
            <v>3.1311922519376566E-3</v>
          </cell>
          <cell r="K441">
            <v>4.9002708690864026E-3</v>
          </cell>
        </row>
        <row r="442">
          <cell r="B442" t="str">
            <v>D-EH2R</v>
          </cell>
          <cell r="C442" t="str">
            <v>VAR_ncap</v>
          </cell>
          <cell r="D442" t="str">
            <v>-</v>
          </cell>
          <cell r="I442">
            <v>1.54375400145587E-6</v>
          </cell>
          <cell r="J442">
            <v>5.5735727008901698E-4</v>
          </cell>
          <cell r="K442">
            <v>2.9199992179393598E-4</v>
          </cell>
        </row>
        <row r="443">
          <cell r="B443" t="str">
            <v>D-EH2R</v>
          </cell>
          <cell r="C443" t="str">
            <v>VAR_cap</v>
          </cell>
          <cell r="D443" t="str">
            <v>-</v>
          </cell>
          <cell r="I443">
            <v>1.54375400145587E-6</v>
          </cell>
          <cell r="J443">
            <v>5.5763070276679705E-4</v>
          </cell>
          <cell r="K443">
            <v>4.8290662882684998E-4</v>
          </cell>
        </row>
        <row r="444">
          <cell r="B444" t="str">
            <v>G-INTC1</v>
          </cell>
          <cell r="C444" t="str">
            <v>VAR_fout</v>
          </cell>
          <cell r="D444" t="str">
            <v>ELC13</v>
          </cell>
          <cell r="I444">
            <v>132.07562645403536</v>
          </cell>
          <cell r="J444">
            <v>141.84760359523273</v>
          </cell>
          <cell r="K444">
            <v>117.69717841969644</v>
          </cell>
        </row>
        <row r="445">
          <cell r="B445" t="str">
            <v>G-INTC1</v>
          </cell>
          <cell r="C445" t="str">
            <v>VAR_fin</v>
          </cell>
          <cell r="D445" t="str">
            <v>ELC</v>
          </cell>
          <cell r="I445">
            <v>134.23356877712135</v>
          </cell>
          <cell r="J445">
            <v>143.64922577991749</v>
          </cell>
          <cell r="K445">
            <v>118.34492716883911</v>
          </cell>
        </row>
        <row r="446">
          <cell r="B446" t="str">
            <v>G-INTC1</v>
          </cell>
          <cell r="C446" t="str">
            <v>VAR_ncap</v>
          </cell>
          <cell r="D446" t="str">
            <v>-</v>
          </cell>
          <cell r="I446">
            <v>3.6429420283838801E-7</v>
          </cell>
          <cell r="J446">
            <v>5.4826733403225204E-7</v>
          </cell>
          <cell r="K446">
            <v>1.7314135559203699E-6</v>
          </cell>
        </row>
        <row r="447">
          <cell r="B447" t="str">
            <v>G-INTC1</v>
          </cell>
          <cell r="C447" t="str">
            <v>VAR_cap</v>
          </cell>
          <cell r="D447" t="str">
            <v>-</v>
          </cell>
          <cell r="I447">
            <v>15.305609803659413</v>
          </cell>
          <cell r="J447">
            <v>15.305609987713202</v>
          </cell>
          <cell r="K447">
            <v>15.305611064200379</v>
          </cell>
        </row>
        <row r="448">
          <cell r="B448" t="str">
            <v>EHYD-RUNS00</v>
          </cell>
          <cell r="C448" t="str">
            <v>VAR_fout</v>
          </cell>
          <cell r="D448" t="str">
            <v>ELC35</v>
          </cell>
          <cell r="I448">
            <v>12.258767924801605</v>
          </cell>
          <cell r="J448">
            <v>12.266623383472604</v>
          </cell>
          <cell r="K448">
            <v>12.282708976234426</v>
          </cell>
        </row>
        <row r="449">
          <cell r="B449" t="str">
            <v>EHYD-RUNS00</v>
          </cell>
          <cell r="C449" t="str">
            <v>VAR_fin</v>
          </cell>
          <cell r="D449" t="str">
            <v>HYDR</v>
          </cell>
          <cell r="I449">
            <v>12.258767924801605</v>
          </cell>
          <cell r="J449">
            <v>12.266623383472604</v>
          </cell>
          <cell r="K449">
            <v>12.282708976234426</v>
          </cell>
        </row>
        <row r="450">
          <cell r="B450" t="str">
            <v>EHYD-RUNS00</v>
          </cell>
          <cell r="C450" t="str">
            <v>VAR_cap</v>
          </cell>
          <cell r="D450" t="str">
            <v>-</v>
          </cell>
          <cell r="I450">
            <v>0.89707999999999899</v>
          </cell>
          <cell r="J450">
            <v>0.89707999999999899</v>
          </cell>
          <cell r="K450">
            <v>0.89707999999999899</v>
          </cell>
        </row>
        <row r="451">
          <cell r="B451" t="str">
            <v>RHNS-SHSTG-CHPWOD</v>
          </cell>
          <cell r="C451" t="str">
            <v>VAR_fout</v>
          </cell>
          <cell r="D451" t="str">
            <v>AUX_RNS-CHPWOD_OUT</v>
          </cell>
          <cell r="I451">
            <v>6.4379684597942475E-3</v>
          </cell>
          <cell r="J451">
            <v>6.712337887705924E-3</v>
          </cell>
          <cell r="K451">
            <v>2.5397583683734507E-3</v>
          </cell>
        </row>
        <row r="452">
          <cell r="B452" t="str">
            <v>RHNS-SHSTG-CHPWOD</v>
          </cell>
          <cell r="C452" t="str">
            <v>VAR_fout</v>
          </cell>
          <cell r="D452" t="str">
            <v>RHNS_LTH_CHPWOD</v>
          </cell>
          <cell r="I452">
            <v>6.4438857102168427E-3</v>
          </cell>
          <cell r="J452">
            <v>6.7123378877059006E-3</v>
          </cell>
          <cell r="K452">
            <v>2.5397583683734485E-3</v>
          </cell>
        </row>
        <row r="453">
          <cell r="B453" t="str">
            <v>RHNS-SHSTG-CHPWOD</v>
          </cell>
          <cell r="C453" t="str">
            <v>VAR_fin</v>
          </cell>
          <cell r="D453" t="str">
            <v>AUX_RNS-CHPWOD_IN</v>
          </cell>
          <cell r="I453">
            <v>7.8065117017263753E-3</v>
          </cell>
          <cell r="J453">
            <v>7.8989975312445063E-3</v>
          </cell>
          <cell r="K453">
            <v>2.8240886358229418E-3</v>
          </cell>
        </row>
        <row r="454">
          <cell r="B454" t="str">
            <v>RHNS-SHSTG-CHPWOD</v>
          </cell>
          <cell r="C454" t="str">
            <v>VAR_fin</v>
          </cell>
          <cell r="D454" t="str">
            <v>RHNS_LTH_CHPWOD</v>
          </cell>
          <cell r="I454">
            <v>7.8065117017263753E-3</v>
          </cell>
          <cell r="J454">
            <v>7.8989975312445063E-3</v>
          </cell>
          <cell r="K454">
            <v>2.8240886358229418E-3</v>
          </cell>
        </row>
        <row r="455">
          <cell r="B455" t="str">
            <v>RHNS-SHSTG-CHPWOD</v>
          </cell>
          <cell r="C455" t="str">
            <v>VAR_ncap</v>
          </cell>
          <cell r="D455" t="str">
            <v>-</v>
          </cell>
          <cell r="I455">
            <v>2.9671269519917702E-3</v>
          </cell>
          <cell r="J455">
            <v>2.13644084440621E-4</v>
          </cell>
          <cell r="K455">
            <v>4.48277950951391E-4</v>
          </cell>
        </row>
        <row r="456">
          <cell r="B456" t="str">
            <v>RHNS-SHSTG-CHPWOD</v>
          </cell>
          <cell r="C456" t="str">
            <v>VAR_cap</v>
          </cell>
          <cell r="D456" t="str">
            <v>-</v>
          </cell>
          <cell r="I456">
            <v>3.6902314217544677E-3</v>
          </cell>
          <cell r="J456">
            <v>3.2060970431956499E-3</v>
          </cell>
          <cell r="K456">
            <v>1.839903214578023E-3</v>
          </cell>
        </row>
        <row r="457">
          <cell r="B457" t="str">
            <v>HPLOIL</v>
          </cell>
          <cell r="C457" t="str">
            <v>VAR_fout</v>
          </cell>
          <cell r="D457" t="str">
            <v>LTH</v>
          </cell>
          <cell r="I457">
            <v>3.1847967844157618E-4</v>
          </cell>
          <cell r="J457">
            <v>4.2706403960359528E-5</v>
          </cell>
          <cell r="K457">
            <v>8.440804201715238E-6</v>
          </cell>
        </row>
        <row r="458">
          <cell r="B458" t="str">
            <v>HPLOIL</v>
          </cell>
          <cell r="C458" t="str">
            <v>VAR_fout</v>
          </cell>
          <cell r="D458" t="str">
            <v>CO2_E</v>
          </cell>
          <cell r="I458">
            <v>2.7470085605345002E-2</v>
          </cell>
          <cell r="J458">
            <v>3.6835900438863798E-3</v>
          </cell>
          <cell r="K458">
            <v>7.2805152006459801E-4</v>
          </cell>
        </row>
        <row r="459">
          <cell r="B459" t="str">
            <v>HPLOIL</v>
          </cell>
          <cell r="C459" t="str">
            <v>VAR_fin</v>
          </cell>
          <cell r="D459" t="str">
            <v>ELFO</v>
          </cell>
          <cell r="I459">
            <v>3.7272843426519765E-4</v>
          </cell>
          <cell r="J459">
            <v>4.9980868980819152E-5</v>
          </cell>
          <cell r="K459">
            <v>9.8785823617991472E-6</v>
          </cell>
        </row>
        <row r="460">
          <cell r="B460" t="str">
            <v>HPLOIL</v>
          </cell>
          <cell r="C460" t="str">
            <v>VAR_ncap</v>
          </cell>
          <cell r="D460" t="str">
            <v>-</v>
          </cell>
          <cell r="I460">
            <v>6.4948248819444001E-4</v>
          </cell>
          <cell r="J460">
            <v>3.2570266209035103E-5</v>
          </cell>
          <cell r="K460">
            <v>1.4873941711275399E-5</v>
          </cell>
        </row>
        <row r="461">
          <cell r="B461" t="str">
            <v>HPLOIL</v>
          </cell>
          <cell r="C461" t="str">
            <v>VAR_cap</v>
          </cell>
          <cell r="D461" t="str">
            <v>-</v>
          </cell>
          <cell r="I461">
            <v>7.026671853611608E-4</v>
          </cell>
          <cell r="J461">
            <v>7.0704676324903333E-4</v>
          </cell>
          <cell r="K461">
            <v>5.5812469094203266E-4</v>
          </cell>
        </row>
        <row r="462">
          <cell r="B462" t="str">
            <v>V2G</v>
          </cell>
          <cell r="C462" t="str">
            <v>VAR_fout</v>
          </cell>
          <cell r="D462" t="str">
            <v>ELC35</v>
          </cell>
          <cell r="I462">
            <v>4.6256194499537759E-2</v>
          </cell>
          <cell r="J462">
            <v>6.497414279161845E-2</v>
          </cell>
          <cell r="K462">
            <v>0.37377408930506462</v>
          </cell>
        </row>
        <row r="463">
          <cell r="B463" t="str">
            <v>V2G</v>
          </cell>
          <cell r="C463" t="str">
            <v>VAR_fin</v>
          </cell>
          <cell r="D463" t="str">
            <v>T-ELC-Bus_c_BatSTGout_S1</v>
          </cell>
          <cell r="I463">
            <v>1.0998196937431538E-3</v>
          </cell>
          <cell r="J463">
            <v>1.6201586734219758E-3</v>
          </cell>
          <cell r="K463">
            <v>2.229698688444747E-3</v>
          </cell>
        </row>
        <row r="464">
          <cell r="B464" t="str">
            <v>V2G</v>
          </cell>
          <cell r="C464" t="str">
            <v>VAR_fin</v>
          </cell>
          <cell r="D464" t="str">
            <v>T-ELC-Bus_c_BatSTGout_S2</v>
          </cell>
          <cell r="I464">
            <v>8.5529339518798772E-4</v>
          </cell>
          <cell r="J464">
            <v>1.8925881941668048E-3</v>
          </cell>
          <cell r="K464">
            <v>3.8867830160323261E-3</v>
          </cell>
        </row>
        <row r="465">
          <cell r="B465" t="str">
            <v>V2G</v>
          </cell>
          <cell r="C465" t="str">
            <v>VAR_fin</v>
          </cell>
          <cell r="D465" t="str">
            <v>T-ELC-Bus_c_BatSTGout_S3</v>
          </cell>
          <cell r="I465">
            <v>2.372812701264509E-4</v>
          </cell>
          <cell r="J465">
            <v>8.0325926898287033E-4</v>
          </cell>
          <cell r="K465">
            <v>1.7903008163147078E-3</v>
          </cell>
        </row>
        <row r="466">
          <cell r="B466" t="str">
            <v>V2G</v>
          </cell>
          <cell r="C466" t="str">
            <v>VAR_fin</v>
          </cell>
          <cell r="D466" t="str">
            <v>T-ELC-Bus_c_BatSTGout_S4</v>
          </cell>
          <cell r="I466">
            <v>2.8473979118306329E-4</v>
          </cell>
          <cell r="J466">
            <v>3.1101812656860698E-4</v>
          </cell>
          <cell r="K466">
            <v>3.7319529459610266E-4</v>
          </cell>
        </row>
        <row r="467">
          <cell r="B467" t="str">
            <v>V2G</v>
          </cell>
          <cell r="C467" t="str">
            <v>VAR_fin</v>
          </cell>
          <cell r="D467" t="str">
            <v>T-ELC-car-BatSTGOut_S1</v>
          </cell>
          <cell r="I467">
            <v>6.7469512895181874E-3</v>
          </cell>
          <cell r="J467">
            <v>1.3156184817962916E-2</v>
          </cell>
          <cell r="K467">
            <v>0.10029612887223749</v>
          </cell>
        </row>
        <row r="468">
          <cell r="B468" t="str">
            <v>V2G</v>
          </cell>
          <cell r="C468" t="str">
            <v>VAR_fin</v>
          </cell>
          <cell r="D468" t="str">
            <v>T-ELC-car-BatSTGOut_S2</v>
          </cell>
          <cell r="I468">
            <v>1.3943649076144551E-3</v>
          </cell>
          <cell r="J468">
            <v>3.9796492812956413E-3</v>
          </cell>
          <cell r="K468">
            <v>7.2740808401481255E-2</v>
          </cell>
        </row>
        <row r="469">
          <cell r="B469" t="str">
            <v>V2G</v>
          </cell>
          <cell r="C469" t="str">
            <v>VAR_fin</v>
          </cell>
          <cell r="D469" t="str">
            <v>T-ELC-car-BatSTGOut_S3</v>
          </cell>
          <cell r="I469">
            <v>1.3815887529794052E-3</v>
          </cell>
          <cell r="J469">
            <v>3.9784225081778484E-3</v>
          </cell>
          <cell r="K469">
            <v>7.2366026350243542E-2</v>
          </cell>
        </row>
        <row r="470">
          <cell r="B470" t="str">
            <v>V2G</v>
          </cell>
          <cell r="C470" t="str">
            <v>VAR_fin</v>
          </cell>
          <cell r="D470" t="str">
            <v>T-ELC-car-BatSTGOut_S4</v>
          </cell>
          <cell r="I470">
            <v>1.4014196262859444E-3</v>
          </cell>
          <cell r="J470">
            <v>3.974114988865407E-3</v>
          </cell>
          <cell r="K470">
            <v>7.1035267839788016E-2</v>
          </cell>
        </row>
        <row r="471">
          <cell r="B471" t="str">
            <v>V2G</v>
          </cell>
          <cell r="C471" t="str">
            <v>VAR_fin</v>
          </cell>
          <cell r="D471" t="str">
            <v>T-ELC-car-PlgSTGOut_S1</v>
          </cell>
          <cell r="I471">
            <v>1.9019331985233798E-3</v>
          </cell>
          <cell r="J471">
            <v>2.0861326578056252E-3</v>
          </cell>
          <cell r="K471">
            <v>9.6183673720402155E-4</v>
          </cell>
        </row>
        <row r="472">
          <cell r="B472" t="str">
            <v>V2G</v>
          </cell>
          <cell r="C472" t="str">
            <v>VAR_fin</v>
          </cell>
          <cell r="D472" t="str">
            <v>T-ELC-car-PlgSTGOut_S2</v>
          </cell>
          <cell r="I472">
            <v>4.6220076290240164E-4</v>
          </cell>
          <cell r="J472">
            <v>4.446493982469282E-4</v>
          </cell>
          <cell r="K472">
            <v>3.6623989323233456E-3</v>
          </cell>
        </row>
        <row r="473">
          <cell r="B473" t="str">
            <v>V2G</v>
          </cell>
          <cell r="C473" t="str">
            <v>VAR_fin</v>
          </cell>
          <cell r="D473" t="str">
            <v>T-ELC-car-PlgSTGOut_S3</v>
          </cell>
          <cell r="I473">
            <v>1.7088512225993083E-3</v>
          </cell>
          <cell r="J473">
            <v>6.0702217686807221E-3</v>
          </cell>
          <cell r="K473">
            <v>1.9242338408524851E-3</v>
          </cell>
        </row>
        <row r="474">
          <cell r="B474" t="str">
            <v>V2G</v>
          </cell>
          <cell r="C474" t="str">
            <v>VAR_fin</v>
          </cell>
          <cell r="D474" t="str">
            <v>T-ELC-TWSTGout_S1</v>
          </cell>
          <cell r="I474">
            <v>3.5907021895794011E-3</v>
          </cell>
          <cell r="J474">
            <v>1.3103022482501101E-3</v>
          </cell>
          <cell r="K474">
            <v>7.3506332360331796E-4</v>
          </cell>
        </row>
        <row r="475">
          <cell r="B475" t="str">
            <v>V2G</v>
          </cell>
          <cell r="C475" t="str">
            <v>VAR_fin</v>
          </cell>
          <cell r="D475" t="str">
            <v>T-ELC-car-PlgSTGOut_S4</v>
          </cell>
          <cell r="I475">
            <v>1.8797743153646438E-3</v>
          </cell>
          <cell r="J475">
            <v>2.8074481206829109E-3</v>
          </cell>
          <cell r="K475">
            <v>1.6715629808494118E-3</v>
          </cell>
        </row>
        <row r="476">
          <cell r="B476" t="str">
            <v>V2G</v>
          </cell>
          <cell r="C476" t="str">
            <v>VAR_fin</v>
          </cell>
          <cell r="D476" t="str">
            <v>T-ELC-TWSTGout_S2</v>
          </cell>
          <cell r="I476">
            <v>5.4182300974491334E-3</v>
          </cell>
          <cell r="J476">
            <v>4.436112402711424E-3</v>
          </cell>
          <cell r="K476">
            <v>3.4719366804424768E-3</v>
          </cell>
        </row>
        <row r="477">
          <cell r="B477" t="str">
            <v>V2G</v>
          </cell>
          <cell r="C477" t="str">
            <v>VAR_fin</v>
          </cell>
          <cell r="D477" t="str">
            <v>T-ELC-TWSTGout_S3</v>
          </cell>
          <cell r="I477">
            <v>7.5893838876455776E-3</v>
          </cell>
          <cell r="J477">
            <v>7.417519544563044E-3</v>
          </cell>
          <cell r="K477">
            <v>5.148443332087976E-3</v>
          </cell>
        </row>
        <row r="478">
          <cell r="B478" t="str">
            <v>V2G</v>
          </cell>
          <cell r="C478" t="str">
            <v>VAR_fin</v>
          </cell>
          <cell r="D478" t="str">
            <v>T-ELC-TWSTGout_S4</v>
          </cell>
          <cell r="I478">
            <v>7.4580360113062922E-3</v>
          </cell>
          <cell r="J478">
            <v>8.1178786864173486E-3</v>
          </cell>
          <cell r="K478">
            <v>7.8041382527478977E-3</v>
          </cell>
        </row>
        <row r="479">
          <cell r="B479" t="str">
            <v>V2G</v>
          </cell>
          <cell r="C479" t="str">
            <v>VAR_fin</v>
          </cell>
          <cell r="D479" t="str">
            <v>T-ELC-Bus_u_BatSTGout_S1</v>
          </cell>
          <cell r="I479">
            <v>3.6529998431718351E-4</v>
          </cell>
          <cell r="J479">
            <v>2.6172999764904588E-4</v>
          </cell>
          <cell r="K479">
            <v>2.0072949274542979E-4</v>
          </cell>
        </row>
        <row r="480">
          <cell r="B480" t="str">
            <v>V2G</v>
          </cell>
          <cell r="C480" t="str">
            <v>VAR_fin</v>
          </cell>
          <cell r="D480" t="str">
            <v>T-ELC-Bus_u_BatSTGout_S2</v>
          </cell>
          <cell r="I480">
            <v>3.1736546365890511E-4</v>
          </cell>
          <cell r="J480">
            <v>2.4796125043620313E-4</v>
          </cell>
          <cell r="K480">
            <v>1.7751345886194168E-4</v>
          </cell>
        </row>
        <row r="481">
          <cell r="B481" t="str">
            <v>V2G</v>
          </cell>
          <cell r="C481" t="str">
            <v>VAR_fin</v>
          </cell>
          <cell r="D481" t="str">
            <v>T-ELC-Bus_u_BatSTGout_S3</v>
          </cell>
          <cell r="I481">
            <v>1.3343609500905665E-4</v>
          </cell>
          <cell r="J481">
            <v>1.1750791620328281E-4</v>
          </cell>
          <cell r="K481">
            <v>9.3159707409313806E-5</v>
          </cell>
        </row>
        <row r="482">
          <cell r="B482" t="str">
            <v>V2G</v>
          </cell>
          <cell r="C482" t="str">
            <v>VAR_fin</v>
          </cell>
          <cell r="D482" t="str">
            <v>T-ELC-Bus_u_BatSTGout_S4</v>
          </cell>
          <cell r="I482">
            <v>3.0290898037858035E-4</v>
          </cell>
          <cell r="J482">
            <v>3.18379682591926E-4</v>
          </cell>
          <cell r="K482">
            <v>2.3168649012122146E-4</v>
          </cell>
        </row>
        <row r="483">
          <cell r="B483" t="str">
            <v>V2G</v>
          </cell>
          <cell r="C483" t="str">
            <v>VAR_fin</v>
          </cell>
          <cell r="D483" t="str">
            <v>T-ELC-LGV_BatSTGout</v>
          </cell>
          <cell r="I483">
            <v>7.514237789299548E-4</v>
          </cell>
          <cell r="J483">
            <v>5.755280757428025E-4</v>
          </cell>
          <cell r="K483">
            <v>3.4382396422672894E-4</v>
          </cell>
        </row>
        <row r="484">
          <cell r="B484" t="str">
            <v>V2G</v>
          </cell>
          <cell r="C484" t="str">
            <v>VAR_fin</v>
          </cell>
          <cell r="D484" t="str">
            <v>T-ELC-HGV_BatSTGout</v>
          </cell>
          <cell r="I484">
            <v>1.061652115278181E-3</v>
          </cell>
          <cell r="J484">
            <v>1.1302755909452455E-3</v>
          </cell>
          <cell r="K484">
            <v>2.2702198469896621E-2</v>
          </cell>
        </row>
        <row r="485">
          <cell r="B485" t="str">
            <v>V2G</v>
          </cell>
          <cell r="C485" t="str">
            <v>VAR_ncap</v>
          </cell>
          <cell r="D485" t="str">
            <v>-</v>
          </cell>
          <cell r="I485">
            <v>3.8519756457450198E-2</v>
          </cell>
          <cell r="J485">
            <v>0.14942426161210001</v>
          </cell>
          <cell r="K485">
            <v>1.2291173924362999</v>
          </cell>
        </row>
        <row r="486">
          <cell r="B486" t="str">
            <v>V2G</v>
          </cell>
          <cell r="C486" t="str">
            <v>VAR_cap</v>
          </cell>
          <cell r="D486" t="str">
            <v>-</v>
          </cell>
          <cell r="I486">
            <v>4.3466706061156594E-2</v>
          </cell>
          <cell r="J486">
            <v>0.19130756758349277</v>
          </cell>
          <cell r="K486">
            <v>1.3538429432050347</v>
          </cell>
        </row>
        <row r="487">
          <cell r="B487" t="str">
            <v>D-EBIO</v>
          </cell>
          <cell r="C487" t="str">
            <v>VAR_fout</v>
          </cell>
          <cell r="D487" t="str">
            <v>EBIO</v>
          </cell>
          <cell r="I487">
            <v>6.9022944489254607</v>
          </cell>
          <cell r="J487">
            <v>8.7697165525993057</v>
          </cell>
          <cell r="K487">
            <v>8.7697096258322205</v>
          </cell>
        </row>
        <row r="488">
          <cell r="B488" t="str">
            <v>D-EBIO</v>
          </cell>
          <cell r="C488" t="str">
            <v>VAR_fin</v>
          </cell>
          <cell r="D488" t="str">
            <v>BIO</v>
          </cell>
          <cell r="I488">
            <v>6.9022944489254607</v>
          </cell>
          <cell r="J488">
            <v>8.7697165525993057</v>
          </cell>
          <cell r="K488">
            <v>8.7697096258322205</v>
          </cell>
        </row>
        <row r="489">
          <cell r="B489" t="str">
            <v>G-INTC3</v>
          </cell>
          <cell r="C489" t="str">
            <v>VAR_fout</v>
          </cell>
          <cell r="D489" t="str">
            <v>ELC35</v>
          </cell>
          <cell r="I489">
            <v>91.2385588050482</v>
          </cell>
          <cell r="J489">
            <v>141.43283406482649</v>
          </cell>
          <cell r="K489">
            <v>121.37226934314303</v>
          </cell>
        </row>
        <row r="490">
          <cell r="B490" t="str">
            <v>G-INTC3</v>
          </cell>
          <cell r="C490" t="str">
            <v>VAR_fout</v>
          </cell>
          <cell r="D490" t="str">
            <v>ELC3</v>
          </cell>
          <cell r="I490">
            <v>86.202172999641917</v>
          </cell>
          <cell r="J490">
            <v>45.420812948298668</v>
          </cell>
          <cell r="K490">
            <v>41.532544142176427</v>
          </cell>
        </row>
        <row r="491">
          <cell r="B491" t="str">
            <v>G-INTC3</v>
          </cell>
          <cell r="C491" t="str">
            <v>VAR_fout</v>
          </cell>
          <cell r="D491" t="str">
            <v>ELC</v>
          </cell>
          <cell r="I491">
            <v>4.7217350193068542E-3</v>
          </cell>
          <cell r="J491">
            <v>3.4527272775917322E-3</v>
          </cell>
          <cell r="K491">
            <v>2.481842163623375E-3</v>
          </cell>
        </row>
        <row r="492">
          <cell r="B492" t="str">
            <v>G-INTC3</v>
          </cell>
          <cell r="C492" t="str">
            <v>VAR_fin</v>
          </cell>
          <cell r="D492" t="str">
            <v>ELC13</v>
          </cell>
          <cell r="I492">
            <v>183.19092282344121</v>
          </cell>
          <cell r="J492">
            <v>191.8679161579033</v>
          </cell>
          <cell r="K492">
            <v>165.49255842491775</v>
          </cell>
        </row>
        <row r="493">
          <cell r="B493" t="str">
            <v>G-INTC3</v>
          </cell>
          <cell r="C493" t="str">
            <v>VAR_ncap</v>
          </cell>
          <cell r="D493" t="str">
            <v>-</v>
          </cell>
          <cell r="I493">
            <v>4.7328037177949899E-7</v>
          </cell>
          <cell r="J493">
            <v>7.0440660483509604E-7</v>
          </cell>
          <cell r="K493">
            <v>2.2061568872154298E-6</v>
          </cell>
        </row>
        <row r="494">
          <cell r="B494" t="str">
            <v>G-INTC3</v>
          </cell>
          <cell r="C494" t="str">
            <v>VAR_cap</v>
          </cell>
          <cell r="D494" t="str">
            <v>-</v>
          </cell>
          <cell r="I494">
            <v>13.914190996392417</v>
          </cell>
          <cell r="J494">
            <v>13.914191244161916</v>
          </cell>
          <cell r="K494">
            <v>13.914192628732739</v>
          </cell>
        </row>
        <row r="495">
          <cell r="B495" t="str">
            <v>HPLBIO</v>
          </cell>
          <cell r="C495" t="str">
            <v>VAR_fout</v>
          </cell>
          <cell r="D495" t="str">
            <v>LTH</v>
          </cell>
          <cell r="I495">
            <v>5.2572420440981977</v>
          </cell>
          <cell r="J495">
            <v>6.6795937084843651</v>
          </cell>
          <cell r="K495">
            <v>6.6795884326023485</v>
          </cell>
        </row>
        <row r="496">
          <cell r="B496" t="str">
            <v>HPLBIO</v>
          </cell>
          <cell r="C496" t="str">
            <v>VAR_fin</v>
          </cell>
          <cell r="D496" t="str">
            <v>EBIO</v>
          </cell>
          <cell r="I496">
            <v>6.9022944489254607</v>
          </cell>
          <cell r="J496">
            <v>8.7697165525993057</v>
          </cell>
          <cell r="K496">
            <v>8.7697096258322205</v>
          </cell>
        </row>
        <row r="497">
          <cell r="B497" t="str">
            <v>HPLBIO</v>
          </cell>
          <cell r="C497" t="str">
            <v>VAR_ncap</v>
          </cell>
          <cell r="D497" t="str">
            <v>-</v>
          </cell>
          <cell r="I497">
            <v>0.27618040839248997</v>
          </cell>
          <cell r="J497">
            <v>0.18045016320526999</v>
          </cell>
          <cell r="K497">
            <v>0.34515269478286198</v>
          </cell>
        </row>
        <row r="498">
          <cell r="B498" t="str">
            <v>HPLBIO</v>
          </cell>
          <cell r="C498" t="str">
            <v>VAR_cap</v>
          </cell>
          <cell r="D498" t="str">
            <v>-</v>
          </cell>
          <cell r="I498">
            <v>0.66683052553783739</v>
          </cell>
          <cell r="J498">
            <v>0.84723759191529957</v>
          </cell>
          <cell r="K498">
            <v>0.84723295129302179</v>
          </cell>
        </row>
        <row r="499">
          <cell r="B499" t="str">
            <v>CHPGFC</v>
          </cell>
          <cell r="C499" t="str">
            <v>VAR_fout</v>
          </cell>
          <cell r="D499" t="str">
            <v>ELC35</v>
          </cell>
          <cell r="J499">
            <v>3.6033751343242859E-4</v>
          </cell>
          <cell r="K499">
            <v>0.59491590865006017</v>
          </cell>
        </row>
        <row r="500">
          <cell r="B500" t="str">
            <v>CHPGFC</v>
          </cell>
          <cell r="C500" t="str">
            <v>VAR_fout</v>
          </cell>
          <cell r="D500" t="str">
            <v>LTH</v>
          </cell>
          <cell r="J500">
            <v>4.5943032962634671E-4</v>
          </cell>
          <cell r="K500">
            <v>0.78826357896132981</v>
          </cell>
        </row>
        <row r="501">
          <cell r="B501" t="str">
            <v>CHPGFC</v>
          </cell>
          <cell r="C501" t="str">
            <v>VAR_fout</v>
          </cell>
          <cell r="D501" t="str">
            <v>CO2_E</v>
          </cell>
          <cell r="J501">
            <v>5.0807589393972397E-2</v>
          </cell>
          <cell r="K501">
            <v>83.883143119658499</v>
          </cell>
        </row>
        <row r="502">
          <cell r="B502" t="str">
            <v>CHPGFC</v>
          </cell>
          <cell r="C502" t="str">
            <v>VAR_fin</v>
          </cell>
          <cell r="D502" t="str">
            <v>ENGA</v>
          </cell>
          <cell r="J502">
            <v>9.0084378358107201E-4</v>
          </cell>
          <cell r="K502">
            <v>1.4872897716251503</v>
          </cell>
        </row>
        <row r="503">
          <cell r="B503" t="str">
            <v>CHPGFC</v>
          </cell>
          <cell r="C503" t="str">
            <v>VAR_ncap</v>
          </cell>
          <cell r="D503" t="str">
            <v>-</v>
          </cell>
          <cell r="J503">
            <v>1.2210431319553401E-4</v>
          </cell>
          <cell r="K503">
            <v>3.7962872599295303E-2</v>
          </cell>
        </row>
        <row r="504">
          <cell r="B504" t="str">
            <v>CHPGFC</v>
          </cell>
          <cell r="C504" t="str">
            <v>VAR_cap</v>
          </cell>
          <cell r="D504" t="str">
            <v>-</v>
          </cell>
          <cell r="J504">
            <v>1.2210431319553401E-4</v>
          </cell>
          <cell r="K504">
            <v>3.8084855432378245E-2</v>
          </cell>
        </row>
        <row r="505">
          <cell r="B505" t="str">
            <v>G-INTC5</v>
          </cell>
          <cell r="C505" t="str">
            <v>VAR_fout</v>
          </cell>
          <cell r="D505" t="str">
            <v>ELC5</v>
          </cell>
          <cell r="I505">
            <v>101.92396457838478</v>
          </cell>
          <cell r="J505">
            <v>140.99573322614046</v>
          </cell>
          <cell r="K505">
            <v>124.64327697708723</v>
          </cell>
        </row>
        <row r="506">
          <cell r="B506" t="str">
            <v>G-INTC5</v>
          </cell>
          <cell r="C506" t="str">
            <v>VAR_fout</v>
          </cell>
          <cell r="D506" t="str">
            <v>ELC13</v>
          </cell>
          <cell r="I506">
            <v>3.8714730954312777E-3</v>
          </cell>
          <cell r="J506">
            <v>2.7693671018939872E-3</v>
          </cell>
          <cell r="K506">
            <v>2.030060732253606E-3</v>
          </cell>
        </row>
        <row r="507">
          <cell r="B507" t="str">
            <v>G-INTC5</v>
          </cell>
          <cell r="C507" t="str">
            <v>VAR_fin</v>
          </cell>
          <cell r="D507" t="str">
            <v>ELC35</v>
          </cell>
          <cell r="I507">
            <v>105.75139479343049</v>
          </cell>
          <cell r="J507">
            <v>145.76411817360332</v>
          </cell>
          <cell r="K507">
            <v>127.94236359502223</v>
          </cell>
        </row>
        <row r="508">
          <cell r="B508" t="str">
            <v>G-INTC5</v>
          </cell>
          <cell r="C508" t="str">
            <v>VAR_ncap</v>
          </cell>
          <cell r="D508" t="str">
            <v>-</v>
          </cell>
          <cell r="I508">
            <v>1.5236986566889799E-6</v>
          </cell>
          <cell r="J508">
            <v>2.0891392894612998E-6</v>
          </cell>
          <cell r="K508">
            <v>5.9962569991944797E-6</v>
          </cell>
        </row>
        <row r="509">
          <cell r="B509" t="str">
            <v>G-INTC5</v>
          </cell>
          <cell r="C509" t="str">
            <v>VAR_cap</v>
          </cell>
          <cell r="D509" t="str">
            <v>-</v>
          </cell>
          <cell r="I509">
            <v>12.649267516565585</v>
          </cell>
          <cell r="J509">
            <v>12.649268640311112</v>
          </cell>
          <cell r="K509">
            <v>12.649272755652387</v>
          </cell>
        </row>
        <row r="510">
          <cell r="B510" t="str">
            <v>D-SLFO</v>
          </cell>
          <cell r="C510" t="str">
            <v>VAR_fout</v>
          </cell>
          <cell r="D510" t="str">
            <v>CO2</v>
          </cell>
          <cell r="I510">
            <v>641.88137680690397</v>
          </cell>
          <cell r="J510">
            <v>205.75232543009301</v>
          </cell>
          <cell r="K510">
            <v>8.0469813581632104E-4</v>
          </cell>
        </row>
        <row r="511">
          <cell r="B511" t="str">
            <v>D-SLFO</v>
          </cell>
          <cell r="C511" t="str">
            <v>VAR_fout</v>
          </cell>
          <cell r="D511" t="str">
            <v>SLFO</v>
          </cell>
          <cell r="I511">
            <v>8.5644845721908069</v>
          </cell>
          <cell r="J511">
            <v>2.7458249455005492</v>
          </cell>
          <cell r="K511">
            <v>0.1747042519477591</v>
          </cell>
        </row>
        <row r="512">
          <cell r="B512" t="str">
            <v>D-SLFO</v>
          </cell>
          <cell r="C512" t="str">
            <v>VAR_fin</v>
          </cell>
          <cell r="D512" t="str">
            <v>LFO</v>
          </cell>
          <cell r="I512">
            <v>8.7093809607449639</v>
          </cell>
          <cell r="J512">
            <v>2.7917547548180863</v>
          </cell>
          <cell r="K512">
            <v>1.0918563579597301E-5</v>
          </cell>
        </row>
        <row r="513">
          <cell r="B513" t="str">
            <v>D-SLFO</v>
          </cell>
          <cell r="C513" t="str">
            <v>VAR_fin</v>
          </cell>
          <cell r="D513" t="str">
            <v>BDS</v>
          </cell>
          <cell r="I513">
            <v>5.7059203939117595E-4</v>
          </cell>
          <cell r="J513">
            <v>7.0836471484059011E-4</v>
          </cell>
          <cell r="K513">
            <v>0.17766307847044063</v>
          </cell>
        </row>
        <row r="514">
          <cell r="B514" t="str">
            <v>D-RCOA</v>
          </cell>
          <cell r="C514" t="str">
            <v>VAR_fout</v>
          </cell>
          <cell r="D514" t="str">
            <v>CO2</v>
          </cell>
        </row>
        <row r="515">
          <cell r="B515" t="str">
            <v>D-RCOA</v>
          </cell>
          <cell r="C515" t="str">
            <v>VAR_fout</v>
          </cell>
          <cell r="D515" t="str">
            <v>RCOA</v>
          </cell>
        </row>
        <row r="516">
          <cell r="B516" t="str">
            <v>D-RCOA</v>
          </cell>
          <cell r="C516" t="str">
            <v>VAR_fin</v>
          </cell>
          <cell r="D516" t="str">
            <v>COA</v>
          </cell>
        </row>
        <row r="517">
          <cell r="B517" t="str">
            <v>EHYD-RUN00</v>
          </cell>
          <cell r="C517" t="str">
            <v>VAR_fout</v>
          </cell>
          <cell r="D517" t="str">
            <v>ELC13</v>
          </cell>
          <cell r="I517">
            <v>51.05702303650029</v>
          </cell>
          <cell r="J517">
            <v>49.957475972967643</v>
          </cell>
          <cell r="K517">
            <v>47.773777203123267</v>
          </cell>
        </row>
        <row r="518">
          <cell r="B518" t="str">
            <v>EHYD-RUN00</v>
          </cell>
          <cell r="C518" t="str">
            <v>VAR_fin</v>
          </cell>
          <cell r="D518" t="str">
            <v>HYDR</v>
          </cell>
          <cell r="I518">
            <v>51.05702303650029</v>
          </cell>
          <cell r="J518">
            <v>49.957475972967643</v>
          </cell>
          <cell r="K518">
            <v>47.773777203123267</v>
          </cell>
        </row>
        <row r="519">
          <cell r="B519" t="str">
            <v>EHYD-RUN00</v>
          </cell>
          <cell r="C519" t="str">
            <v>VAR_cap</v>
          </cell>
          <cell r="D519" t="str">
            <v>-</v>
          </cell>
          <cell r="I519">
            <v>3.9647700000000001</v>
          </cell>
          <cell r="J519">
            <v>3.9647700000000001</v>
          </cell>
          <cell r="K519">
            <v>3.9647700000000001</v>
          </cell>
        </row>
        <row r="520">
          <cell r="B520" t="str">
            <v>HPLELCHP</v>
          </cell>
          <cell r="C520" t="str">
            <v>VAR_fout</v>
          </cell>
          <cell r="D520" t="str">
            <v>LTH</v>
          </cell>
          <cell r="I520">
            <v>5.2525696518953247</v>
          </cell>
          <cell r="J520">
            <v>9.0122399612360766</v>
          </cell>
          <cell r="K520">
            <v>9.9551207496214609</v>
          </cell>
        </row>
        <row r="521">
          <cell r="B521" t="str">
            <v>HPLELCHP</v>
          </cell>
          <cell r="C521" t="str">
            <v>VAR_fin</v>
          </cell>
          <cell r="D521" t="str">
            <v>ELC35</v>
          </cell>
          <cell r="I521">
            <v>1.8112309144466627</v>
          </cell>
          <cell r="J521">
            <v>3.1076689521503709</v>
          </cell>
          <cell r="K521">
            <v>3.4328002584901589</v>
          </cell>
        </row>
        <row r="522">
          <cell r="B522" t="str">
            <v>HPLELCHP</v>
          </cell>
          <cell r="C522" t="str">
            <v>VAR_fin</v>
          </cell>
          <cell r="D522" t="str">
            <v>WWTPCC</v>
          </cell>
          <cell r="I522">
            <v>10.5051393037906</v>
          </cell>
          <cell r="J522">
            <v>18.0244799224721</v>
          </cell>
          <cell r="K522">
            <v>19.9102414992429</v>
          </cell>
        </row>
        <row r="523">
          <cell r="B523" t="str">
            <v>HPLELCHP</v>
          </cell>
          <cell r="C523" t="str">
            <v>VAR_ncap</v>
          </cell>
          <cell r="D523" t="str">
            <v>-</v>
          </cell>
          <cell r="I523">
            <v>3.4425827895515203E-2</v>
          </cell>
          <cell r="J523">
            <v>0.30587128566865002</v>
          </cell>
          <cell r="K523">
            <v>0.245911470800875</v>
          </cell>
        </row>
        <row r="524">
          <cell r="B524" t="str">
            <v>HPLELCHP</v>
          </cell>
          <cell r="C524" t="str">
            <v>VAR_cap</v>
          </cell>
          <cell r="D524" t="str">
            <v>-</v>
          </cell>
          <cell r="I524">
            <v>0.32343897259200777</v>
          </cell>
          <cell r="J524">
            <v>0.55493169587255609</v>
          </cell>
          <cell r="K524">
            <v>0.61298216603506595</v>
          </cell>
        </row>
        <row r="525">
          <cell r="B525" t="str">
            <v>D-ITOT_LTH</v>
          </cell>
          <cell r="C525" t="str">
            <v>VAR_fout</v>
          </cell>
          <cell r="D525" t="str">
            <v>ITOT_LTH_DH</v>
          </cell>
          <cell r="I525">
            <v>6.558642330688091</v>
          </cell>
          <cell r="J525">
            <v>6.55864256520276</v>
          </cell>
          <cell r="K525">
            <v>9.2510620191998996</v>
          </cell>
        </row>
        <row r="526">
          <cell r="B526" t="str">
            <v>D-ITOT_LTH</v>
          </cell>
          <cell r="C526" t="str">
            <v>VAR_fin</v>
          </cell>
          <cell r="D526" t="str">
            <v>LTH</v>
          </cell>
          <cell r="I526">
            <v>7.1160392398163488</v>
          </cell>
          <cell r="J526">
            <v>7.1113750740372792</v>
          </cell>
          <cell r="K526">
            <v>10.017566745225418</v>
          </cell>
        </row>
        <row r="527">
          <cell r="B527" t="str">
            <v>D-ITOT_LTH</v>
          </cell>
          <cell r="C527" t="str">
            <v>VAR_ncap</v>
          </cell>
          <cell r="D527" t="str">
            <v>-</v>
          </cell>
          <cell r="I527">
            <v>1.26632647414766E-7</v>
          </cell>
          <cell r="J527">
            <v>1.2756305823972601E-7</v>
          </cell>
          <cell r="K527">
            <v>1.91405721085552E-7</v>
          </cell>
        </row>
        <row r="528">
          <cell r="B528" t="str">
            <v>D-ITOT_LTH</v>
          </cell>
          <cell r="C528" t="str">
            <v>VAR_cap</v>
          </cell>
          <cell r="D528" t="str">
            <v>-</v>
          </cell>
          <cell r="I528">
            <v>0.79547299720292397</v>
          </cell>
          <cell r="J528">
            <v>0.79547312476598198</v>
          </cell>
          <cell r="K528">
            <v>0.79547331617170303</v>
          </cell>
        </row>
        <row r="529">
          <cell r="B529" t="str">
            <v>D-IH2</v>
          </cell>
          <cell r="C529" t="str">
            <v>VAR_fout</v>
          </cell>
          <cell r="D529" t="str">
            <v>IH2</v>
          </cell>
          <cell r="I529">
            <v>0.57234723657314146</v>
          </cell>
          <cell r="J529">
            <v>1.3261226429576554</v>
          </cell>
          <cell r="K529">
            <v>1.3223707538277669</v>
          </cell>
        </row>
        <row r="530">
          <cell r="B530" t="str">
            <v>D-IH2</v>
          </cell>
          <cell r="C530" t="str">
            <v>VAR_fin</v>
          </cell>
          <cell r="D530" t="str">
            <v>H2</v>
          </cell>
          <cell r="I530">
            <v>0.57670759990258802</v>
          </cell>
          <cell r="J530">
            <v>1.3362255598116306</v>
          </cell>
          <cell r="K530">
            <v>1.3324450873345495</v>
          </cell>
        </row>
        <row r="531">
          <cell r="B531" t="str">
            <v>D-IH2</v>
          </cell>
          <cell r="C531" t="str">
            <v>VAR_ncap</v>
          </cell>
          <cell r="D531" t="str">
            <v>-</v>
          </cell>
          <cell r="I531">
            <v>2.2269068269527601E-2</v>
          </cell>
          <cell r="J531">
            <v>5.6838342447232203E-2</v>
          </cell>
          <cell r="K531">
            <v>6.2129400532059506E-5</v>
          </cell>
        </row>
        <row r="532">
          <cell r="B532" t="str">
            <v>D-IH2</v>
          </cell>
          <cell r="C532" t="str">
            <v>VAR_cap</v>
          </cell>
          <cell r="D532" t="str">
            <v>-</v>
          </cell>
          <cell r="I532">
            <v>2.2270086689845502E-2</v>
          </cell>
          <cell r="J532">
            <v>7.9108429137077704E-2</v>
          </cell>
          <cell r="K532">
            <v>7.9170558537609695E-2</v>
          </cell>
        </row>
        <row r="533">
          <cell r="B533" t="str">
            <v>RHEM-ESOLPV</v>
          </cell>
          <cell r="C533" t="str">
            <v>VAR_fout</v>
          </cell>
          <cell r="D533" t="str">
            <v>RHEM_SOL_ELC</v>
          </cell>
          <cell r="I533">
            <v>2.0505012340372009</v>
          </cell>
          <cell r="J533">
            <v>2.1551077608790488</v>
          </cell>
          <cell r="K533">
            <v>2.3806000569431287</v>
          </cell>
        </row>
        <row r="534">
          <cell r="B534" t="str">
            <v>RHEM-ESOLPV</v>
          </cell>
          <cell r="C534" t="str">
            <v>VAR_fin</v>
          </cell>
          <cell r="D534" t="str">
            <v>SOL</v>
          </cell>
          <cell r="I534">
            <v>2.0505012340372009</v>
          </cell>
          <cell r="J534">
            <v>2.1551077608790488</v>
          </cell>
          <cell r="K534">
            <v>2.3806000569431287</v>
          </cell>
        </row>
        <row r="535">
          <cell r="B535" t="str">
            <v>RHEM-ESOLPV</v>
          </cell>
          <cell r="C535" t="str">
            <v>VAR_fin</v>
          </cell>
          <cell r="D535" t="str">
            <v>SOLPVC</v>
          </cell>
          <cell r="I535">
            <v>2.0505012340372</v>
          </cell>
          <cell r="J535">
            <v>2.1551077608790501</v>
          </cell>
          <cell r="K535">
            <v>2.38060005694313</v>
          </cell>
        </row>
        <row r="536">
          <cell r="B536" t="str">
            <v>RHEM-ESOLPV</v>
          </cell>
          <cell r="C536" t="str">
            <v>VAR_ncap</v>
          </cell>
          <cell r="D536" t="str">
            <v>-</v>
          </cell>
          <cell r="I536">
            <v>0.117140841529128</v>
          </cell>
          <cell r="J536">
            <v>0.25514357178111202</v>
          </cell>
          <cell r="K536">
            <v>0.33776928690621399</v>
          </cell>
        </row>
        <row r="537">
          <cell r="B537" t="str">
            <v>RHEM-ESOLPV</v>
          </cell>
          <cell r="C537" t="str">
            <v>VAR_cap</v>
          </cell>
          <cell r="D537" t="str">
            <v>-</v>
          </cell>
          <cell r="I537">
            <v>0.59110031652741801</v>
          </cell>
          <cell r="J537">
            <v>0.62125546243159491</v>
          </cell>
          <cell r="K537">
            <v>0.68625786485426299</v>
          </cell>
        </row>
        <row r="538">
          <cell r="B538" t="str">
            <v>HPLNUC</v>
          </cell>
          <cell r="C538" t="str">
            <v>VAR_fout</v>
          </cell>
          <cell r="D538" t="str">
            <v>LTH</v>
          </cell>
          <cell r="I538">
            <v>0.85590771296004442</v>
          </cell>
          <cell r="J538">
            <v>0.85603135349081216</v>
          </cell>
          <cell r="K538">
            <v>0.28110948824037013</v>
          </cell>
        </row>
        <row r="539">
          <cell r="B539" t="str">
            <v>HPLNUC</v>
          </cell>
          <cell r="C539" t="str">
            <v>VAR_fin</v>
          </cell>
          <cell r="D539" t="str">
            <v>URN</v>
          </cell>
          <cell r="I539">
            <v>0.85590771296004442</v>
          </cell>
          <cell r="J539">
            <v>0.85603135349081216</v>
          </cell>
          <cell r="K539">
            <v>0.28110948824037013</v>
          </cell>
        </row>
        <row r="540">
          <cell r="B540" t="str">
            <v>HPLNUC</v>
          </cell>
          <cell r="C540" t="str">
            <v>VAR_cap</v>
          </cell>
          <cell r="D540" t="str">
            <v>-</v>
          </cell>
          <cell r="I540">
            <v>0.120558721922211</v>
          </cell>
          <cell r="J540">
            <v>0.120558721922211</v>
          </cell>
          <cell r="K540">
            <v>0.10944824367396699</v>
          </cell>
        </row>
        <row r="541">
          <cell r="B541" t="str">
            <v>ITOT-CHPWODCCS</v>
          </cell>
          <cell r="C541" t="str">
            <v>VAR_fout</v>
          </cell>
          <cell r="D541" t="str">
            <v>CO2_O</v>
          </cell>
          <cell r="K541">
            <v>383.67304349649214</v>
          </cell>
        </row>
        <row r="542">
          <cell r="B542" t="str">
            <v>ITOT-CHPWODCCS</v>
          </cell>
          <cell r="C542" t="str">
            <v>VAR_fout</v>
          </cell>
          <cell r="D542" t="str">
            <v>CO2</v>
          </cell>
          <cell r="K542">
            <v>-383.67304349649203</v>
          </cell>
        </row>
        <row r="543">
          <cell r="B543" t="str">
            <v>ITOT-CHPWODCCS</v>
          </cell>
          <cell r="C543" t="str">
            <v>VAR_fout</v>
          </cell>
          <cell r="D543" t="str">
            <v>ITOT_LTH_CHP</v>
          </cell>
          <cell r="K543">
            <v>2.8441834566856081</v>
          </cell>
        </row>
        <row r="544">
          <cell r="B544" t="str">
            <v>ITOT-CHPWODCCS</v>
          </cell>
          <cell r="C544" t="str">
            <v>VAR_fout</v>
          </cell>
          <cell r="D544" t="str">
            <v>ITOT_KEV_WOD_ELC_CHP</v>
          </cell>
          <cell r="K544">
            <v>1.3445230886150112</v>
          </cell>
        </row>
        <row r="545">
          <cell r="B545" t="str">
            <v>ITOT-CHPWODCCS</v>
          </cell>
          <cell r="C545" t="str">
            <v>VAR_fin</v>
          </cell>
          <cell r="D545" t="str">
            <v>IWOD</v>
          </cell>
          <cell r="J545">
            <v>0.26008996128442197</v>
          </cell>
          <cell r="K545">
            <v>4.2355716746548699</v>
          </cell>
        </row>
        <row r="546">
          <cell r="B546" t="str">
            <v>ITOT-CHPWODCCS</v>
          </cell>
          <cell r="C546" t="str">
            <v>VAR_ncap</v>
          </cell>
          <cell r="D546" t="str">
            <v>-</v>
          </cell>
          <cell r="K546">
            <v>6.9810263700086805E-2</v>
          </cell>
        </row>
        <row r="547">
          <cell r="B547" t="str">
            <v>ITOT-CHPWODCCS</v>
          </cell>
          <cell r="C547" t="str">
            <v>VAR_cap</v>
          </cell>
          <cell r="D547" t="str">
            <v>-</v>
          </cell>
          <cell r="K547">
            <v>6.9810263700086805E-2</v>
          </cell>
        </row>
        <row r="548">
          <cell r="B548" t="str">
            <v>D-RLFO</v>
          </cell>
          <cell r="C548" t="str">
            <v>VAR_fout</v>
          </cell>
          <cell r="D548" t="str">
            <v>CO2</v>
          </cell>
          <cell r="I548">
            <v>997.41135244237398</v>
          </cell>
          <cell r="J548">
            <v>274.95075211347103</v>
          </cell>
          <cell r="K548">
            <v>9.8146414737589603E-4</v>
          </cell>
        </row>
        <row r="549">
          <cell r="B549" t="str">
            <v>D-RLFO</v>
          </cell>
          <cell r="C549" t="str">
            <v>VAR_fout</v>
          </cell>
          <cell r="D549" t="str">
            <v>RLFO</v>
          </cell>
          <cell r="I549">
            <v>13.307935687085219</v>
          </cell>
          <cell r="J549">
            <v>3.6690741827719546</v>
          </cell>
          <cell r="K549">
            <v>0.37366392320786551</v>
          </cell>
        </row>
        <row r="550">
          <cell r="B550" t="str">
            <v>D-RLFO</v>
          </cell>
          <cell r="C550" t="str">
            <v>VAR_fin</v>
          </cell>
          <cell r="D550" t="str">
            <v>LFO</v>
          </cell>
          <cell r="I550">
            <v>13.533396912379565</v>
          </cell>
          <cell r="J550">
            <v>3.7306750625979843</v>
          </cell>
          <cell r="K550">
            <v>1.3317016925046069E-5</v>
          </cell>
        </row>
        <row r="551">
          <cell r="B551" t="str">
            <v>D-RLFO</v>
          </cell>
          <cell r="C551" t="str">
            <v>VAR_fin</v>
          </cell>
          <cell r="D551" t="str">
            <v>BDS</v>
          </cell>
          <cell r="I551">
            <v>5.7197397050520651E-4</v>
          </cell>
          <cell r="J551">
            <v>7.1784618761501983E-4</v>
          </cell>
          <cell r="K551">
            <v>0.38000477678253675</v>
          </cell>
        </row>
        <row r="552">
          <cell r="B552" t="str">
            <v>G-INTC-EXP00-IT</v>
          </cell>
          <cell r="C552" t="str">
            <v>VAR_fout</v>
          </cell>
          <cell r="D552" t="str">
            <v>ELC_E-IT</v>
          </cell>
          <cell r="I552">
            <v>42.745089832292635</v>
          </cell>
          <cell r="J552">
            <v>23.712707156950525</v>
          </cell>
          <cell r="K552">
            <v>15.757404010960775</v>
          </cell>
        </row>
        <row r="553">
          <cell r="B553" t="str">
            <v>G-INTC-EXP00-IT</v>
          </cell>
          <cell r="C553" t="str">
            <v>VAR_fin</v>
          </cell>
          <cell r="D553" t="str">
            <v>ELC</v>
          </cell>
          <cell r="I553">
            <v>42.745089832292635</v>
          </cell>
          <cell r="J553">
            <v>23.712707156950525</v>
          </cell>
          <cell r="K553">
            <v>15.757404010960775</v>
          </cell>
        </row>
        <row r="554">
          <cell r="B554" t="str">
            <v>G-INTC-EXP00-IT</v>
          </cell>
          <cell r="C554" t="str">
            <v>VAR_ncap</v>
          </cell>
          <cell r="D554" t="str">
            <v>-</v>
          </cell>
          <cell r="I554">
            <v>1.6108855781896099E-6</v>
          </cell>
          <cell r="J554">
            <v>2.3262811064601298E-6</v>
          </cell>
          <cell r="K554">
            <v>3.35720083522838E-6</v>
          </cell>
        </row>
        <row r="555">
          <cell r="B555" t="str">
            <v>G-INTC-EXP00-IT</v>
          </cell>
          <cell r="C555" t="str">
            <v>VAR_cap</v>
          </cell>
          <cell r="D555" t="str">
            <v>-</v>
          </cell>
          <cell r="I555">
            <v>3.7499955896093367</v>
          </cell>
          <cell r="J555">
            <v>2.4000000466446387</v>
          </cell>
          <cell r="K555">
            <v>2.4000000545447211</v>
          </cell>
        </row>
        <row r="556">
          <cell r="B556" t="str">
            <v>EWOD-CCS</v>
          </cell>
          <cell r="C556" t="str">
            <v>VAR_fout</v>
          </cell>
          <cell r="D556" t="str">
            <v>CO2_O</v>
          </cell>
          <cell r="K556">
            <v>9.9807354573803568</v>
          </cell>
        </row>
        <row r="557">
          <cell r="B557" t="str">
            <v>EWOD-CCS</v>
          </cell>
          <cell r="C557" t="str">
            <v>VAR_fout</v>
          </cell>
          <cell r="D557" t="str">
            <v>CO2</v>
          </cell>
          <cell r="K557">
            <v>-9.9807354573803604</v>
          </cell>
        </row>
        <row r="558">
          <cell r="B558" t="str">
            <v>EWOD-CCS</v>
          </cell>
          <cell r="C558" t="str">
            <v>VAR_fout</v>
          </cell>
          <cell r="D558" t="str">
            <v>ELC13</v>
          </cell>
          <cell r="K558">
            <v>2.2120736434052851E-2</v>
          </cell>
        </row>
        <row r="559">
          <cell r="B559" t="str">
            <v>EWOD-CCS</v>
          </cell>
          <cell r="C559" t="str">
            <v>VAR_fin</v>
          </cell>
          <cell r="D559" t="str">
            <v>EWOD</v>
          </cell>
          <cell r="J559">
            <v>0.49492368809265735</v>
          </cell>
          <cell r="K559">
            <v>0.55949240527088928</v>
          </cell>
        </row>
        <row r="560">
          <cell r="B560" t="str">
            <v>EWOD-CCS</v>
          </cell>
          <cell r="C560" t="str">
            <v>VAR_ncap</v>
          </cell>
          <cell r="D560" t="str">
            <v>-</v>
          </cell>
          <cell r="J560">
            <v>6.2288318370307597E-7</v>
          </cell>
          <cell r="K560">
            <v>1.1523348806653101E-3</v>
          </cell>
        </row>
        <row r="561">
          <cell r="B561" t="str">
            <v>EWOD-CCS</v>
          </cell>
          <cell r="C561" t="str">
            <v>VAR_cap</v>
          </cell>
          <cell r="D561" t="str">
            <v>-</v>
          </cell>
          <cell r="J561">
            <v>2.9991140369555402E-7</v>
          </cell>
          <cell r="K561">
            <v>8.5328467519163627E-4</v>
          </cell>
        </row>
        <row r="562">
          <cell r="B562" t="str">
            <v>EOIL-ENG</v>
          </cell>
          <cell r="C562" t="str">
            <v>VAR_fout</v>
          </cell>
          <cell r="D562" t="str">
            <v>ELC35</v>
          </cell>
          <cell r="I562">
            <v>1.3292607996829805E-3</v>
          </cell>
          <cell r="J562">
            <v>2.4973684970643626E-4</v>
          </cell>
          <cell r="K562">
            <v>8.1765590949541309E-5</v>
          </cell>
        </row>
        <row r="563">
          <cell r="B563" t="str">
            <v>EOIL-ENG</v>
          </cell>
          <cell r="C563" t="str">
            <v>VAR_fout</v>
          </cell>
          <cell r="D563" t="str">
            <v>CO2_E</v>
          </cell>
          <cell r="I563">
            <v>0.32847781062125903</v>
          </cell>
          <cell r="J563">
            <v>6.7772295948618E-2</v>
          </cell>
          <cell r="K563">
            <v>1.91669792776019E-2</v>
          </cell>
        </row>
        <row r="564">
          <cell r="B564" t="str">
            <v>EOIL-ENG</v>
          </cell>
          <cell r="C564" t="str">
            <v>VAR_fin</v>
          </cell>
          <cell r="D564" t="str">
            <v>ELFO</v>
          </cell>
          <cell r="I564">
            <v>4.4569580816995842E-3</v>
          </cell>
          <cell r="J564">
            <v>9.1956982291204891E-4</v>
          </cell>
          <cell r="K564">
            <v>2.6006756143286163E-4</v>
          </cell>
        </row>
        <row r="565">
          <cell r="B565" t="str">
            <v>EOIL-ENG</v>
          </cell>
          <cell r="C565" t="str">
            <v>VAR_ncap</v>
          </cell>
          <cell r="D565" t="str">
            <v>-</v>
          </cell>
          <cell r="I565">
            <v>1.3039266650411999E-2</v>
          </cell>
          <cell r="J565">
            <v>4.6481217147896797E-6</v>
          </cell>
          <cell r="K565">
            <v>7.1887276940157804E-6</v>
          </cell>
        </row>
        <row r="566">
          <cell r="B566" t="str">
            <v>EOIL-ENG</v>
          </cell>
          <cell r="C566" t="str">
            <v>VAR_cap</v>
          </cell>
          <cell r="D566" t="str">
            <v>-</v>
          </cell>
          <cell r="I566">
            <v>2.0139251877537203E-2</v>
          </cell>
          <cell r="J566">
            <v>2.0137800783876732E-2</v>
          </cell>
          <cell r="K566">
            <v>7.2147247175677297E-3</v>
          </cell>
        </row>
        <row r="567">
          <cell r="B567" t="str">
            <v>D-SWOD</v>
          </cell>
          <cell r="C567" t="str">
            <v>VAR_fout</v>
          </cell>
          <cell r="D567" t="str">
            <v>SWOD</v>
          </cell>
          <cell r="I567">
            <v>6.6205725487458</v>
          </cell>
          <cell r="J567">
            <v>4.6997047011484048</v>
          </cell>
          <cell r="K567">
            <v>1.9463585093666531</v>
          </cell>
        </row>
        <row r="568">
          <cell r="B568" t="str">
            <v>D-SWOD</v>
          </cell>
          <cell r="C568" t="str">
            <v>VAR_fin</v>
          </cell>
          <cell r="D568" t="str">
            <v>WOD</v>
          </cell>
          <cell r="I568">
            <v>6.6205725487458</v>
          </cell>
          <cell r="J568">
            <v>4.6997047011484048</v>
          </cell>
          <cell r="K568">
            <v>1.9463585093666531</v>
          </cell>
        </row>
        <row r="569">
          <cell r="B569" t="str">
            <v>SCOM-CHPWOD</v>
          </cell>
          <cell r="C569" t="str">
            <v>VAR_fout</v>
          </cell>
          <cell r="D569" t="str">
            <v>SCOM_KEV_WOD_ELC_CHP</v>
          </cell>
          <cell r="I569">
            <v>1.7158846486409075E-3</v>
          </cell>
          <cell r="J569">
            <v>1.5096412612818175E-3</v>
          </cell>
          <cell r="K569">
            <v>7.1926527699324471E-4</v>
          </cell>
        </row>
        <row r="570">
          <cell r="B570" t="str">
            <v>SCOM-CHPWOD</v>
          </cell>
          <cell r="C570" t="str">
            <v>VAR_fout</v>
          </cell>
          <cell r="D570" t="str">
            <v>SCOM_LTH_CHPWOD</v>
          </cell>
          <cell r="I570">
            <v>2.6831719478607415E-3</v>
          </cell>
          <cell r="J570">
            <v>2.3094810997954674E-3</v>
          </cell>
          <cell r="K570">
            <v>1.0569339104285307E-3</v>
          </cell>
        </row>
        <row r="571">
          <cell r="B571" t="str">
            <v>SCOM-CHPWOD</v>
          </cell>
          <cell r="C571" t="str">
            <v>VAR_fin</v>
          </cell>
          <cell r="D571" t="str">
            <v>SWOD</v>
          </cell>
          <cell r="I571">
            <v>0.49016455882271431</v>
          </cell>
          <cell r="J571">
            <v>0.75739409972200811</v>
          </cell>
          <cell r="K571">
            <v>0.49674379298621751</v>
          </cell>
        </row>
        <row r="572">
          <cell r="B572" t="str">
            <v>SCOM-CHPWOD</v>
          </cell>
          <cell r="C572" t="str">
            <v>VAR_ncap</v>
          </cell>
          <cell r="D572" t="str">
            <v>-</v>
          </cell>
          <cell r="I572">
            <v>8.7772757293905305E-5</v>
          </cell>
          <cell r="J572">
            <v>2.7828637257639899E-6</v>
          </cell>
          <cell r="K572">
            <v>4.52096766601625E-5</v>
          </cell>
        </row>
        <row r="573">
          <cell r="B573" t="str">
            <v>SCOM-CHPWOD</v>
          </cell>
          <cell r="C573" t="str">
            <v>VAR_cap</v>
          </cell>
          <cell r="D573" t="str">
            <v>-</v>
          </cell>
          <cell r="I573">
            <v>2.0056876364914542E-4</v>
          </cell>
          <cell r="J573">
            <v>1.6736851732411677E-4</v>
          </cell>
          <cell r="K573">
            <v>8.4165273475714355E-5</v>
          </cell>
        </row>
        <row r="574">
          <cell r="B574" t="str">
            <v>ENUC_BMGL</v>
          </cell>
          <cell r="C574" t="str">
            <v>VAR_fout</v>
          </cell>
          <cell r="D574" t="str">
            <v>ELC</v>
          </cell>
        </row>
        <row r="575">
          <cell r="B575" t="str">
            <v>ENUC_BMGL</v>
          </cell>
          <cell r="C575" t="str">
            <v>VAR_fin</v>
          </cell>
          <cell r="D575" t="str">
            <v>URN</v>
          </cell>
        </row>
        <row r="576">
          <cell r="B576" t="str">
            <v>ENUC_BMGL</v>
          </cell>
          <cell r="C576" t="str">
            <v>VAR_cap</v>
          </cell>
          <cell r="D576" t="str">
            <v>-</v>
          </cell>
        </row>
        <row r="577">
          <cell r="B577" t="str">
            <v>D-RSH2R</v>
          </cell>
          <cell r="C577" t="str">
            <v>VAR_fout</v>
          </cell>
          <cell r="D577" t="str">
            <v>RSH2</v>
          </cell>
          <cell r="I577">
            <v>3.6241381283357368E-4</v>
          </cell>
          <cell r="J577">
            <v>2.8387286599148594E-4</v>
          </cell>
          <cell r="K577">
            <v>1.800595665548052E-4</v>
          </cell>
        </row>
        <row r="578">
          <cell r="B578" t="str">
            <v>D-RSH2R</v>
          </cell>
          <cell r="C578" t="str">
            <v>VAR_fin</v>
          </cell>
          <cell r="D578" t="str">
            <v>H2</v>
          </cell>
          <cell r="I578">
            <v>3.6241381283357368E-4</v>
          </cell>
          <cell r="J578">
            <v>2.8387286599148594E-4</v>
          </cell>
          <cell r="K578">
            <v>1.800595665548052E-4</v>
          </cell>
        </row>
        <row r="579">
          <cell r="B579" t="str">
            <v>D-RSH2R</v>
          </cell>
          <cell r="C579" t="str">
            <v>VAR_ncap</v>
          </cell>
          <cell r="D579" t="str">
            <v>-</v>
          </cell>
          <cell r="I579">
            <v>7.6765135926632201E-5</v>
          </cell>
          <cell r="J579">
            <v>9.6848585753444994E-5</v>
          </cell>
          <cell r="K579">
            <v>3.9004291101946403E-5</v>
          </cell>
        </row>
        <row r="580">
          <cell r="B580" t="str">
            <v>D-RSH2R</v>
          </cell>
          <cell r="C580" t="str">
            <v>VAR_cap</v>
          </cell>
          <cell r="D580" t="str">
            <v>-</v>
          </cell>
          <cell r="I580">
            <v>1.3937481633737199E-4</v>
          </cell>
          <cell r="J580">
            <v>1.10445374268168E-4</v>
          </cell>
          <cell r="K580">
            <v>7.2176989439642802E-5</v>
          </cell>
        </row>
        <row r="581">
          <cell r="B581" t="str">
            <v>ENGA-GTOC</v>
          </cell>
          <cell r="C581" t="str">
            <v>VAR_fout</v>
          </cell>
          <cell r="D581" t="str">
            <v>ELC13</v>
          </cell>
          <cell r="I581">
            <v>3.1973000927821515E-3</v>
          </cell>
          <cell r="J581">
            <v>6.3684178209644064E-4</v>
          </cell>
          <cell r="K581">
            <v>2.6685772233430955E-2</v>
          </cell>
        </row>
        <row r="582">
          <cell r="B582" t="str">
            <v>ENGA-GTOC</v>
          </cell>
          <cell r="C582" t="str">
            <v>VAR_fout</v>
          </cell>
          <cell r="D582" t="str">
            <v>CO2_E</v>
          </cell>
          <cell r="I582">
            <v>0.47759125887340698</v>
          </cell>
          <cell r="J582">
            <v>0.102374840594096</v>
          </cell>
          <cell r="K582">
            <v>3.6409817261745099</v>
          </cell>
        </row>
        <row r="583">
          <cell r="B583" t="str">
            <v>ENGA-GTOC</v>
          </cell>
          <cell r="C583" t="str">
            <v>VAR_fin</v>
          </cell>
          <cell r="D583" t="str">
            <v>ENGA</v>
          </cell>
          <cell r="I583">
            <v>8.4679301218689267E-3</v>
          </cell>
          <cell r="J583">
            <v>1.8151567481222673E-3</v>
          </cell>
          <cell r="K583">
            <v>6.4556413584654526E-2</v>
          </cell>
        </row>
        <row r="584">
          <cell r="B584" t="str">
            <v>ENGA-GTOC</v>
          </cell>
          <cell r="C584" t="str">
            <v>VAR_fin</v>
          </cell>
          <cell r="D584" t="str">
            <v>GTC</v>
          </cell>
          <cell r="I584">
            <v>1.9719341580819758E-2</v>
          </cell>
          <cell r="J584">
            <v>3.2935018535103874E-2</v>
          </cell>
          <cell r="K584">
            <v>3.0910129237520595E-2</v>
          </cell>
        </row>
        <row r="585">
          <cell r="B585" t="str">
            <v>ENGA-GTOC</v>
          </cell>
          <cell r="C585" t="str">
            <v>VAR_ncap</v>
          </cell>
          <cell r="D585" t="str">
            <v>-</v>
          </cell>
          <cell r="I585">
            <v>1.7394239316329101E-2</v>
          </cell>
          <cell r="J585">
            <v>2.58165753321781E-5</v>
          </cell>
          <cell r="K585">
            <v>5.6081524966374002E-5</v>
          </cell>
        </row>
        <row r="586">
          <cell r="B586" t="str">
            <v>ENGA-GTOC</v>
          </cell>
          <cell r="C586" t="str">
            <v>VAR_cap</v>
          </cell>
          <cell r="D586" t="str">
            <v>-</v>
          </cell>
          <cell r="I586">
            <v>1.9719341580819737E-2</v>
          </cell>
          <cell r="J586">
            <v>3.2935018535103819E-2</v>
          </cell>
          <cell r="K586">
            <v>3.0910129237520571E-2</v>
          </cell>
        </row>
        <row r="587">
          <cell r="B587" t="str">
            <v>D-RSH2</v>
          </cell>
          <cell r="C587" t="str">
            <v>VAR_fout</v>
          </cell>
          <cell r="D587" t="str">
            <v>RSH2</v>
          </cell>
          <cell r="I587">
            <v>3.3837302587121825E-4</v>
          </cell>
          <cell r="J587">
            <v>2.667648019241052E-4</v>
          </cell>
          <cell r="K587">
            <v>1.9990914262569558E-4</v>
          </cell>
        </row>
        <row r="588">
          <cell r="B588" t="str">
            <v>D-RSH2</v>
          </cell>
          <cell r="C588" t="str">
            <v>VAR_fin</v>
          </cell>
          <cell r="D588" t="str">
            <v>H2</v>
          </cell>
          <cell r="I588">
            <v>3.4095088287724941E-4</v>
          </cell>
          <cell r="J588">
            <v>2.6879711969480212E-4</v>
          </cell>
          <cell r="K588">
            <v>2.0143212804263417E-4</v>
          </cell>
        </row>
        <row r="589">
          <cell r="B589" t="str">
            <v>D-RSH2</v>
          </cell>
          <cell r="C589" t="str">
            <v>VAR_ncap</v>
          </cell>
          <cell r="D589" t="str">
            <v>-</v>
          </cell>
          <cell r="I589">
            <v>1.8808926267252501E-5</v>
          </cell>
          <cell r="J589">
            <v>1.3199622384172301E-6</v>
          </cell>
          <cell r="K589">
            <v>9.9661813211965996E-7</v>
          </cell>
        </row>
        <row r="590">
          <cell r="B590" t="str">
            <v>D-RSH2</v>
          </cell>
          <cell r="C590" t="str">
            <v>VAR_cap</v>
          </cell>
          <cell r="D590" t="str">
            <v>-</v>
          </cell>
          <cell r="I590">
            <v>1.2700578247051299E-4</v>
          </cell>
          <cell r="J590">
            <v>1.2832574470893101E-4</v>
          </cell>
          <cell r="K590">
            <v>1.2932236284105E-4</v>
          </cell>
        </row>
        <row r="591">
          <cell r="B591" t="str">
            <v>D-RWOD</v>
          </cell>
          <cell r="C591" t="str">
            <v>VAR_fout</v>
          </cell>
          <cell r="D591" t="str">
            <v>RWOD</v>
          </cell>
          <cell r="I591">
            <v>10.689023216236039</v>
          </cell>
          <cell r="J591">
            <v>8.9168835991655957</v>
          </cell>
          <cell r="K591">
            <v>7.8673216305283047</v>
          </cell>
        </row>
        <row r="592">
          <cell r="B592" t="str">
            <v>D-RWOD</v>
          </cell>
          <cell r="C592" t="str">
            <v>VAR_fin</v>
          </cell>
          <cell r="D592" t="str">
            <v>WOD</v>
          </cell>
          <cell r="I592">
            <v>10.689023216236039</v>
          </cell>
          <cell r="J592">
            <v>8.9168835991655957</v>
          </cell>
          <cell r="K592">
            <v>7.8673216305283047</v>
          </cell>
        </row>
        <row r="593">
          <cell r="B593" t="str">
            <v>SCOM-CHPGFC</v>
          </cell>
          <cell r="C593" t="str">
            <v>VAR_fout</v>
          </cell>
          <cell r="D593" t="str">
            <v>CO2_S</v>
          </cell>
          <cell r="I593">
            <v>0.32536569272466798</v>
          </cell>
          <cell r="J593">
            <v>0.445622356616729</v>
          </cell>
          <cell r="K593">
            <v>0.19066458759333099</v>
          </cell>
        </row>
        <row r="594">
          <cell r="B594" t="str">
            <v>SCOM-CHPGFC</v>
          </cell>
          <cell r="C594" t="str">
            <v>VAR_fout</v>
          </cell>
          <cell r="D594" t="str">
            <v>SCOM_NKEV_GAS_ELC_CHP</v>
          </cell>
          <cell r="I594">
            <v>3.4901816329507814E-3</v>
          </cell>
          <cell r="J594">
            <v>4.8196744244007961E-3</v>
          </cell>
          <cell r="K594">
            <v>2.0959582324089543E-3</v>
          </cell>
        </row>
        <row r="595">
          <cell r="B595" t="str">
            <v>SCOM-CHPGFC</v>
          </cell>
          <cell r="C595" t="str">
            <v>VAR_fout</v>
          </cell>
          <cell r="D595" t="str">
            <v>SCOM_LTH_CHPNGA</v>
          </cell>
          <cell r="I595">
            <v>1.038472076033717E-3</v>
          </cell>
          <cell r="J595">
            <v>1.4221990104789253E-3</v>
          </cell>
          <cell r="K595">
            <v>6.0850400295743763E-4</v>
          </cell>
        </row>
        <row r="596">
          <cell r="B596" t="str">
            <v>SCOM-CHPGFC</v>
          </cell>
          <cell r="C596" t="str">
            <v>VAR_fin</v>
          </cell>
          <cell r="D596" t="str">
            <v>SNGA</v>
          </cell>
          <cell r="I596">
            <v>5.7688952610756719E-3</v>
          </cell>
          <cell r="J596">
            <v>7.9011056137717941E-3</v>
          </cell>
          <cell r="K596">
            <v>3.380577794207985E-3</v>
          </cell>
        </row>
        <row r="597">
          <cell r="B597" t="str">
            <v>SCOM-CHPGFC</v>
          </cell>
          <cell r="C597" t="str">
            <v>VAR_ncap</v>
          </cell>
          <cell r="D597" t="str">
            <v>-</v>
          </cell>
          <cell r="I597">
            <v>1.5052960848921401E-4</v>
          </cell>
          <cell r="J597">
            <v>9.5428192309442603E-5</v>
          </cell>
          <cell r="K597">
            <v>5.4966119359404003E-6</v>
          </cell>
        </row>
        <row r="598">
          <cell r="B598" t="str">
            <v>SCOM-CHPGFC</v>
          </cell>
          <cell r="C598" t="str">
            <v>VAR_cap</v>
          </cell>
          <cell r="D598" t="str">
            <v>-</v>
          </cell>
          <cell r="I598">
            <v>2.0574480947575994E-4</v>
          </cell>
          <cell r="J598">
            <v>2.8357506075245764E-4</v>
          </cell>
          <cell r="K598">
            <v>1.3830697113518509E-4</v>
          </cell>
        </row>
        <row r="599">
          <cell r="B599" t="str">
            <v>CHPOIL</v>
          </cell>
          <cell r="C599" t="str">
            <v>VAR_fout</v>
          </cell>
          <cell r="D599" t="str">
            <v>ELC35</v>
          </cell>
          <cell r="I599">
            <v>7.2397501914781047E-4</v>
          </cell>
          <cell r="J599">
            <v>8.0959801334299164E-5</v>
          </cell>
          <cell r="K599">
            <v>1.9356881226797763E-5</v>
          </cell>
        </row>
        <row r="600">
          <cell r="B600" t="str">
            <v>CHPOIL</v>
          </cell>
          <cell r="C600" t="str">
            <v>VAR_fout</v>
          </cell>
          <cell r="D600" t="str">
            <v>LTH</v>
          </cell>
          <cell r="I600">
            <v>3.7233000984744488E-3</v>
          </cell>
          <cell r="J600">
            <v>4.1636469257639561E-4</v>
          </cell>
          <cell r="K600">
            <v>9.9549674880674137E-5</v>
          </cell>
        </row>
        <row r="601">
          <cell r="B601" t="str">
            <v>CHPOIL</v>
          </cell>
          <cell r="C601" t="str">
            <v>VAR_fout</v>
          </cell>
          <cell r="D601" t="str">
            <v>CO2_E</v>
          </cell>
          <cell r="I601">
            <v>0.51401464095148997</v>
          </cell>
          <cell r="J601">
            <v>6.8716897983486194E-2</v>
          </cell>
          <cell r="K601">
            <v>1.3958436606865099E-2</v>
          </cell>
        </row>
        <row r="602">
          <cell r="B602" t="str">
            <v>CHPOIL</v>
          </cell>
          <cell r="C602" t="str">
            <v>VAR_fin</v>
          </cell>
          <cell r="D602" t="str">
            <v>ELFO</v>
          </cell>
          <cell r="I602">
            <v>6.9744184660989143E-3</v>
          </cell>
          <cell r="J602">
            <v>9.3238667548827914E-4</v>
          </cell>
          <cell r="K602">
            <v>1.8939534066302741E-4</v>
          </cell>
        </row>
        <row r="603">
          <cell r="B603" t="str">
            <v>CHPOIL</v>
          </cell>
          <cell r="C603" t="str">
            <v>VAR_ncap</v>
          </cell>
          <cell r="D603" t="str">
            <v>-</v>
          </cell>
          <cell r="I603">
            <v>1.48832123435561E-5</v>
          </cell>
          <cell r="J603">
            <v>3.9908774112002003E-5</v>
          </cell>
          <cell r="K603">
            <v>5.5342459819699E-5</v>
          </cell>
        </row>
        <row r="604">
          <cell r="B604" t="str">
            <v>CHPOIL</v>
          </cell>
          <cell r="C604" t="str">
            <v>VAR_cap</v>
          </cell>
          <cell r="D604" t="str">
            <v>-</v>
          </cell>
          <cell r="I604">
            <v>6.8987009278042525E-4</v>
          </cell>
          <cell r="J604">
            <v>2.2052350726585001E-4</v>
          </cell>
          <cell r="K604">
            <v>1.0618735394867293E-4</v>
          </cell>
        </row>
        <row r="605">
          <cell r="B605" t="str">
            <v>CHPHFC</v>
          </cell>
          <cell r="C605" t="str">
            <v>VAR_fout</v>
          </cell>
          <cell r="D605" t="str">
            <v>ELC35</v>
          </cell>
          <cell r="J605">
            <v>0.16017310118403544</v>
          </cell>
          <cell r="K605">
            <v>0.16017631786784745</v>
          </cell>
        </row>
        <row r="606">
          <cell r="B606" t="str">
            <v>CHPHFC</v>
          </cell>
          <cell r="C606" t="str">
            <v>VAR_fout</v>
          </cell>
          <cell r="D606" t="str">
            <v>LTH</v>
          </cell>
          <cell r="J606">
            <v>0.19449590858061377</v>
          </cell>
          <cell r="K606">
            <v>0.20212725826180752</v>
          </cell>
        </row>
        <row r="607">
          <cell r="B607" t="str">
            <v>CHPHFC</v>
          </cell>
          <cell r="C607" t="str">
            <v>VAR_fin</v>
          </cell>
          <cell r="D607" t="str">
            <v>EH2</v>
          </cell>
          <cell r="J607">
            <v>0.38136452662865572</v>
          </cell>
          <cell r="K607">
            <v>0.38137218539963691</v>
          </cell>
        </row>
        <row r="608">
          <cell r="B608" t="str">
            <v>CHPHFC</v>
          </cell>
          <cell r="C608" t="str">
            <v>VAR_ncap</v>
          </cell>
          <cell r="D608" t="str">
            <v>-</v>
          </cell>
          <cell r="J608">
            <v>1.7780795387502098E-2</v>
          </cell>
          <cell r="K608">
            <v>5.34800377418596E-6</v>
          </cell>
        </row>
        <row r="609">
          <cell r="B609" t="str">
            <v>CHPHFC</v>
          </cell>
          <cell r="C609" t="str">
            <v>VAR_cap</v>
          </cell>
          <cell r="D609" t="str">
            <v>-</v>
          </cell>
          <cell r="J609">
            <v>1.7780795387502098E-2</v>
          </cell>
          <cell r="K609">
            <v>1.7786009567419613E-2</v>
          </cell>
        </row>
        <row r="610">
          <cell r="B610" t="str">
            <v>ITOT-ESOLPV</v>
          </cell>
          <cell r="C610" t="str">
            <v>VAR_fout</v>
          </cell>
          <cell r="D610" t="str">
            <v>ITOT_SOL_ELC</v>
          </cell>
          <cell r="I610">
            <v>27.952199311364673</v>
          </cell>
          <cell r="J610">
            <v>35.145616836081508</v>
          </cell>
          <cell r="K610">
            <v>55.292138380096802</v>
          </cell>
        </row>
        <row r="611">
          <cell r="B611" t="str">
            <v>ITOT-ESOLPV</v>
          </cell>
          <cell r="C611" t="str">
            <v>VAR_fin</v>
          </cell>
          <cell r="D611" t="str">
            <v>SOL</v>
          </cell>
          <cell r="I611">
            <v>27.952199311364673</v>
          </cell>
          <cell r="J611">
            <v>35.145616836081508</v>
          </cell>
          <cell r="K611">
            <v>55.292138380096802</v>
          </cell>
        </row>
        <row r="612">
          <cell r="B612" t="str">
            <v>ITOT-ESOLPV</v>
          </cell>
          <cell r="C612" t="str">
            <v>VAR_fin</v>
          </cell>
          <cell r="D612" t="str">
            <v>SOLPVC</v>
          </cell>
          <cell r="I612">
            <v>27.952199311364701</v>
          </cell>
          <cell r="J612">
            <v>35.145616836081501</v>
          </cell>
          <cell r="K612">
            <v>55.292138380096802</v>
          </cell>
        </row>
        <row r="613">
          <cell r="B613" t="str">
            <v>ITOT-ESOLPV</v>
          </cell>
          <cell r="C613" t="str">
            <v>VAR_ncap</v>
          </cell>
          <cell r="D613" t="str">
            <v>-</v>
          </cell>
          <cell r="I613">
            <v>5.0779175769798401</v>
          </cell>
          <cell r="J613">
            <v>2.7860827880056802</v>
          </cell>
          <cell r="K613">
            <v>9.1066377534990792</v>
          </cell>
        </row>
        <row r="614">
          <cell r="B614" t="str">
            <v>ITOT-ESOLPV</v>
          </cell>
          <cell r="C614" t="str">
            <v>VAR_cap</v>
          </cell>
          <cell r="D614" t="str">
            <v>-</v>
          </cell>
          <cell r="I614">
            <v>8.0578044556744892</v>
          </cell>
          <cell r="J614">
            <v>10.131456988928207</v>
          </cell>
          <cell r="K614">
            <v>15.9391115657501</v>
          </cell>
        </row>
        <row r="615">
          <cell r="B615" t="str">
            <v>RHNS-CHPNGA</v>
          </cell>
          <cell r="C615" t="str">
            <v>VAR_fout</v>
          </cell>
          <cell r="D615" t="str">
            <v>CO2_R</v>
          </cell>
          <cell r="I615">
            <v>0.89048572492653699</v>
          </cell>
          <cell r="J615">
            <v>0.78214282362738896</v>
          </cell>
          <cell r="K615">
            <v>0.28628720461552398</v>
          </cell>
        </row>
        <row r="616">
          <cell r="B616" t="str">
            <v>RHNS-CHPNGA</v>
          </cell>
          <cell r="C616" t="str">
            <v>VAR_fout</v>
          </cell>
          <cell r="D616" t="str">
            <v>RHNS_LTH_CHPNGA</v>
          </cell>
          <cell r="I616">
            <v>8.3419591352911736E-3</v>
          </cell>
          <cell r="J616">
            <v>8.0164354691469198E-3</v>
          </cell>
          <cell r="K616">
            <v>2.9950058168044099E-3</v>
          </cell>
        </row>
        <row r="617">
          <cell r="B617" t="str">
            <v>RHNS-CHPNGA</v>
          </cell>
          <cell r="C617" t="str">
            <v>VAR_fout</v>
          </cell>
          <cell r="D617" t="str">
            <v>RHNS_NKEV_GAS_ELC_CHP</v>
          </cell>
          <cell r="I617">
            <v>3.6819045298464317E-3</v>
          </cell>
          <cell r="J617">
            <v>3.5698189198544845E-3</v>
          </cell>
          <cell r="K617">
            <v>1.3786534712274257E-3</v>
          </cell>
        </row>
        <row r="618">
          <cell r="B618" t="str">
            <v>RHNS-CHPNGA</v>
          </cell>
          <cell r="C618" t="str">
            <v>VAR_fin</v>
          </cell>
          <cell r="D618" t="str">
            <v>RNGA</v>
          </cell>
          <cell r="I618">
            <v>1.5788753988059165E-2</v>
          </cell>
          <cell r="J618">
            <v>1.3867780560769309E-2</v>
          </cell>
          <cell r="K618">
            <v>5.0760142662326915E-3</v>
          </cell>
        </row>
        <row r="619">
          <cell r="B619" t="str">
            <v>RHNS-CHPNGA</v>
          </cell>
          <cell r="C619" t="str">
            <v>VAR_ncap</v>
          </cell>
          <cell r="D619" t="str">
            <v>-</v>
          </cell>
          <cell r="I619">
            <v>1.2597760254425501E-4</v>
          </cell>
          <cell r="J619">
            <v>2.0817015310106299E-5</v>
          </cell>
          <cell r="K619">
            <v>1.04564205522689E-6</v>
          </cell>
        </row>
        <row r="620">
          <cell r="B620" t="str">
            <v>RHNS-CHPNGA</v>
          </cell>
          <cell r="C620" t="str">
            <v>VAR_cap</v>
          </cell>
          <cell r="D620" t="str">
            <v>-</v>
          </cell>
          <cell r="I620">
            <v>3.2743036470815194E-4</v>
          </cell>
          <cell r="J620">
            <v>3.1763394881969415E-4</v>
          </cell>
          <cell r="K620">
            <v>1.2253618891027037E-4</v>
          </cell>
        </row>
        <row r="621">
          <cell r="B621" t="str">
            <v>ENUC_BEZ</v>
          </cell>
          <cell r="C621" t="str">
            <v>VAR_fout</v>
          </cell>
          <cell r="D621" t="str">
            <v>ELC</v>
          </cell>
        </row>
        <row r="622">
          <cell r="B622" t="str">
            <v>ENUC_BEZ</v>
          </cell>
          <cell r="C622" t="str">
            <v>VAR_fin</v>
          </cell>
          <cell r="D622" t="str">
            <v>URN</v>
          </cell>
        </row>
        <row r="623">
          <cell r="B623" t="str">
            <v>ENUC_BEZ</v>
          </cell>
          <cell r="C623" t="str">
            <v>VAR_cap</v>
          </cell>
          <cell r="D623" t="str">
            <v>-</v>
          </cell>
        </row>
        <row r="624">
          <cell r="B624" t="str">
            <v>RHNM-CHPWOD</v>
          </cell>
          <cell r="C624" t="str">
            <v>VAR_fout</v>
          </cell>
          <cell r="D624" t="str">
            <v>RHNM_LTH_CHPWOD</v>
          </cell>
          <cell r="I624">
            <v>6.4226828385108544E-3</v>
          </cell>
          <cell r="J624">
            <v>9.8779249656638993E-2</v>
          </cell>
          <cell r="K624">
            <v>1.3517530233299402</v>
          </cell>
        </row>
        <row r="625">
          <cell r="B625" t="str">
            <v>RHNM-CHPWOD</v>
          </cell>
          <cell r="C625" t="str">
            <v>VAR_fout</v>
          </cell>
          <cell r="D625" t="str">
            <v>RHNM_KEV_WOD_ELC_CHP</v>
          </cell>
          <cell r="I625">
            <v>2.4144529929957452E-3</v>
          </cell>
          <cell r="J625">
            <v>3.7133680889440183E-2</v>
          </cell>
          <cell r="K625">
            <v>0.50815900691847715</v>
          </cell>
        </row>
        <row r="626">
          <cell r="B626" t="str">
            <v>RHNM-CHPWOD</v>
          </cell>
          <cell r="C626" t="str">
            <v>VAR_fin</v>
          </cell>
          <cell r="D626" t="str">
            <v>RWOD</v>
          </cell>
          <cell r="I626">
            <v>0.33179503591096021</v>
          </cell>
          <cell r="J626">
            <v>0.63022929825465379</v>
          </cell>
          <cell r="K626">
            <v>2.1971340402826653</v>
          </cell>
        </row>
        <row r="627">
          <cell r="B627" t="str">
            <v>RHNM-CHPWOD</v>
          </cell>
          <cell r="C627" t="str">
            <v>VAR_ncap</v>
          </cell>
          <cell r="D627" t="str">
            <v>-</v>
          </cell>
          <cell r="I627">
            <v>1.02837008099312E-4</v>
          </cell>
          <cell r="J627">
            <v>2.5936657977323799E-3</v>
          </cell>
          <cell r="K627">
            <v>3.5781476191368997E-2</v>
          </cell>
        </row>
        <row r="628">
          <cell r="B628" t="str">
            <v>RHNM-CHPWOD</v>
          </cell>
          <cell r="C628" t="str">
            <v>VAR_cap</v>
          </cell>
          <cell r="D628" t="str">
            <v>-</v>
          </cell>
          <cell r="I628">
            <v>1.9485470174395109E-4</v>
          </cell>
          <cell r="J628">
            <v>2.7591948532065917E-3</v>
          </cell>
          <cell r="K628">
            <v>3.7707142884039674E-2</v>
          </cell>
        </row>
        <row r="629">
          <cell r="B629" t="str">
            <v>RHNM-SHSTG-CHPNGA</v>
          </cell>
          <cell r="C629" t="str">
            <v>VAR_fout</v>
          </cell>
          <cell r="D629" t="str">
            <v>AUX_RNM-CHPNGA_OUT</v>
          </cell>
          <cell r="I629">
            <v>0.88135187073819388</v>
          </cell>
          <cell r="J629">
            <v>0.73999575171884691</v>
          </cell>
          <cell r="K629">
            <v>3.3652030055680501E-3</v>
          </cell>
        </row>
        <row r="630">
          <cell r="B630" t="str">
            <v>RHNM-SHSTG-CHPNGA</v>
          </cell>
          <cell r="C630" t="str">
            <v>VAR_fout</v>
          </cell>
          <cell r="D630" t="str">
            <v>RHNM_LTH_CHPNGA</v>
          </cell>
          <cell r="I630">
            <v>0.88216193679585631</v>
          </cell>
          <cell r="J630">
            <v>0.73999575171884457</v>
          </cell>
          <cell r="K630">
            <v>3.3652030055680475E-3</v>
          </cell>
        </row>
        <row r="631">
          <cell r="B631" t="str">
            <v>RHNM-SHSTG-CHPNGA</v>
          </cell>
          <cell r="C631" t="str">
            <v>VAR_fin</v>
          </cell>
          <cell r="D631" t="str">
            <v>AUX_RNM-CHPNGA_IN</v>
          </cell>
          <cell r="I631">
            <v>1.0692829372600801</v>
          </cell>
          <cell r="J631">
            <v>0.87058536674432141</v>
          </cell>
          <cell r="K631">
            <v>3.7412529002805116E-3</v>
          </cell>
        </row>
        <row r="632">
          <cell r="B632" t="str">
            <v>RHNM-SHSTG-CHPNGA</v>
          </cell>
          <cell r="C632" t="str">
            <v>VAR_fin</v>
          </cell>
          <cell r="D632" t="str">
            <v>RHNM_LTH_CHPNGA</v>
          </cell>
          <cell r="I632">
            <v>1.0692829372600801</v>
          </cell>
          <cell r="J632">
            <v>0.87058536674432141</v>
          </cell>
          <cell r="K632">
            <v>3.7412529002805116E-3</v>
          </cell>
        </row>
        <row r="633">
          <cell r="B633" t="str">
            <v>RHNM-SHSTG-CHPNGA</v>
          </cell>
          <cell r="C633" t="str">
            <v>VAR_ncap</v>
          </cell>
          <cell r="D633" t="str">
            <v>-</v>
          </cell>
          <cell r="I633">
            <v>5.2402637809782502E-3</v>
          </cell>
          <cell r="J633">
            <v>8.3438827985228697E-3</v>
          </cell>
          <cell r="K633">
            <v>6.9142308341214699E-5</v>
          </cell>
        </row>
        <row r="634">
          <cell r="B634" t="str">
            <v>RHNM-SHSTG-CHPNGA</v>
          </cell>
          <cell r="C634" t="str">
            <v>VAR_cap</v>
          </cell>
          <cell r="D634" t="str">
            <v>-</v>
          </cell>
          <cell r="I634">
            <v>5.6319884687415438E-2</v>
          </cell>
          <cell r="J634">
            <v>4.7434440643929002E-2</v>
          </cell>
          <cell r="K634">
            <v>6.2154793608684795E-3</v>
          </cell>
        </row>
        <row r="635">
          <cell r="B635" t="str">
            <v>CT_CWODBDS</v>
          </cell>
          <cell r="C635" t="str">
            <v>VAR_fout</v>
          </cell>
          <cell r="D635" t="str">
            <v>BDS</v>
          </cell>
        </row>
        <row r="636">
          <cell r="B636" t="str">
            <v>CT_CWODBDS</v>
          </cell>
          <cell r="C636" t="str">
            <v>VAR_fout</v>
          </cell>
          <cell r="D636" t="str">
            <v>LTH</v>
          </cell>
        </row>
        <row r="637">
          <cell r="B637" t="str">
            <v>CT_CWODBDS</v>
          </cell>
          <cell r="C637" t="str">
            <v>VAR_fin</v>
          </cell>
          <cell r="D637" t="str">
            <v>CWOD</v>
          </cell>
        </row>
        <row r="638">
          <cell r="B638" t="str">
            <v>CT_CWODBDS</v>
          </cell>
          <cell r="C638" t="str">
            <v>VAR_fin</v>
          </cell>
          <cell r="D638" t="str">
            <v>CELC</v>
          </cell>
        </row>
        <row r="639">
          <cell r="B639" t="str">
            <v>CT_CWODBDS</v>
          </cell>
          <cell r="C639" t="str">
            <v>VAR_cap</v>
          </cell>
          <cell r="D639" t="str">
            <v>-</v>
          </cell>
          <cell r="I639">
            <v>-1.0075233207972045E-7</v>
          </cell>
        </row>
        <row r="640">
          <cell r="B640" t="str">
            <v>RHNS-EBAT</v>
          </cell>
          <cell r="C640" t="str">
            <v>VAR_fout</v>
          </cell>
          <cell r="D640" t="str">
            <v>RHNS_ELC</v>
          </cell>
          <cell r="I640">
            <v>0.11190691389233243</v>
          </cell>
          <cell r="J640">
            <v>0.10921468545304525</v>
          </cell>
          <cell r="K640">
            <v>0.11319562328925521</v>
          </cell>
        </row>
        <row r="641">
          <cell r="B641" t="str">
            <v>RHNS-EBAT</v>
          </cell>
          <cell r="C641" t="str">
            <v>VAR_fout</v>
          </cell>
          <cell r="D641" t="str">
            <v>AUX_RHNS-EBAT_OUT</v>
          </cell>
          <cell r="I641">
            <v>0.11190691389233254</v>
          </cell>
          <cell r="J641">
            <v>0.10921468545304533</v>
          </cell>
          <cell r="K641">
            <v>0.11319562328925536</v>
          </cell>
        </row>
        <row r="642">
          <cell r="B642" t="str">
            <v>RHNS-EBAT</v>
          </cell>
          <cell r="C642" t="str">
            <v>VAR_fin</v>
          </cell>
          <cell r="D642" t="str">
            <v>RHNS_ELC</v>
          </cell>
          <cell r="I642">
            <v>0.12375598199890241</v>
          </cell>
          <cell r="J642">
            <v>0.12077742191719011</v>
          </cell>
          <cell r="K642">
            <v>0.12517979508877947</v>
          </cell>
        </row>
        <row r="643">
          <cell r="B643" t="str">
            <v>RHNS-EBAT</v>
          </cell>
          <cell r="C643" t="str">
            <v>VAR_fin</v>
          </cell>
          <cell r="D643" t="str">
            <v>AUX_RHNS-EBAT_IN</v>
          </cell>
          <cell r="I643">
            <v>0.12375598199890241</v>
          </cell>
          <cell r="J643">
            <v>0.12077742191719011</v>
          </cell>
          <cell r="K643">
            <v>0.12517979508877947</v>
          </cell>
        </row>
        <row r="644">
          <cell r="B644" t="str">
            <v>RHNS-EBAT</v>
          </cell>
          <cell r="C644" t="str">
            <v>VAR_ncap</v>
          </cell>
          <cell r="D644" t="str">
            <v>-</v>
          </cell>
          <cell r="I644">
            <v>4.0952807952949297E-2</v>
          </cell>
          <cell r="J644">
            <v>3.6174661749789797E-2</v>
          </cell>
          <cell r="K644">
            <v>6.9803774217488804E-2</v>
          </cell>
        </row>
        <row r="645">
          <cell r="B645" t="str">
            <v>RHNS-EBAT</v>
          </cell>
          <cell r="C645" t="str">
            <v>VAR_cap</v>
          </cell>
          <cell r="D645" t="str">
            <v>-</v>
          </cell>
          <cell r="I645">
            <v>7.3820622899472915E-2</v>
          </cell>
          <cell r="J645">
            <v>7.7213049722066024E-2</v>
          </cell>
          <cell r="K645">
            <v>9.5131847806101885E-2</v>
          </cell>
        </row>
        <row r="646">
          <cell r="B646" t="str">
            <v>G-INTC-EXP00-AT</v>
          </cell>
          <cell r="C646" t="str">
            <v>VAR_fout</v>
          </cell>
          <cell r="D646" t="str">
            <v>ELC_E-AT</v>
          </cell>
          <cell r="I646">
            <v>3.7583471699095052E-4</v>
          </cell>
          <cell r="J646">
            <v>3.5912309413113906E-4</v>
          </cell>
          <cell r="K646">
            <v>2.1205663450349525E-4</v>
          </cell>
        </row>
        <row r="647">
          <cell r="B647" t="str">
            <v>G-INTC-EXP00-AT</v>
          </cell>
          <cell r="C647" t="str">
            <v>VAR_fin</v>
          </cell>
          <cell r="D647" t="str">
            <v>ELC</v>
          </cell>
          <cell r="I647">
            <v>3.7583471699095052E-4</v>
          </cell>
          <cell r="J647">
            <v>3.5912309413113906E-4</v>
          </cell>
          <cell r="K647">
            <v>2.1205663450349525E-4</v>
          </cell>
        </row>
        <row r="648">
          <cell r="B648" t="str">
            <v>G-INTC-EXP00-AT</v>
          </cell>
          <cell r="C648" t="str">
            <v>VAR_ncap</v>
          </cell>
          <cell r="D648" t="str">
            <v>-</v>
          </cell>
          <cell r="I648">
            <v>8.07293535344828E-7</v>
          </cell>
          <cell r="J648">
            <v>1.2880926988944299E-6</v>
          </cell>
          <cell r="K648">
            <v>2.3117117265739599E-6</v>
          </cell>
        </row>
        <row r="649">
          <cell r="B649" t="str">
            <v>G-INTC-EXP00-AT</v>
          </cell>
          <cell r="C649" t="str">
            <v>VAR_cap</v>
          </cell>
          <cell r="D649" t="str">
            <v>-</v>
          </cell>
          <cell r="I649">
            <v>7.8189311488019442E-4</v>
          </cell>
          <cell r="J649">
            <v>7.7894018062840686E-4</v>
          </cell>
          <cell r="K649">
            <v>7.8067587338082056E-4</v>
          </cell>
        </row>
        <row r="650">
          <cell r="B650" t="str">
            <v>G-INTC-IMP00-DE</v>
          </cell>
          <cell r="C650" t="str">
            <v>VAR_fout</v>
          </cell>
          <cell r="D650" t="str">
            <v>ELC</v>
          </cell>
          <cell r="I650">
            <v>24.408978753123172</v>
          </cell>
          <cell r="J650">
            <v>21.590024159890678</v>
          </cell>
          <cell r="K650">
            <v>14.318825820235709</v>
          </cell>
        </row>
        <row r="651">
          <cell r="B651" t="str">
            <v>G-INTC-IMP00-DE</v>
          </cell>
          <cell r="C651" t="str">
            <v>VAR_fin</v>
          </cell>
          <cell r="D651" t="str">
            <v>ELC_I-DE</v>
          </cell>
          <cell r="I651">
            <v>24.408978753123172</v>
          </cell>
          <cell r="J651">
            <v>21.590024159890678</v>
          </cell>
          <cell r="K651">
            <v>14.318825820235709</v>
          </cell>
        </row>
        <row r="652">
          <cell r="B652" t="str">
            <v>G-INTC-IMP00-DE</v>
          </cell>
          <cell r="C652" t="str">
            <v>VAR_ncap</v>
          </cell>
          <cell r="D652" t="str">
            <v>-</v>
          </cell>
          <cell r="I652">
            <v>1.8009955314486799E-6</v>
          </cell>
          <cell r="J652">
            <v>2.6006241578936799E-6</v>
          </cell>
          <cell r="K652">
            <v>3.78886650998791E-6</v>
          </cell>
        </row>
        <row r="653">
          <cell r="B653" t="str">
            <v>G-INTC-IMP00-DE</v>
          </cell>
          <cell r="C653" t="str">
            <v>VAR_cap</v>
          </cell>
          <cell r="D653" t="str">
            <v>-</v>
          </cell>
          <cell r="I653">
            <v>1.7903124270203072</v>
          </cell>
          <cell r="J653">
            <v>1.7903083992020963</v>
          </cell>
          <cell r="K653">
            <v>1.7903060887728399</v>
          </cell>
        </row>
        <row r="654">
          <cell r="B654" t="str">
            <v>RHEM-SHSTG-CHPWOD</v>
          </cell>
          <cell r="C654" t="str">
            <v>VAR_fout</v>
          </cell>
          <cell r="D654" t="str">
            <v>AUX_REM-CHPWOD_OUT</v>
          </cell>
          <cell r="I654">
            <v>7.0804320099610869E-3</v>
          </cell>
          <cell r="J654">
            <v>1.5088055712567482E-2</v>
          </cell>
          <cell r="K654">
            <v>8.2925417577070833E-3</v>
          </cell>
        </row>
        <row r="655">
          <cell r="B655" t="str">
            <v>RHEM-SHSTG-CHPWOD</v>
          </cell>
          <cell r="C655" t="str">
            <v>VAR_fout</v>
          </cell>
          <cell r="D655" t="str">
            <v>RHEM_LTH_CHPWOD</v>
          </cell>
          <cell r="I655">
            <v>7.0869397599702269E-3</v>
          </cell>
          <cell r="J655">
            <v>1.508805571256742E-2</v>
          </cell>
          <cell r="K655">
            <v>8.2925417577070764E-3</v>
          </cell>
        </row>
        <row r="656">
          <cell r="B656" t="str">
            <v>RHEM-SHSTG-CHPWOD</v>
          </cell>
          <cell r="C656" t="str">
            <v>VAR_fin</v>
          </cell>
          <cell r="D656" t="str">
            <v>AUX_REM-CHPWOD_IN</v>
          </cell>
          <cell r="I656">
            <v>8.5859711559693221E-3</v>
          </cell>
          <cell r="J656">
            <v>1.7752783207539719E-2</v>
          </cell>
          <cell r="K656">
            <v>9.2160736122352226E-3</v>
          </cell>
        </row>
        <row r="657">
          <cell r="B657" t="str">
            <v>RHEM-SHSTG-CHPWOD</v>
          </cell>
          <cell r="C657" t="str">
            <v>VAR_fin</v>
          </cell>
          <cell r="D657" t="str">
            <v>RHEM_LTH_CHPWOD</v>
          </cell>
          <cell r="I657">
            <v>8.5859711559693221E-3</v>
          </cell>
          <cell r="J657">
            <v>1.7752783207539719E-2</v>
          </cell>
          <cell r="K657">
            <v>9.2160736122352226E-3</v>
          </cell>
        </row>
        <row r="658">
          <cell r="B658" t="str">
            <v>RHEM-SHSTG-CHPWOD</v>
          </cell>
          <cell r="C658" t="str">
            <v>VAR_ncap</v>
          </cell>
          <cell r="D658" t="str">
            <v>-</v>
          </cell>
          <cell r="I658">
            <v>4.7408431546188496E-3</v>
          </cell>
          <cell r="J658">
            <v>3.4377103136713701E-4</v>
          </cell>
          <cell r="K658">
            <v>1.45819773215856E-3</v>
          </cell>
        </row>
        <row r="659">
          <cell r="B659" t="str">
            <v>RHEM-SHSTG-CHPWOD</v>
          </cell>
          <cell r="C659" t="str">
            <v>VAR_cap</v>
          </cell>
          <cell r="D659" t="str">
            <v>-</v>
          </cell>
          <cell r="I659">
            <v>5.892209703178595E-3</v>
          </cell>
          <cell r="J659">
            <v>5.124472731049096E-3</v>
          </cell>
          <cell r="K659">
            <v>3.6835887336205062E-3</v>
          </cell>
        </row>
        <row r="660">
          <cell r="B660" t="str">
            <v>RHNM-CHPGFC</v>
          </cell>
          <cell r="C660" t="str">
            <v>VAR_fout</v>
          </cell>
          <cell r="D660" t="str">
            <v>CO2_R</v>
          </cell>
          <cell r="I660">
            <v>0.58768444740674397</v>
          </cell>
          <cell r="J660">
            <v>0.64763621392847603</v>
          </cell>
          <cell r="K660">
            <v>0.44886034531239399</v>
          </cell>
        </row>
        <row r="661">
          <cell r="B661" t="str">
            <v>RHNM-CHPGFC</v>
          </cell>
          <cell r="C661" t="str">
            <v>VAR_fout</v>
          </cell>
          <cell r="D661" t="str">
            <v>RHNM_NKEV_GAS_ELC_CHP</v>
          </cell>
          <cell r="I661">
            <v>4.4805729146258789E-3</v>
          </cell>
          <cell r="J661">
            <v>5.052481101569666E-3</v>
          </cell>
          <cell r="K661">
            <v>3.5813325423861226E-3</v>
          </cell>
        </row>
        <row r="662">
          <cell r="B662" t="str">
            <v>RHNM-CHPGFC</v>
          </cell>
          <cell r="C662" t="str">
            <v>VAR_fout</v>
          </cell>
          <cell r="D662" t="str">
            <v>RHNM_LTH_CHPNGA</v>
          </cell>
          <cell r="I662">
            <v>4.8838244769422098E-3</v>
          </cell>
          <cell r="J662">
            <v>5.3556299676638455E-3</v>
          </cell>
          <cell r="K662">
            <v>3.5813325423861226E-3</v>
          </cell>
        </row>
        <row r="663">
          <cell r="B663" t="str">
            <v>RHNM-CHPGFC</v>
          </cell>
          <cell r="C663" t="str">
            <v>VAR_fin</v>
          </cell>
          <cell r="D663" t="str">
            <v>RNGA</v>
          </cell>
          <cell r="I663">
            <v>1.0419937010757861E-2</v>
          </cell>
          <cell r="J663">
            <v>1.148291159447652E-2</v>
          </cell>
          <cell r="K663">
            <v>7.9585167608580542E-3</v>
          </cell>
        </row>
        <row r="664">
          <cell r="B664" t="str">
            <v>RHNM-CHPGFC</v>
          </cell>
          <cell r="C664" t="str">
            <v>VAR_ncap</v>
          </cell>
          <cell r="D664" t="str">
            <v>-</v>
          </cell>
          <cell r="I664">
            <v>3.0671805909094198E-4</v>
          </cell>
          <cell r="J664">
            <v>5.0513386362433497E-5</v>
          </cell>
          <cell r="K664">
            <v>3.5924092746311898E-7</v>
          </cell>
        </row>
        <row r="665">
          <cell r="B665" t="str">
            <v>RHNM-CHPGFC</v>
          </cell>
          <cell r="C665" t="str">
            <v>VAR_cap</v>
          </cell>
          <cell r="D665" t="str">
            <v>-</v>
          </cell>
          <cell r="I665">
            <v>3.9891894766771189E-4</v>
          </cell>
          <cell r="J665">
            <v>4.4931420810481076E-4</v>
          </cell>
          <cell r="K665">
            <v>3.1862693728724697E-4</v>
          </cell>
        </row>
        <row r="666">
          <cell r="B666" t="str">
            <v>G-INTC-EXP00-FR</v>
          </cell>
          <cell r="C666" t="str">
            <v>VAR_fout</v>
          </cell>
          <cell r="D666" t="str">
            <v>ELC_E-FR</v>
          </cell>
          <cell r="I666">
            <v>1.1064240462938201E-3</v>
          </cell>
          <cell r="J666">
            <v>1.9458115383856178E-3</v>
          </cell>
          <cell r="K666">
            <v>1.267430132833281E-3</v>
          </cell>
        </row>
        <row r="667">
          <cell r="B667" t="str">
            <v>G-INTC-EXP00-FR</v>
          </cell>
          <cell r="C667" t="str">
            <v>VAR_fin</v>
          </cell>
          <cell r="D667" t="str">
            <v>ELC</v>
          </cell>
          <cell r="I667">
            <v>1.1064240462938201E-3</v>
          </cell>
          <cell r="J667">
            <v>1.9458115383856178E-3</v>
          </cell>
          <cell r="K667">
            <v>1.267430132833281E-3</v>
          </cell>
        </row>
        <row r="668">
          <cell r="B668" t="str">
            <v>G-INTC-EXP00-FR</v>
          </cell>
          <cell r="C668" t="str">
            <v>VAR_ncap</v>
          </cell>
          <cell r="D668" t="str">
            <v>-</v>
          </cell>
          <cell r="I668">
            <v>1.50013567886981E-6</v>
          </cell>
          <cell r="J668">
            <v>2.1463980730953399E-6</v>
          </cell>
          <cell r="K668">
            <v>3.1145215358270098E-6</v>
          </cell>
        </row>
        <row r="669">
          <cell r="B669" t="str">
            <v>G-INTC-EXP00-FR</v>
          </cell>
          <cell r="C669" t="str">
            <v>VAR_cap</v>
          </cell>
          <cell r="D669" t="str">
            <v>-</v>
          </cell>
          <cell r="I669">
            <v>9.8725928665643892E-4</v>
          </cell>
          <cell r="J669">
            <v>9.8529928070445472E-4</v>
          </cell>
          <cell r="K669">
            <v>9.8605816583141603E-4</v>
          </cell>
        </row>
        <row r="670">
          <cell r="B670" t="str">
            <v>RHNM-EBAT</v>
          </cell>
          <cell r="C670" t="str">
            <v>VAR_fout</v>
          </cell>
          <cell r="D670" t="str">
            <v>RHNM_ELC</v>
          </cell>
          <cell r="I670">
            <v>5.0058557758587585E-2</v>
          </cell>
          <cell r="J670">
            <v>4.8492169347177864E-2</v>
          </cell>
          <cell r="K670">
            <v>4.9590980860378567E-2</v>
          </cell>
        </row>
        <row r="671">
          <cell r="B671" t="str">
            <v>RHNM-EBAT</v>
          </cell>
          <cell r="C671" t="str">
            <v>VAR_fout</v>
          </cell>
          <cell r="D671" t="str">
            <v>AUX_RHNM-EBAT_OUT</v>
          </cell>
          <cell r="I671">
            <v>5.0058557758587655E-2</v>
          </cell>
          <cell r="J671">
            <v>4.8492169347177899E-2</v>
          </cell>
          <cell r="K671">
            <v>4.9590980860378595E-2</v>
          </cell>
        </row>
        <row r="672">
          <cell r="B672" t="str">
            <v>RHNM-EBAT</v>
          </cell>
          <cell r="C672" t="str">
            <v>VAR_fin</v>
          </cell>
          <cell r="D672" t="str">
            <v>RHNM_ELC</v>
          </cell>
          <cell r="I672">
            <v>5.536006223774801E-2</v>
          </cell>
          <cell r="J672">
            <v>5.36265290091993E-2</v>
          </cell>
          <cell r="K672">
            <v>5.4841660671448147E-2</v>
          </cell>
        </row>
        <row r="673">
          <cell r="B673" t="str">
            <v>RHNM-EBAT</v>
          </cell>
          <cell r="C673" t="str">
            <v>VAR_fin</v>
          </cell>
          <cell r="D673" t="str">
            <v>AUX_RHNM-EBAT_IN</v>
          </cell>
          <cell r="I673">
            <v>5.536006223774801E-2</v>
          </cell>
          <cell r="J673">
            <v>5.36265290091993E-2</v>
          </cell>
          <cell r="K673">
            <v>5.4841660671448147E-2</v>
          </cell>
        </row>
        <row r="674">
          <cell r="B674" t="str">
            <v>RHNM-EBAT</v>
          </cell>
          <cell r="C674" t="str">
            <v>VAR_ncap</v>
          </cell>
          <cell r="D674" t="str">
            <v>-</v>
          </cell>
          <cell r="I674">
            <v>1.6512317890744799E-2</v>
          </cell>
          <cell r="J674">
            <v>1.0285535027003599E-2</v>
          </cell>
          <cell r="K674">
            <v>2.31172200999737E-2</v>
          </cell>
        </row>
        <row r="675">
          <cell r="B675" t="str">
            <v>RHNM-EBAT</v>
          </cell>
          <cell r="C675" t="str">
            <v>VAR_cap</v>
          </cell>
          <cell r="D675" t="str">
            <v>-</v>
          </cell>
          <cell r="I675">
            <v>2.6564457201617181E-2</v>
          </cell>
          <cell r="J675">
            <v>2.69155528173892E-2</v>
          </cell>
          <cell r="K675">
            <v>3.1172731379052528E-2</v>
          </cell>
        </row>
        <row r="676">
          <cell r="B676" t="str">
            <v>ITOT-CHPWST</v>
          </cell>
          <cell r="C676" t="str">
            <v>VAR_fout</v>
          </cell>
          <cell r="D676" t="str">
            <v>ITOT_LTH_CHP</v>
          </cell>
          <cell r="I676">
            <v>9.0447692111480429E-3</v>
          </cell>
          <cell r="J676">
            <v>6.360984141957759E-3</v>
          </cell>
          <cell r="K676">
            <v>8.3725420698673033E-4</v>
          </cell>
        </row>
        <row r="677">
          <cell r="B677" t="str">
            <v>ITOT-CHPWST</v>
          </cell>
          <cell r="C677" t="str">
            <v>VAR_fout</v>
          </cell>
          <cell r="D677" t="str">
            <v>ITOT_KEV_WST_ELC_CHP</v>
          </cell>
          <cell r="I677">
            <v>1.5326390261014486E-3</v>
          </cell>
          <cell r="J677">
            <v>1.2558608583929337E-3</v>
          </cell>
          <cell r="K677">
            <v>2.4681402456599132E-4</v>
          </cell>
        </row>
        <row r="678">
          <cell r="B678" t="str">
            <v>ITOT-CHPWST</v>
          </cell>
          <cell r="C678" t="str">
            <v>VAR_fout</v>
          </cell>
          <cell r="D678" t="str">
            <v>CO2_I</v>
          </cell>
          <cell r="I678">
            <v>2.2950269242983601</v>
          </cell>
          <cell r="J678">
            <v>1.8805696802042999</v>
          </cell>
          <cell r="K678">
            <v>0.36958789514465401</v>
          </cell>
        </row>
        <row r="679">
          <cell r="B679" t="str">
            <v>ITOT-CHPWST</v>
          </cell>
          <cell r="C679" t="str">
            <v>VAR_fin</v>
          </cell>
          <cell r="D679" t="str">
            <v>IWST</v>
          </cell>
          <cell r="I679">
            <v>2.4730893580801272E-2</v>
          </cell>
          <cell r="J679">
            <v>2.026475948496018E-2</v>
          </cell>
          <cell r="K679">
            <v>3.9826281804380848E-3</v>
          </cell>
        </row>
        <row r="680">
          <cell r="B680" t="str">
            <v>ITOT-CHPWST</v>
          </cell>
          <cell r="C680" t="str">
            <v>VAR_ncap</v>
          </cell>
          <cell r="D680" t="str">
            <v>-</v>
          </cell>
          <cell r="I680">
            <v>8.6969360124500998E-7</v>
          </cell>
          <cell r="J680">
            <v>4.5368231734150601E-7</v>
          </cell>
          <cell r="K680">
            <v>6.4842737889114701E-8</v>
          </cell>
        </row>
        <row r="681">
          <cell r="B681" t="str">
            <v>ITOT-CHPWST</v>
          </cell>
          <cell r="C681" t="str">
            <v>VAR_cap</v>
          </cell>
          <cell r="D681" t="str">
            <v>-</v>
          </cell>
          <cell r="I681">
            <v>2.7916512413061999E-3</v>
          </cell>
          <cell r="J681">
            <v>2.7916161835255613E-3</v>
          </cell>
          <cell r="K681">
            <v>9.0453722839727631E-5</v>
          </cell>
        </row>
        <row r="682">
          <cell r="B682" t="str">
            <v>CAES-EBAT</v>
          </cell>
          <cell r="C682" t="str">
            <v>VAR_fout</v>
          </cell>
          <cell r="D682" t="str">
            <v>ELC13</v>
          </cell>
          <cell r="I682">
            <v>6.9252479043945192E-3</v>
          </cell>
          <cell r="J682">
            <v>4.1943803166278422E-3</v>
          </cell>
          <cell r="K682">
            <v>9.4385875440153949E-2</v>
          </cell>
        </row>
        <row r="683">
          <cell r="B683" t="str">
            <v>CAES-EBAT</v>
          </cell>
          <cell r="C683" t="str">
            <v>VAR_fout</v>
          </cell>
          <cell r="D683" t="str">
            <v>AUX_CAES_OUT</v>
          </cell>
          <cell r="I683">
            <v>6.9252479043945166E-3</v>
          </cell>
          <cell r="J683">
            <v>4.1943803166278361E-3</v>
          </cell>
          <cell r="K683">
            <v>9.4385875440153838E-2</v>
          </cell>
        </row>
        <row r="684">
          <cell r="B684" t="str">
            <v>CAES-EBAT</v>
          </cell>
          <cell r="C684" t="str">
            <v>VAR_fin</v>
          </cell>
          <cell r="D684" t="str">
            <v>ELC13</v>
          </cell>
          <cell r="I684">
            <v>9.8977067021130578E-3</v>
          </cell>
          <cell r="J684">
            <v>5.9969405315889041E-3</v>
          </cell>
          <cell r="K684">
            <v>0.13483963234531984</v>
          </cell>
        </row>
        <row r="685">
          <cell r="B685" t="str">
            <v>CAES-EBAT</v>
          </cell>
          <cell r="C685" t="str">
            <v>VAR_fin</v>
          </cell>
          <cell r="D685" t="str">
            <v>AUX_CAES_IN</v>
          </cell>
          <cell r="I685">
            <v>9.8977067021130578E-3</v>
          </cell>
          <cell r="J685">
            <v>5.9969405315889041E-3</v>
          </cell>
          <cell r="K685">
            <v>0.13483963234531984</v>
          </cell>
        </row>
        <row r="686">
          <cell r="B686" t="str">
            <v>CAES-EBAT</v>
          </cell>
          <cell r="C686" t="str">
            <v>VAR_ncap</v>
          </cell>
          <cell r="D686" t="str">
            <v>-</v>
          </cell>
          <cell r="I686">
            <v>8.1147000203304604E-7</v>
          </cell>
          <cell r="J686">
            <v>1.04104116147499E-6</v>
          </cell>
          <cell r="K686">
            <v>1.41674829423178E-6</v>
          </cell>
        </row>
        <row r="687">
          <cell r="B687" t="str">
            <v>CAES-EBAT</v>
          </cell>
          <cell r="C687" t="str">
            <v>VAR_cap</v>
          </cell>
          <cell r="D687" t="str">
            <v>-</v>
          </cell>
          <cell r="I687">
            <v>9.9993500347405534E-2</v>
          </cell>
          <cell r="J687">
            <v>9.9993793719312843E-2</v>
          </cell>
          <cell r="K687">
            <v>9.9994724911291188E-2</v>
          </cell>
        </row>
        <row r="688">
          <cell r="B688" t="str">
            <v>RHEM-CHPNGA</v>
          </cell>
          <cell r="C688" t="str">
            <v>VAR_fout</v>
          </cell>
          <cell r="D688" t="str">
            <v>CO2_R</v>
          </cell>
          <cell r="I688">
            <v>200.71469746315199</v>
          </cell>
          <cell r="J688">
            <v>221.977875406923</v>
          </cell>
          <cell r="K688">
            <v>1.6570335436341099</v>
          </cell>
        </row>
        <row r="689">
          <cell r="B689" t="str">
            <v>RHEM-CHPNGA</v>
          </cell>
          <cell r="C689" t="str">
            <v>VAR_fout</v>
          </cell>
          <cell r="D689" t="str">
            <v>RHEM_LTH_CHPNGA</v>
          </cell>
          <cell r="I689">
            <v>2.1916088099738245</v>
          </cell>
          <cell r="J689">
            <v>2.4135426131597093</v>
          </cell>
          <cell r="K689">
            <v>1.7735110343772027E-2</v>
          </cell>
        </row>
        <row r="690">
          <cell r="B690" t="str">
            <v>RHEM-CHPNGA</v>
          </cell>
          <cell r="C690" t="str">
            <v>VAR_fout</v>
          </cell>
          <cell r="D690" t="str">
            <v>RHEM_NKEV_GAS_ELC_CHP</v>
          </cell>
          <cell r="I690">
            <v>1.0735128806884622</v>
          </cell>
          <cell r="J690">
            <v>1.1969601577458731</v>
          </cell>
          <cell r="K690">
            <v>9.0129249288021813E-3</v>
          </cell>
        </row>
        <row r="691">
          <cell r="B691" t="str">
            <v>RHEM-CHPNGA</v>
          </cell>
          <cell r="C691" t="str">
            <v>VAR_fin</v>
          </cell>
          <cell r="D691" t="str">
            <v>RNGA</v>
          </cell>
          <cell r="I691">
            <v>3.5587712316161664</v>
          </cell>
          <cell r="J691">
            <v>3.9357779327468667</v>
          </cell>
          <cell r="K691">
            <v>2.9380027369399046E-2</v>
          </cell>
        </row>
        <row r="692">
          <cell r="B692" t="str">
            <v>RHEM-CHPNGA</v>
          </cell>
          <cell r="C692" t="str">
            <v>VAR_ncap</v>
          </cell>
          <cell r="D692" t="str">
            <v>-</v>
          </cell>
          <cell r="I692">
            <v>1.1001501617287799E-2</v>
          </cell>
          <cell r="J692">
            <v>9.2765426557395395E-3</v>
          </cell>
          <cell r="K692">
            <v>6.9912858116229504E-7</v>
          </cell>
        </row>
        <row r="693">
          <cell r="B693" t="str">
            <v>RHEM-CHPNGA</v>
          </cell>
          <cell r="C693" t="str">
            <v>VAR_cap</v>
          </cell>
          <cell r="D693" t="str">
            <v>-</v>
          </cell>
          <cell r="I693">
            <v>7.9659553014757509E-2</v>
          </cell>
          <cell r="J693">
            <v>8.8845888572192208E-2</v>
          </cell>
          <cell r="K693">
            <v>8.7248016546469936E-4</v>
          </cell>
        </row>
        <row r="694">
          <cell r="B694" t="str">
            <v>D-SBIO</v>
          </cell>
          <cell r="C694" t="str">
            <v>VAR_fout</v>
          </cell>
          <cell r="D694" t="str">
            <v>SBIO</v>
          </cell>
          <cell r="I694">
            <v>2.9941317879640867</v>
          </cell>
          <cell r="J694">
            <v>2.954349470459591</v>
          </cell>
          <cell r="K694">
            <v>2.8715335767205152</v>
          </cell>
        </row>
        <row r="695">
          <cell r="B695" t="str">
            <v>D-SBIO</v>
          </cell>
          <cell r="C695" t="str">
            <v>VAR_fin</v>
          </cell>
          <cell r="D695" t="str">
            <v>BIO</v>
          </cell>
          <cell r="I695">
            <v>2.9941317879640867</v>
          </cell>
          <cell r="J695">
            <v>2.954349470459591</v>
          </cell>
          <cell r="K695">
            <v>2.8715335767205152</v>
          </cell>
        </row>
        <row r="696">
          <cell r="B696" t="str">
            <v>SCOM-CHPBIO</v>
          </cell>
          <cell r="C696" t="str">
            <v>VAR_fout</v>
          </cell>
          <cell r="D696" t="str">
            <v>SCOM_LTH_CHPBIO</v>
          </cell>
          <cell r="I696">
            <v>1.1649259893480313</v>
          </cell>
          <cell r="J696">
            <v>1.0059219223687661</v>
          </cell>
          <cell r="K696">
            <v>1.0059086508449866</v>
          </cell>
        </row>
        <row r="697">
          <cell r="B697" t="str">
            <v>SCOM-CHPBIO</v>
          </cell>
          <cell r="C697" t="str">
            <v>VAR_fout</v>
          </cell>
          <cell r="D697" t="str">
            <v>SCOM_KEV_BIO_ELC_CHP</v>
          </cell>
          <cell r="I697">
            <v>1.1059537474818835</v>
          </cell>
          <cell r="J697">
            <v>1.1059546391852546</v>
          </cell>
          <cell r="K697">
            <v>1.1059400478904771</v>
          </cell>
        </row>
        <row r="698">
          <cell r="B698" t="str">
            <v>SCOM-CHPBIO</v>
          </cell>
          <cell r="C698" t="str">
            <v>VAR_fin</v>
          </cell>
          <cell r="D698" t="str">
            <v>SBIO</v>
          </cell>
          <cell r="I698">
            <v>2.9941317879640867</v>
          </cell>
          <cell r="J698">
            <v>2.954349470459591</v>
          </cell>
          <cell r="K698">
            <v>2.8715335767205152</v>
          </cell>
        </row>
        <row r="699">
          <cell r="B699" t="str">
            <v>SCOM-CHPBIO</v>
          </cell>
          <cell r="C699" t="str">
            <v>VAR_ncap</v>
          </cell>
          <cell r="D699" t="str">
            <v>-</v>
          </cell>
          <cell r="I699">
            <v>4.4079093955320003E-2</v>
          </cell>
          <cell r="J699">
            <v>3.1154478723015602E-2</v>
          </cell>
          <cell r="K699">
            <v>4.3489762008274299E-2</v>
          </cell>
        </row>
        <row r="700">
          <cell r="B700" t="str">
            <v>SCOM-CHPBIO</v>
          </cell>
          <cell r="C700" t="str">
            <v>VAR_cap</v>
          </cell>
          <cell r="D700" t="str">
            <v>-</v>
          </cell>
          <cell r="I700">
            <v>8.4746943956856766E-2</v>
          </cell>
          <cell r="J700">
            <v>8.4745489098146234E-2</v>
          </cell>
          <cell r="K700">
            <v>8.4744580840394518E-2</v>
          </cell>
        </row>
        <row r="701">
          <cell r="B701" t="str">
            <v>SCOM-CHPHFC</v>
          </cell>
          <cell r="C701" t="str">
            <v>VAR_fout</v>
          </cell>
          <cell r="D701" t="str">
            <v>SCOM_KEV_HFC_ELC_CHP</v>
          </cell>
          <cell r="I701">
            <v>3.6300051362187832E-3</v>
          </cell>
          <cell r="J701">
            <v>5.3728913941543596E-3</v>
          </cell>
          <cell r="K701">
            <v>7.2619828539014853E-3</v>
          </cell>
        </row>
        <row r="702">
          <cell r="B702" t="str">
            <v>SCOM-CHPHFC</v>
          </cell>
          <cell r="C702" t="str">
            <v>VAR_fout</v>
          </cell>
          <cell r="D702" t="str">
            <v>SCOM_LTH_CHPHFC</v>
          </cell>
          <cell r="I702">
            <v>2.5087676868524055E-3</v>
          </cell>
          <cell r="J702">
            <v>3.382774291361957E-3</v>
          </cell>
          <cell r="K702">
            <v>4.1039972093272611E-3</v>
          </cell>
        </row>
        <row r="703">
          <cell r="B703" t="str">
            <v>SCOM-CHPHFC</v>
          </cell>
          <cell r="C703" t="str">
            <v>VAR_fin</v>
          </cell>
          <cell r="D703" t="str">
            <v>RSH2</v>
          </cell>
          <cell r="I703">
            <v>7.1527194802340601E-3</v>
          </cell>
          <cell r="J703">
            <v>9.9497988780636211E-3</v>
          </cell>
          <cell r="K703">
            <v>1.2629535398089527E-2</v>
          </cell>
        </row>
        <row r="704">
          <cell r="B704" t="str">
            <v>SCOM-CHPHFC</v>
          </cell>
          <cell r="C704" t="str">
            <v>VAR_ncap</v>
          </cell>
          <cell r="D704" t="str">
            <v>-</v>
          </cell>
          <cell r="I704">
            <v>2.4204963883786E-5</v>
          </cell>
          <cell r="J704">
            <v>1.5643253115549301E-4</v>
          </cell>
          <cell r="K704">
            <v>3.0357796693122202E-4</v>
          </cell>
        </row>
        <row r="705">
          <cell r="B705" t="str">
            <v>SCOM-CHPHFC</v>
          </cell>
          <cell r="C705" t="str">
            <v>VAR_cap</v>
          </cell>
          <cell r="D705" t="str">
            <v>-</v>
          </cell>
          <cell r="I705">
            <v>2.2336455794157547E-4</v>
          </cell>
          <cell r="J705">
            <v>3.165669874666016E-4</v>
          </cell>
          <cell r="K705">
            <v>4.2721740834748519E-4</v>
          </cell>
        </row>
        <row r="706">
          <cell r="B706" t="str">
            <v>RHES-EBAT</v>
          </cell>
          <cell r="C706" t="str">
            <v>VAR_fout</v>
          </cell>
          <cell r="D706" t="str">
            <v>RHES_ELC</v>
          </cell>
          <cell r="I706">
            <v>0.1120439953529862</v>
          </cell>
          <cell r="J706">
            <v>0.10943066826538822</v>
          </cell>
          <cell r="K706">
            <v>0.11428285145804332</v>
          </cell>
        </row>
        <row r="707">
          <cell r="B707" t="str">
            <v>RHES-EBAT</v>
          </cell>
          <cell r="C707" t="str">
            <v>VAR_fout</v>
          </cell>
          <cell r="D707" t="str">
            <v>AUX_RHES-EBAT_OUT</v>
          </cell>
          <cell r="I707">
            <v>0.11204399535298629</v>
          </cell>
          <cell r="J707">
            <v>0.10943066826538828</v>
          </cell>
          <cell r="K707">
            <v>0.11428285145804337</v>
          </cell>
        </row>
        <row r="708">
          <cell r="B708" t="str">
            <v>RHES-EBAT</v>
          </cell>
          <cell r="C708" t="str">
            <v>VAR_fin</v>
          </cell>
          <cell r="D708" t="str">
            <v>RHES_ELC</v>
          </cell>
          <cell r="I708">
            <v>0.12390757556047075</v>
          </cell>
          <cell r="J708">
            <v>0.12101626970597923</v>
          </cell>
          <cell r="K708">
            <v>0.12638212241429667</v>
          </cell>
        </row>
        <row r="709">
          <cell r="B709" t="str">
            <v>RHES-EBAT</v>
          </cell>
          <cell r="C709" t="str">
            <v>VAR_fin</v>
          </cell>
          <cell r="D709" t="str">
            <v>AUX_RHES-EBAT_IN</v>
          </cell>
          <cell r="I709">
            <v>0.12390757556047075</v>
          </cell>
          <cell r="J709">
            <v>0.12101626970597923</v>
          </cell>
          <cell r="K709">
            <v>0.12638212241429667</v>
          </cell>
        </row>
        <row r="710">
          <cell r="B710" t="str">
            <v>RHES-EBAT</v>
          </cell>
          <cell r="C710" t="str">
            <v>VAR_ncap</v>
          </cell>
          <cell r="D710" t="str">
            <v>-</v>
          </cell>
          <cell r="I710">
            <v>4.1033882226506599E-2</v>
          </cell>
          <cell r="J710">
            <v>3.6211423645090002E-2</v>
          </cell>
          <cell r="K710">
            <v>7.0794917241560104E-2</v>
          </cell>
        </row>
        <row r="711">
          <cell r="B711" t="str">
            <v>RHES-EBAT</v>
          </cell>
          <cell r="C711" t="str">
            <v>VAR_cap</v>
          </cell>
          <cell r="D711" t="str">
            <v>-</v>
          </cell>
          <cell r="I711">
            <v>7.3905233235118509E-2</v>
          </cell>
          <cell r="J711">
            <v>7.7330878514666204E-2</v>
          </cell>
          <cell r="K711">
            <v>9.615565473425873E-2</v>
          </cell>
        </row>
        <row r="712">
          <cell r="B712" t="str">
            <v>D-INGA</v>
          </cell>
          <cell r="C712" t="str">
            <v>VAR_fout</v>
          </cell>
          <cell r="D712" t="str">
            <v>CO2</v>
          </cell>
          <cell r="I712">
            <v>578.75885307667102</v>
          </cell>
          <cell r="J712">
            <v>135.29366610810001</v>
          </cell>
          <cell r="K712">
            <v>22.955005918126101</v>
          </cell>
        </row>
        <row r="713">
          <cell r="B713" t="str">
            <v>D-INGA</v>
          </cell>
          <cell r="C713" t="str">
            <v>VAR_fout</v>
          </cell>
          <cell r="D713" t="str">
            <v>IH2</v>
          </cell>
          <cell r="I713">
            <v>0.31678053938393574</v>
          </cell>
          <cell r="J713">
            <v>0.12622103739740048</v>
          </cell>
          <cell r="K713">
            <v>6.1674226136008869E-2</v>
          </cell>
        </row>
        <row r="714">
          <cell r="B714" t="str">
            <v>D-INGA</v>
          </cell>
          <cell r="C714" t="str">
            <v>VAR_fout</v>
          </cell>
          <cell r="D714" t="str">
            <v>INGA</v>
          </cell>
          <cell r="I714">
            <v>11.906001922532596</v>
          </cell>
          <cell r="J714">
            <v>4.0687536752034328</v>
          </cell>
          <cell r="K714">
            <v>2.0833910182730375</v>
          </cell>
        </row>
        <row r="715">
          <cell r="B715" t="str">
            <v>D-INGA</v>
          </cell>
          <cell r="C715" t="str">
            <v>VAR_fin</v>
          </cell>
          <cell r="D715" t="str">
            <v>NGA</v>
          </cell>
          <cell r="I715">
            <v>10.261681792139544</v>
          </cell>
          <cell r="J715">
            <v>2.3988238671648987</v>
          </cell>
          <cell r="K715">
            <v>0.40700365103060498</v>
          </cell>
        </row>
        <row r="716">
          <cell r="B716" t="str">
            <v>D-INGA</v>
          </cell>
          <cell r="C716" t="str">
            <v>VAR_fin</v>
          </cell>
          <cell r="D716" t="str">
            <v>BNGA</v>
          </cell>
          <cell r="I716">
            <v>1.6835664068710607</v>
          </cell>
          <cell r="J716">
            <v>1.683567343195095</v>
          </cell>
          <cell r="K716">
            <v>1.6835900111729574</v>
          </cell>
        </row>
        <row r="717">
          <cell r="B717" t="str">
            <v>D-INGA</v>
          </cell>
          <cell r="C717" t="str">
            <v>VAR_fin</v>
          </cell>
          <cell r="D717" t="str">
            <v>H2</v>
          </cell>
          <cell r="I717">
            <v>0.31677700588690511</v>
          </cell>
          <cell r="J717">
            <v>0.12622014003639412</v>
          </cell>
          <cell r="K717">
            <v>6.1674226136044327E-2</v>
          </cell>
        </row>
        <row r="718">
          <cell r="B718" t="str">
            <v>D-INGA</v>
          </cell>
          <cell r="C718" t="str">
            <v>VAR_ncap</v>
          </cell>
          <cell r="D718" t="str">
            <v>-</v>
          </cell>
          <cell r="I718">
            <v>2.0464576365880499E-6</v>
          </cell>
          <cell r="J718">
            <v>2.8903747992373099E-6</v>
          </cell>
          <cell r="K718">
            <v>5.3290725352718497E-6</v>
          </cell>
        </row>
        <row r="719">
          <cell r="B719" t="str">
            <v>D-INGA</v>
          </cell>
          <cell r="C719" t="str">
            <v>VAR_cap</v>
          </cell>
          <cell r="D719" t="str">
            <v>-</v>
          </cell>
          <cell r="I719">
            <v>1.9844902699054068</v>
          </cell>
          <cell r="J719">
            <v>1.9844931602802061</v>
          </cell>
          <cell r="K719">
            <v>1.0954745565325612</v>
          </cell>
        </row>
        <row r="720">
          <cell r="B720" t="str">
            <v>EWIND</v>
          </cell>
          <cell r="C720" t="str">
            <v>VAR_fout</v>
          </cell>
          <cell r="D720" t="str">
            <v>ELC35</v>
          </cell>
          <cell r="I720">
            <v>0.88048814439042689</v>
          </cell>
          <cell r="J720">
            <v>0.88052878257614553</v>
          </cell>
          <cell r="K720">
            <v>0.88053843110220575</v>
          </cell>
        </row>
        <row r="721">
          <cell r="B721" t="str">
            <v>EWIND</v>
          </cell>
          <cell r="C721" t="str">
            <v>VAR_fin</v>
          </cell>
          <cell r="D721" t="str">
            <v>WND</v>
          </cell>
          <cell r="I721">
            <v>0.88048814439042689</v>
          </cell>
          <cell r="J721">
            <v>0.88052878257614553</v>
          </cell>
          <cell r="K721">
            <v>0.88053843110220575</v>
          </cell>
        </row>
        <row r="722">
          <cell r="B722" t="str">
            <v>EWIND</v>
          </cell>
          <cell r="C722" t="str">
            <v>VAR_ncap</v>
          </cell>
          <cell r="D722" t="str">
            <v>-</v>
          </cell>
          <cell r="I722">
            <v>2.2853877601955799E-2</v>
          </cell>
          <cell r="J722">
            <v>4.3171138044276502E-6</v>
          </cell>
          <cell r="K722">
            <v>0.12628690301823101</v>
          </cell>
        </row>
        <row r="723">
          <cell r="B723" t="str">
            <v>EWIND</v>
          </cell>
          <cell r="C723" t="str">
            <v>VAR_cap</v>
          </cell>
          <cell r="D723" t="str">
            <v>-</v>
          </cell>
          <cell r="I723">
            <v>0.1463901464016768</v>
          </cell>
          <cell r="J723">
            <v>0.14639715443610468</v>
          </cell>
          <cell r="K723">
            <v>0.14639910048903801</v>
          </cell>
        </row>
        <row r="724">
          <cell r="B724" t="str">
            <v>D-SPLT</v>
          </cell>
          <cell r="C724" t="str">
            <v>VAR_fout</v>
          </cell>
          <cell r="D724" t="str">
            <v>SPLT</v>
          </cell>
          <cell r="I724">
            <v>0.19825624704017128</v>
          </cell>
          <cell r="J724">
            <v>0.12674220132963812</v>
          </cell>
          <cell r="K724">
            <v>4.025252698485942E-2</v>
          </cell>
        </row>
        <row r="725">
          <cell r="B725" t="str">
            <v>D-SPLT</v>
          </cell>
          <cell r="C725" t="str">
            <v>VAR_fin</v>
          </cell>
          <cell r="D725" t="str">
            <v>PLT</v>
          </cell>
          <cell r="I725">
            <v>0.19825624704017128</v>
          </cell>
          <cell r="J725">
            <v>0.12674220132963812</v>
          </cell>
          <cell r="K725">
            <v>4.025252698485942E-2</v>
          </cell>
        </row>
        <row r="726">
          <cell r="B726" t="str">
            <v>RHES-ESOLPV</v>
          </cell>
          <cell r="C726" t="str">
            <v>VAR_fout</v>
          </cell>
          <cell r="D726" t="str">
            <v>RHES_SOL_ELC</v>
          </cell>
          <cell r="I726">
            <v>4.6110706870880698</v>
          </cell>
          <cell r="J726">
            <v>4.8944593875739004</v>
          </cell>
          <cell r="K726">
            <v>5.5145571532300357</v>
          </cell>
        </row>
        <row r="727">
          <cell r="B727" t="str">
            <v>RHES-ESOLPV</v>
          </cell>
          <cell r="C727" t="str">
            <v>VAR_fin</v>
          </cell>
          <cell r="D727" t="str">
            <v>SOL</v>
          </cell>
          <cell r="I727">
            <v>4.6110706870880698</v>
          </cell>
          <cell r="J727">
            <v>4.8944593875739004</v>
          </cell>
          <cell r="K727">
            <v>5.5145571532300357</v>
          </cell>
        </row>
        <row r="728">
          <cell r="B728" t="str">
            <v>RHES-ESOLPV</v>
          </cell>
          <cell r="C728" t="str">
            <v>VAR_fin</v>
          </cell>
          <cell r="D728" t="str">
            <v>SOLPVC</v>
          </cell>
          <cell r="I728">
            <v>4.6110706870880698</v>
          </cell>
          <cell r="J728">
            <v>4.8944593875739004</v>
          </cell>
          <cell r="K728">
            <v>5.5145571532300304</v>
          </cell>
        </row>
        <row r="729">
          <cell r="B729" t="str">
            <v>RHES-ESOLPV</v>
          </cell>
          <cell r="C729" t="str">
            <v>VAR_ncap</v>
          </cell>
          <cell r="D729" t="str">
            <v>-</v>
          </cell>
          <cell r="I729">
            <v>0.29984518915949199</v>
          </cell>
          <cell r="J729">
            <v>0.66479999655392896</v>
          </cell>
          <cell r="K729">
            <v>0.68595148148607499</v>
          </cell>
        </row>
        <row r="730">
          <cell r="B730" t="str">
            <v>RHES-ESOLPV</v>
          </cell>
          <cell r="C730" t="str">
            <v>VAR_cap</v>
          </cell>
          <cell r="D730" t="str">
            <v>-</v>
          </cell>
          <cell r="I730">
            <v>1.329237560840915</v>
          </cell>
          <cell r="J730">
            <v>1.4109303363930841</v>
          </cell>
          <cell r="K730">
            <v>1.58968627579238</v>
          </cell>
        </row>
        <row r="731">
          <cell r="B731" t="str">
            <v>SUP_DAC</v>
          </cell>
          <cell r="C731" t="str">
            <v>VAR_fout</v>
          </cell>
          <cell r="D731" t="str">
            <v>CO2_O</v>
          </cell>
          <cell r="K731">
            <v>1.9133756580692579E-2</v>
          </cell>
        </row>
        <row r="732">
          <cell r="B732" t="str">
            <v>SUP_DAC</v>
          </cell>
          <cell r="C732" t="str">
            <v>VAR_fout</v>
          </cell>
          <cell r="D732" t="str">
            <v>CO2</v>
          </cell>
          <cell r="K732">
            <v>-1.91337565806926E-2</v>
          </cell>
        </row>
        <row r="733">
          <cell r="B733" t="str">
            <v>SUP_DAC</v>
          </cell>
          <cell r="C733" t="str">
            <v>VAR_fin</v>
          </cell>
          <cell r="D733" t="str">
            <v>CHEAT</v>
          </cell>
          <cell r="K733">
            <v>1.2195417309136519E-4</v>
          </cell>
        </row>
        <row r="734">
          <cell r="B734" t="str">
            <v>SUP_DAC</v>
          </cell>
          <cell r="C734" t="str">
            <v>VAR_fin</v>
          </cell>
          <cell r="D734" t="str">
            <v>CELC</v>
          </cell>
          <cell r="K734">
            <v>1.741171848843026E-5</v>
          </cell>
        </row>
        <row r="735">
          <cell r="B735" t="str">
            <v>SUP_DAC</v>
          </cell>
          <cell r="C735" t="str">
            <v>VAR_ncap</v>
          </cell>
          <cell r="D735" t="str">
            <v>-</v>
          </cell>
          <cell r="J735">
            <v>1.86513937072677E-5</v>
          </cell>
          <cell r="K735">
            <v>2.8327414846858298E-3</v>
          </cell>
        </row>
        <row r="736">
          <cell r="B736" t="str">
            <v>SUP_DAC</v>
          </cell>
          <cell r="C736" t="str">
            <v>VAR_cap</v>
          </cell>
          <cell r="D736" t="str">
            <v>-</v>
          </cell>
          <cell r="J736">
            <v>1.86513937072677E-5</v>
          </cell>
          <cell r="K736">
            <v>2.8413530864609751E-3</v>
          </cell>
        </row>
        <row r="737">
          <cell r="B737" t="str">
            <v>EHYD-DAM10</v>
          </cell>
          <cell r="C737" t="str">
            <v>VAR_fout</v>
          </cell>
          <cell r="D737" t="str">
            <v>ELC</v>
          </cell>
          <cell r="I737">
            <v>0.71432025983616831</v>
          </cell>
          <cell r="J737">
            <v>0.7282664546250871</v>
          </cell>
          <cell r="K737">
            <v>0.73429676229157759</v>
          </cell>
        </row>
        <row r="738">
          <cell r="B738" t="str">
            <v>EHYD-DAM10</v>
          </cell>
          <cell r="C738" t="str">
            <v>VAR_fin</v>
          </cell>
          <cell r="D738" t="str">
            <v>HYDD</v>
          </cell>
          <cell r="I738">
            <v>0.71432025983616831</v>
          </cell>
          <cell r="J738">
            <v>0.7282664546250871</v>
          </cell>
          <cell r="K738">
            <v>0.73429676229157759</v>
          </cell>
        </row>
        <row r="739">
          <cell r="B739" t="str">
            <v>EHYD-DAM10</v>
          </cell>
          <cell r="C739" t="str">
            <v>VAR_ncap</v>
          </cell>
          <cell r="D739" t="str">
            <v>-</v>
          </cell>
          <cell r="I739">
            <v>7.1699663721143807E-5</v>
          </cell>
          <cell r="J739">
            <v>1.85262739273285E-6</v>
          </cell>
          <cell r="K739">
            <v>1.1044588526158699E-5</v>
          </cell>
        </row>
        <row r="740">
          <cell r="B740" t="str">
            <v>EHYD-DAM10</v>
          </cell>
          <cell r="C740" t="str">
            <v>VAR_cap</v>
          </cell>
          <cell r="D740" t="str">
            <v>-</v>
          </cell>
          <cell r="I740">
            <v>7.5299138774173893E-2</v>
          </cell>
          <cell r="J740">
            <v>7.5300991401566694E-2</v>
          </cell>
          <cell r="K740">
            <v>7.5312035990092799E-2</v>
          </cell>
        </row>
        <row r="741">
          <cell r="B741" t="str">
            <v>DH-EBAT</v>
          </cell>
          <cell r="C741" t="str">
            <v>VAR_fout</v>
          </cell>
          <cell r="D741" t="str">
            <v>ELC35</v>
          </cell>
          <cell r="I741">
            <v>3.7874707112608305E-2</v>
          </cell>
          <cell r="J741">
            <v>3.0693026980531623E-2</v>
          </cell>
          <cell r="K741">
            <v>6.4435367561274728E-2</v>
          </cell>
        </row>
        <row r="742">
          <cell r="B742" t="str">
            <v>DH-EBAT</v>
          </cell>
          <cell r="C742" t="str">
            <v>VAR_fout</v>
          </cell>
          <cell r="D742" t="str">
            <v>AUX_DH-EBAT_OUT</v>
          </cell>
          <cell r="I742">
            <v>3.7874707112608298E-2</v>
          </cell>
          <cell r="J742">
            <v>3.0693026980531609E-2</v>
          </cell>
          <cell r="K742">
            <v>6.4435367561274715E-2</v>
          </cell>
        </row>
        <row r="743">
          <cell r="B743" t="str">
            <v>DH-EBAT</v>
          </cell>
          <cell r="C743" t="str">
            <v>VAR_fin</v>
          </cell>
          <cell r="D743" t="str">
            <v>ELC35</v>
          </cell>
          <cell r="I743">
            <v>4.2355339914410289E-2</v>
          </cell>
          <cell r="J743">
            <v>3.4323786426794532E-2</v>
          </cell>
          <cell r="K743">
            <v>7.2053844256013064E-2</v>
          </cell>
        </row>
        <row r="744">
          <cell r="B744" t="str">
            <v>DH-EBAT</v>
          </cell>
          <cell r="C744" t="str">
            <v>VAR_fin</v>
          </cell>
          <cell r="D744" t="str">
            <v>AUX_DH-EBAT_IN</v>
          </cell>
          <cell r="I744">
            <v>4.2355339914410289E-2</v>
          </cell>
          <cell r="J744">
            <v>3.4323786426794532E-2</v>
          </cell>
          <cell r="K744">
            <v>7.2053844256013064E-2</v>
          </cell>
        </row>
        <row r="745">
          <cell r="B745" t="str">
            <v>DH-EBAT</v>
          </cell>
          <cell r="C745" t="str">
            <v>VAR_ncap</v>
          </cell>
          <cell r="D745" t="str">
            <v>-</v>
          </cell>
          <cell r="I745">
            <v>2.9642669283744998E-3</v>
          </cell>
          <cell r="J745">
            <v>3.7145941096764202E-3</v>
          </cell>
          <cell r="K745">
            <v>2.10200399783598E-2</v>
          </cell>
        </row>
        <row r="746">
          <cell r="B746" t="str">
            <v>DH-EBAT</v>
          </cell>
          <cell r="C746" t="str">
            <v>VAR_cap</v>
          </cell>
          <cell r="D746" t="str">
            <v>-</v>
          </cell>
          <cell r="I746">
            <v>6.9076027818043475E-3</v>
          </cell>
          <cell r="J746">
            <v>7.0894026132600563E-3</v>
          </cell>
          <cell r="K746">
            <v>2.3402285633168669E-2</v>
          </cell>
        </row>
        <row r="747">
          <cell r="B747" t="str">
            <v>RHEM-EBAT</v>
          </cell>
          <cell r="C747" t="str">
            <v>VAR_fout</v>
          </cell>
          <cell r="D747" t="str">
            <v>RHEM_ELC</v>
          </cell>
          <cell r="I747">
            <v>5.0050168910690501E-2</v>
          </cell>
          <cell r="J747">
            <v>4.848383848654246E-2</v>
          </cell>
          <cell r="K747">
            <v>4.9581895646318812E-2</v>
          </cell>
        </row>
        <row r="748">
          <cell r="B748" t="str">
            <v>RHEM-EBAT</v>
          </cell>
          <cell r="C748" t="str">
            <v>VAR_fout</v>
          </cell>
          <cell r="D748" t="str">
            <v>AUX_RHEM-EBAT_OUT</v>
          </cell>
          <cell r="I748">
            <v>5.0050168910690529E-2</v>
          </cell>
          <cell r="J748">
            <v>4.8483838486542523E-2</v>
          </cell>
          <cell r="K748">
            <v>4.958189564631884E-2</v>
          </cell>
        </row>
        <row r="749">
          <cell r="B749" t="str">
            <v>RHEM-EBAT</v>
          </cell>
          <cell r="C749" t="str">
            <v>VAR_fin</v>
          </cell>
          <cell r="D749" t="str">
            <v>RHEM_ELC</v>
          </cell>
          <cell r="I749">
            <v>5.535078530617589E-2</v>
          </cell>
          <cell r="J749">
            <v>5.3617316203699188E-2</v>
          </cell>
          <cell r="K749">
            <v>5.4831613598145347E-2</v>
          </cell>
        </row>
        <row r="750">
          <cell r="B750" t="str">
            <v>RHEM-EBAT</v>
          </cell>
          <cell r="C750" t="str">
            <v>VAR_fin</v>
          </cell>
          <cell r="D750" t="str">
            <v>AUX_RHEM-EBAT_IN</v>
          </cell>
          <cell r="I750">
            <v>5.535078530617589E-2</v>
          </cell>
          <cell r="J750">
            <v>5.3617316203699188E-2</v>
          </cell>
          <cell r="K750">
            <v>5.4831613598145347E-2</v>
          </cell>
        </row>
        <row r="751">
          <cell r="B751" t="str">
            <v>RHEM-EBAT</v>
          </cell>
          <cell r="C751" t="str">
            <v>VAR_ncap</v>
          </cell>
          <cell r="D751" t="str">
            <v>-</v>
          </cell>
          <cell r="I751">
            <v>1.6509279586747999E-2</v>
          </cell>
          <cell r="J751">
            <v>1.0284815307405101E-2</v>
          </cell>
          <cell r="K751">
            <v>2.3114493189877801E-2</v>
          </cell>
        </row>
        <row r="752">
          <cell r="B752" t="str">
            <v>RHEM-EBAT</v>
          </cell>
          <cell r="C752" t="str">
            <v>VAR_cap</v>
          </cell>
          <cell r="D752" t="str">
            <v>-</v>
          </cell>
          <cell r="I752">
            <v>2.656065461110663E-2</v>
          </cell>
          <cell r="J752">
            <v>2.6911733927279819E-2</v>
          </cell>
          <cell r="K752">
            <v>3.1169110341060593E-2</v>
          </cell>
        </row>
        <row r="753">
          <cell r="B753" t="str">
            <v>EHYD-PUM15</v>
          </cell>
          <cell r="C753" t="str">
            <v>VAR_fout</v>
          </cell>
          <cell r="D753" t="str">
            <v>ELC</v>
          </cell>
          <cell r="I753">
            <v>3.6681516031684836E-3</v>
          </cell>
          <cell r="J753">
            <v>3.4350975271722674E-3</v>
          </cell>
          <cell r="K753">
            <v>3.1632716858350845E-3</v>
          </cell>
        </row>
        <row r="754">
          <cell r="B754" t="str">
            <v>EHYD-PUM15</v>
          </cell>
          <cell r="C754" t="str">
            <v>VAR_fout</v>
          </cell>
          <cell r="D754" t="str">
            <v>AUX_PUMP_OUT</v>
          </cell>
          <cell r="I754">
            <v>3.6681516031684836E-3</v>
          </cell>
          <cell r="J754">
            <v>3.4350975271722674E-3</v>
          </cell>
          <cell r="K754">
            <v>3.1632716858350845E-3</v>
          </cell>
        </row>
        <row r="755">
          <cell r="B755" t="str">
            <v>EHYD-PUM15</v>
          </cell>
          <cell r="C755" t="str">
            <v>VAR_fin</v>
          </cell>
          <cell r="D755" t="str">
            <v>AUX_PUMP_IN</v>
          </cell>
          <cell r="I755">
            <v>4.5845684207738097E-3</v>
          </cell>
          <cell r="J755">
            <v>4.2932508258174953E-3</v>
          </cell>
          <cell r="K755">
            <v>3.9534461731112365E-3</v>
          </cell>
        </row>
        <row r="756">
          <cell r="B756" t="str">
            <v>EHYD-PUM15</v>
          </cell>
          <cell r="C756" t="str">
            <v>VAR_fin</v>
          </cell>
          <cell r="D756" t="str">
            <v>ELC</v>
          </cell>
          <cell r="I756">
            <v>4.5845684207738097E-3</v>
          </cell>
          <cell r="J756">
            <v>4.2932508258174953E-3</v>
          </cell>
          <cell r="K756">
            <v>3.9534461731112365E-3</v>
          </cell>
        </row>
        <row r="757">
          <cell r="B757" t="str">
            <v>EHYD-PUM15</v>
          </cell>
          <cell r="C757" t="str">
            <v>VAR_ncap</v>
          </cell>
          <cell r="D757" t="str">
            <v>-</v>
          </cell>
          <cell r="I757">
            <v>6.7365184978436305E-8</v>
          </cell>
          <cell r="J757">
            <v>1.1000266102246099E-7</v>
          </cell>
          <cell r="K757">
            <v>3.7699397799880602E-7</v>
          </cell>
        </row>
        <row r="758">
          <cell r="B758" t="str">
            <v>EHYD-PUM15</v>
          </cell>
          <cell r="C758" t="str">
            <v>VAR_cap</v>
          </cell>
          <cell r="D758" t="str">
            <v>-</v>
          </cell>
          <cell r="I758">
            <v>3.1306739701807601E-4</v>
          </cell>
          <cell r="J758">
            <v>3.1311434791457299E-4</v>
          </cell>
          <cell r="K758">
            <v>3.1333061996025399E-4</v>
          </cell>
        </row>
        <row r="759">
          <cell r="B759" t="str">
            <v>D-EWST</v>
          </cell>
          <cell r="C759" t="str">
            <v>VAR_fout</v>
          </cell>
          <cell r="D759" t="str">
            <v>CO2</v>
          </cell>
          <cell r="I759">
            <v>2240.4532650405599</v>
          </cell>
          <cell r="J759">
            <v>2266.0985955903702</v>
          </cell>
          <cell r="K759">
            <v>2340.5630854210799</v>
          </cell>
        </row>
        <row r="760">
          <cell r="B760" t="str">
            <v>D-EWST</v>
          </cell>
          <cell r="C760" t="str">
            <v>VAR_fout</v>
          </cell>
          <cell r="D760" t="str">
            <v>EWST</v>
          </cell>
          <cell r="I760">
            <v>48.285643818629531</v>
          </cell>
          <cell r="J760">
            <v>48.838340579379732</v>
          </cell>
          <cell r="K760">
            <v>50.443169944419793</v>
          </cell>
        </row>
        <row r="761">
          <cell r="B761" t="str">
            <v>D-EWST</v>
          </cell>
          <cell r="C761" t="str">
            <v>VAR_fin</v>
          </cell>
          <cell r="D761" t="str">
            <v>WSTNREN</v>
          </cell>
          <cell r="I761">
            <v>24.142815356040472</v>
          </cell>
          <cell r="J761">
            <v>24.419165900758308</v>
          </cell>
          <cell r="K761">
            <v>25.2215849722099</v>
          </cell>
        </row>
        <row r="762">
          <cell r="B762" t="str">
            <v>D-EWST</v>
          </cell>
          <cell r="C762" t="str">
            <v>VAR_fin</v>
          </cell>
          <cell r="D762" t="str">
            <v>WSTREN</v>
          </cell>
          <cell r="I762">
            <v>24.142815356040472</v>
          </cell>
          <cell r="J762">
            <v>24.419165900758308</v>
          </cell>
          <cell r="K762">
            <v>25.2215849722099</v>
          </cell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2050</v>
          </cell>
          <cell r="E3"/>
        </row>
        <row r="4">
          <cell r="A4" t="str">
            <v>CO2_O</v>
          </cell>
          <cell r="B4" t="str">
            <v>VAR_fout</v>
          </cell>
          <cell r="C4" t="str">
            <v>EWSTINCCS</v>
          </cell>
          <cell r="D4">
            <v>2196.3259520775382</v>
          </cell>
        </row>
        <row r="5">
          <cell r="A5" t="str">
            <v>CO2_O</v>
          </cell>
          <cell r="B5" t="str">
            <v>VAR_fout</v>
          </cell>
          <cell r="C5" t="str">
            <v>ENGA-CCS</v>
          </cell>
          <cell r="D5">
            <v>0.44931628152396957</v>
          </cell>
        </row>
        <row r="6">
          <cell r="A6" t="str">
            <v>CO2_O</v>
          </cell>
          <cell r="B6" t="str">
            <v>VAR_fout</v>
          </cell>
          <cell r="C6" t="str">
            <v>CHPWSTCCS</v>
          </cell>
          <cell r="D6">
            <v>2095.6179116622393</v>
          </cell>
        </row>
        <row r="7">
          <cell r="A7" t="str">
            <v>CO2_O</v>
          </cell>
          <cell r="B7" t="str">
            <v>VAR_fout</v>
          </cell>
          <cell r="C7" t="str">
            <v>ITOT-CHPWSTCCS</v>
          </cell>
          <cell r="D7">
            <v>291.8257439722413</v>
          </cell>
        </row>
        <row r="8">
          <cell r="A8" t="str">
            <v>CO2_O</v>
          </cell>
          <cell r="B8" t="str">
            <v>VAR_fout</v>
          </cell>
          <cell r="C8" t="str">
            <v>ITOT-CHPNGACCS</v>
          </cell>
          <cell r="D8">
            <v>0.25225847199927043</v>
          </cell>
        </row>
        <row r="9">
          <cell r="A9" t="str">
            <v>CO2_O</v>
          </cell>
          <cell r="B9" t="str">
            <v>VAR_fout</v>
          </cell>
          <cell r="C9" t="str">
            <v>ITOT-CHPWODCCS</v>
          </cell>
          <cell r="D9">
            <v>383.67304349649214</v>
          </cell>
        </row>
        <row r="10">
          <cell r="A10" t="str">
            <v>CO2_O</v>
          </cell>
          <cell r="B10" t="str">
            <v>VAR_fout</v>
          </cell>
          <cell r="C10" t="str">
            <v>EWOD-CCS</v>
          </cell>
          <cell r="D10">
            <v>9.9807354573803568</v>
          </cell>
        </row>
        <row r="11">
          <cell r="A11" t="str">
            <v>CO2_O</v>
          </cell>
          <cell r="B11" t="str">
            <v>VAR_fout</v>
          </cell>
          <cell r="C11" t="str">
            <v>ITOT-PROCESSCO2CCS</v>
          </cell>
          <cell r="D11">
            <v>1016.157014374494</v>
          </cell>
        </row>
        <row r="12">
          <cell r="A12" t="str">
            <v>CO2_O</v>
          </cell>
          <cell r="B12" t="str">
            <v>VAR_fout</v>
          </cell>
          <cell r="C12" t="str">
            <v>SUP_DAC</v>
          </cell>
          <cell r="D12">
            <v>1.9133756580692579E-2</v>
          </cell>
        </row>
        <row r="13">
          <cell r="A13" t="str">
            <v>CO2_O</v>
          </cell>
          <cell r="B13" t="str">
            <v>VAR_fin</v>
          </cell>
          <cell r="C13" t="str">
            <v>D-CO2_O</v>
          </cell>
          <cell r="D13">
            <v>5994.2297389200048</v>
          </cell>
        </row>
        <row r="14">
          <cell r="A14" t="str">
            <v>CO2_X</v>
          </cell>
          <cell r="B14" t="str">
            <v>VAR_fout</v>
          </cell>
          <cell r="C14" t="str">
            <v>D-CO2_O</v>
          </cell>
          <cell r="D14">
            <v>5994.2297389200048</v>
          </cell>
        </row>
        <row r="15">
          <cell r="A15" t="str">
            <v>CO2_X</v>
          </cell>
          <cell r="B15" t="str">
            <v>VAR_fin</v>
          </cell>
          <cell r="C15" t="str">
            <v>CO2EXP</v>
          </cell>
          <cell r="D15">
            <v>5994.2297389200048</v>
          </cell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16.8152433036073</v>
          </cell>
          <cell r="I4">
            <v>28.2266347507341</v>
          </cell>
          <cell r="J4">
            <v>55.702873398173402</v>
          </cell>
        </row>
        <row r="5">
          <cell r="A5" t="str">
            <v>EXPELC_DE</v>
          </cell>
          <cell r="C5" t="str">
            <v>ELC_E-DE</v>
          </cell>
          <cell r="H5">
            <v>1.4889855545761397E-3</v>
          </cell>
          <cell r="I5">
            <v>1.925482389747024E-3</v>
          </cell>
          <cell r="J5">
            <v>5.2974830788920125E-4</v>
          </cell>
        </row>
        <row r="6">
          <cell r="A6" t="str">
            <v>IMPDSL</v>
          </cell>
          <cell r="C6" t="str">
            <v>DSL</v>
          </cell>
          <cell r="H6">
            <v>38.469152711896932</v>
          </cell>
          <cell r="I6">
            <v>29.590288181379915</v>
          </cell>
        </row>
        <row r="7">
          <cell r="A7" t="str">
            <v>IMPELC_AT</v>
          </cell>
          <cell r="C7" t="str">
            <v>ELC_I-AT</v>
          </cell>
          <cell r="H7">
            <v>5.2381301448165098</v>
          </cell>
          <cell r="I7">
            <v>4.3674885393114566</v>
          </cell>
          <cell r="J7">
            <v>4.9911091726128101</v>
          </cell>
        </row>
        <row r="8">
          <cell r="A8" t="str">
            <v>IMPELC_AT</v>
          </cell>
          <cell r="C8" t="str">
            <v>ELCS</v>
          </cell>
          <cell r="H8">
            <v>5.2381301448165098</v>
          </cell>
          <cell r="I8">
            <v>4.3674885393114566</v>
          </cell>
          <cell r="J8">
            <v>4.9911091726128101</v>
          </cell>
        </row>
        <row r="9">
          <cell r="A9" t="str">
            <v>IMPELC_FR</v>
          </cell>
          <cell r="C9" t="str">
            <v>ELC_I-FR</v>
          </cell>
          <cell r="H9">
            <v>16.056723670083191</v>
          </cell>
          <cell r="I9">
            <v>9.5922320217122614</v>
          </cell>
          <cell r="J9">
            <v>9.5764718717422941</v>
          </cell>
        </row>
        <row r="10">
          <cell r="A10" t="str">
            <v>IMPELC_FR</v>
          </cell>
          <cell r="C10" t="str">
            <v>ELCS</v>
          </cell>
          <cell r="H10">
            <v>16.056723670083191</v>
          </cell>
          <cell r="I10">
            <v>9.5922320217122614</v>
          </cell>
          <cell r="J10">
            <v>9.5764718717422941</v>
          </cell>
        </row>
        <row r="11">
          <cell r="A11" t="str">
            <v>RNWHYDR1</v>
          </cell>
          <cell r="C11" t="str">
            <v>HYDR</v>
          </cell>
          <cell r="H11">
            <v>63.394822178807189</v>
          </cell>
          <cell r="I11">
            <v>62.8318693731525</v>
          </cell>
          <cell r="J11">
            <v>60.662379421265896</v>
          </cell>
        </row>
        <row r="12">
          <cell r="A12" t="str">
            <v>EXPELC_IT</v>
          </cell>
          <cell r="C12" t="str">
            <v>ELC_E-IT</v>
          </cell>
          <cell r="H12">
            <v>42.745089832292635</v>
          </cell>
          <cell r="I12">
            <v>23.712707156950525</v>
          </cell>
          <cell r="J12">
            <v>15.757404010960775</v>
          </cell>
        </row>
        <row r="13">
          <cell r="A13" t="str">
            <v>IMPLNG</v>
          </cell>
          <cell r="C13" t="str">
            <v>LBIO</v>
          </cell>
          <cell r="H13">
            <v>2.1333102366393</v>
          </cell>
          <cell r="I13">
            <v>2.1347574547780859</v>
          </cell>
          <cell r="J13">
            <v>1.9291558313305543</v>
          </cell>
        </row>
        <row r="14">
          <cell r="A14" t="str">
            <v>IMPLNG</v>
          </cell>
          <cell r="C14" t="str">
            <v>LNGA</v>
          </cell>
          <cell r="H14">
            <v>2.3886138430809509E-3</v>
          </cell>
          <cell r="I14">
            <v>9.4732484970036003E-4</v>
          </cell>
          <cell r="J14">
            <v>2.132084695273719E-3</v>
          </cell>
        </row>
        <row r="15">
          <cell r="A15" t="str">
            <v>IMPURN1</v>
          </cell>
          <cell r="C15" t="str">
            <v>URN</v>
          </cell>
          <cell r="H15">
            <v>190.44590840650181</v>
          </cell>
          <cell r="I15">
            <v>190.44604261423163</v>
          </cell>
          <cell r="J15">
            <v>102.29636966984219</v>
          </cell>
        </row>
        <row r="16">
          <cell r="A16" t="str">
            <v>EXPELC_AT</v>
          </cell>
          <cell r="C16" t="str">
            <v>ELC_E-AT</v>
          </cell>
          <cell r="H16">
            <v>3.7583471699095052E-4</v>
          </cell>
          <cell r="I16">
            <v>3.5912309413113906E-4</v>
          </cell>
          <cell r="J16">
            <v>2.1205663450349525E-4</v>
          </cell>
        </row>
        <row r="17">
          <cell r="A17" t="str">
            <v>EXPELC_FR</v>
          </cell>
          <cell r="C17" t="str">
            <v>ELC_E-FR</v>
          </cell>
          <cell r="H17">
            <v>1.1064240462938201E-3</v>
          </cell>
          <cell r="I17">
            <v>1.9458115383856178E-3</v>
          </cell>
          <cell r="J17">
            <v>1.267430132833281E-3</v>
          </cell>
        </row>
        <row r="18">
          <cell r="A18" t="str">
            <v>RNWWND1</v>
          </cell>
          <cell r="C18" t="str">
            <v>WND</v>
          </cell>
          <cell r="H18">
            <v>0.87423951153055013</v>
          </cell>
          <cell r="I18">
            <v>0.87477409525004324</v>
          </cell>
          <cell r="J18">
            <v>0.87512817758734529</v>
          </cell>
        </row>
        <row r="19">
          <cell r="A19" t="str">
            <v>RNWWND2</v>
          </cell>
          <cell r="C19" t="str">
            <v>WND</v>
          </cell>
          <cell r="H19">
            <v>2.4482173149494579E-3</v>
          </cell>
          <cell r="I19">
            <v>2.4556330378245833E-3</v>
          </cell>
          <cell r="J19">
            <v>2.6690538023486565E-3</v>
          </cell>
        </row>
        <row r="20">
          <cell r="A20" t="str">
            <v>RNWMNR1</v>
          </cell>
          <cell r="C20" t="str">
            <v>MNR</v>
          </cell>
          <cell r="H20">
            <v>12.540440276752715</v>
          </cell>
          <cell r="I20">
            <v>12.540427693839337</v>
          </cell>
          <cell r="J20">
            <v>12.540425634399885</v>
          </cell>
        </row>
        <row r="21">
          <cell r="A21" t="str">
            <v>RNWWND3</v>
          </cell>
          <cell r="C21" t="str">
            <v>WND</v>
          </cell>
          <cell r="H21">
            <v>1.7914852705376049E-3</v>
          </cell>
          <cell r="I21">
            <v>1.6560602450368046E-3</v>
          </cell>
          <cell r="J21">
            <v>1.4932378310588803E-3</v>
          </cell>
        </row>
        <row r="22">
          <cell r="A22" t="str">
            <v>RNWMNR2</v>
          </cell>
          <cell r="C22" t="str">
            <v>MNR</v>
          </cell>
          <cell r="I22">
            <v>2.0900681420330796</v>
          </cell>
          <cell r="J22">
            <v>6.2702001118319091</v>
          </cell>
        </row>
        <row r="23">
          <cell r="A23" t="str">
            <v>RNWWND4</v>
          </cell>
          <cell r="C23" t="str">
            <v>WND</v>
          </cell>
          <cell r="H23">
            <v>1.1888112844128356E-3</v>
          </cell>
          <cell r="I23">
            <v>9.8311095168874488E-4</v>
          </cell>
          <cell r="J23">
            <v>7.6803963874257585E-4</v>
          </cell>
        </row>
        <row r="24">
          <cell r="A24" t="str">
            <v>RNWMNR3</v>
          </cell>
          <cell r="C24" t="str">
            <v>MNR</v>
          </cell>
          <cell r="I24">
            <v>2.3559130253758021</v>
          </cell>
          <cell r="J24">
            <v>1.7714288855503405E-3</v>
          </cell>
        </row>
        <row r="25">
          <cell r="A25" t="str">
            <v>IMPLFO1</v>
          </cell>
          <cell r="C25" t="str">
            <v>LFO</v>
          </cell>
          <cell r="H25">
            <v>26.241750718467024</v>
          </cell>
          <cell r="I25">
            <v>8.4031908427171853</v>
          </cell>
        </row>
        <row r="26">
          <cell r="A26" t="str">
            <v>RNWWND5</v>
          </cell>
          <cell r="C26" t="str">
            <v>WND</v>
          </cell>
          <cell r="H26">
            <v>8.3595468027316763E-4</v>
          </cell>
          <cell r="I26">
            <v>6.7148570731498641E-4</v>
          </cell>
          <cell r="J26">
            <v>4.9210202856616713E-4</v>
          </cell>
        </row>
        <row r="27">
          <cell r="A27" t="str">
            <v>IMPBNGA</v>
          </cell>
          <cell r="C27" t="str">
            <v>BIO</v>
          </cell>
          <cell r="H27">
            <v>3.7951276021033444</v>
          </cell>
          <cell r="I27">
            <v>1.586253622828055</v>
          </cell>
          <cell r="J27">
            <v>2.6995012921843258E-3</v>
          </cell>
        </row>
        <row r="28">
          <cell r="A28" t="str">
            <v>IMPKERintl</v>
          </cell>
          <cell r="C28" t="str">
            <v>KERintl</v>
          </cell>
          <cell r="H28">
            <v>67.260967431773807</v>
          </cell>
          <cell r="I28">
            <v>54.792877025317999</v>
          </cell>
          <cell r="J28">
            <v>23.872661584347401</v>
          </cell>
        </row>
        <row r="29">
          <cell r="A29" t="str">
            <v>IMPGSL</v>
          </cell>
          <cell r="C29" t="str">
            <v>GSL</v>
          </cell>
          <cell r="H29">
            <v>25.22534640837425</v>
          </cell>
          <cell r="I29">
            <v>8.2300310210102552</v>
          </cell>
        </row>
        <row r="30">
          <cell r="A30" t="str">
            <v>RNWWOD1</v>
          </cell>
          <cell r="C30" t="str">
            <v>WOD</v>
          </cell>
          <cell r="H30">
            <v>15.849136682621413</v>
          </cell>
          <cell r="I30">
            <v>16.266394888205685</v>
          </cell>
          <cell r="J30">
            <v>16.956994686248972</v>
          </cell>
        </row>
        <row r="31">
          <cell r="A31" t="str">
            <v>RNWWOD2</v>
          </cell>
          <cell r="C31" t="str">
            <v>WOD</v>
          </cell>
          <cell r="H31">
            <v>7.6690251359189991</v>
          </cell>
          <cell r="I31">
            <v>7.6690262146922032</v>
          </cell>
          <cell r="J31">
            <v>7.6690278605218154</v>
          </cell>
        </row>
        <row r="32">
          <cell r="A32" t="str">
            <v>RNWWOD3</v>
          </cell>
          <cell r="C32" t="str">
            <v>WOD</v>
          </cell>
          <cell r="H32">
            <v>4.8053832625076343</v>
          </cell>
          <cell r="I32">
            <v>4.8053847013328674</v>
          </cell>
          <cell r="J32">
            <v>4.8053867518718372</v>
          </cell>
        </row>
        <row r="33">
          <cell r="A33" t="str">
            <v>RNWWOD4</v>
          </cell>
          <cell r="C33" t="str">
            <v>WOD</v>
          </cell>
          <cell r="H33">
            <v>19.384173567691889</v>
          </cell>
          <cell r="I33">
            <v>18.967560023453121</v>
          </cell>
          <cell r="J33">
            <v>18.277707283978309</v>
          </cell>
        </row>
        <row r="34">
          <cell r="A34" t="str">
            <v>RNWWOD5</v>
          </cell>
          <cell r="C34" t="str">
            <v>WOD</v>
          </cell>
          <cell r="H34">
            <v>2.289694904603136E-3</v>
          </cell>
          <cell r="I34">
            <v>1.6417276804516101E-3</v>
          </cell>
          <cell r="J34">
            <v>8.9331270201487912E-4</v>
          </cell>
        </row>
        <row r="35">
          <cell r="A35" t="str">
            <v>RNNWWST1</v>
          </cell>
          <cell r="C35" t="str">
            <v>WSTNREN</v>
          </cell>
          <cell r="H35">
            <v>34.93759185269144</v>
          </cell>
          <cell r="I35">
            <v>35.159448741415488</v>
          </cell>
          <cell r="J35">
            <v>35.852882538906343</v>
          </cell>
        </row>
        <row r="36">
          <cell r="A36" t="str">
            <v>RNWSOL1</v>
          </cell>
          <cell r="C36" t="str">
            <v>SOL</v>
          </cell>
          <cell r="H36">
            <v>50.988267628186634</v>
          </cell>
          <cell r="I36">
            <v>59.715198318417968</v>
          </cell>
          <cell r="J36">
            <v>83.856740880761976</v>
          </cell>
        </row>
        <row r="37">
          <cell r="A37" t="str">
            <v>IMPHFO1</v>
          </cell>
          <cell r="C37" t="str">
            <v>HFO</v>
          </cell>
          <cell r="H37">
            <v>1.3952854397184253E-3</v>
          </cell>
          <cell r="I37">
            <v>7.0474645240517107E-5</v>
          </cell>
        </row>
        <row r="38">
          <cell r="A38" t="str">
            <v>RNWHYDD1</v>
          </cell>
          <cell r="C38" t="str">
            <v>HYDD</v>
          </cell>
          <cell r="H38">
            <v>71.585479861080074</v>
          </cell>
          <cell r="I38">
            <v>72.148440675854204</v>
          </cell>
          <cell r="J38">
            <v>74.655251711943123</v>
          </cell>
        </row>
        <row r="39">
          <cell r="A39" t="str">
            <v>IMPKER</v>
          </cell>
          <cell r="C39" t="str">
            <v>KER</v>
          </cell>
          <cell r="H39">
            <v>1.3811163971936535</v>
          </cell>
          <cell r="I39">
            <v>0.33880044382464364</v>
          </cell>
        </row>
        <row r="40">
          <cell r="A40" t="str">
            <v>IMPBDS</v>
          </cell>
          <cell r="C40" t="str">
            <v>BDS</v>
          </cell>
          <cell r="H40">
            <v>4.2691980219550123</v>
          </cell>
          <cell r="I40">
            <v>4.272399906689067</v>
          </cell>
          <cell r="J40">
            <v>9.5235917877825003</v>
          </cell>
        </row>
        <row r="41">
          <cell r="A41" t="str">
            <v>IMPCOA1</v>
          </cell>
          <cell r="C41" t="str">
            <v>COA</v>
          </cell>
          <cell r="H41">
            <v>1.0816076551075618E-3</v>
          </cell>
          <cell r="I41">
            <v>6.0440432822879355E-5</v>
          </cell>
          <cell r="J41">
            <v>5.2895793472374137E-4</v>
          </cell>
        </row>
        <row r="42">
          <cell r="A42" t="str">
            <v>IMPETH</v>
          </cell>
          <cell r="C42" t="str">
            <v>ETH</v>
          </cell>
          <cell r="H42">
            <v>1.4619367731199082</v>
          </cell>
          <cell r="I42">
            <v>3.6676105773945591</v>
          </cell>
        </row>
        <row r="43">
          <cell r="A43" t="str">
            <v>IMPELC_DE</v>
          </cell>
          <cell r="C43" t="str">
            <v>ELC_I-DE</v>
          </cell>
          <cell r="H43">
            <v>24.408978753123172</v>
          </cell>
          <cell r="I43">
            <v>21.590024159890678</v>
          </cell>
          <cell r="J43">
            <v>14.318825820235709</v>
          </cell>
        </row>
        <row r="44">
          <cell r="A44" t="str">
            <v>IMPELC_DE</v>
          </cell>
          <cell r="C44" t="str">
            <v>ELCS</v>
          </cell>
          <cell r="H44">
            <v>24.408978753123172</v>
          </cell>
          <cell r="I44">
            <v>21.590024159890678</v>
          </cell>
          <cell r="J44">
            <v>14.318825820235709</v>
          </cell>
        </row>
        <row r="45">
          <cell r="A45" t="str">
            <v>RNWWST1</v>
          </cell>
          <cell r="C45" t="str">
            <v>WSTREN</v>
          </cell>
          <cell r="H45">
            <v>37.291967850046248</v>
          </cell>
          <cell r="I45">
            <v>38.887403424582175</v>
          </cell>
          <cell r="J45">
            <v>42.160162651453106</v>
          </cell>
        </row>
        <row r="46">
          <cell r="A46" t="str">
            <v>IMPNGA1</v>
          </cell>
          <cell r="C46" t="str">
            <v>NGA</v>
          </cell>
          <cell r="H46">
            <v>51.858269672409676</v>
          </cell>
          <cell r="I46">
            <v>27.674764606586105</v>
          </cell>
          <cell r="J46">
            <v>10.701724584900768</v>
          </cell>
        </row>
        <row r="47">
          <cell r="A47" t="str">
            <v>IMPELC_IT</v>
          </cell>
          <cell r="C47" t="str">
            <v>ELC_I-IT</v>
          </cell>
          <cell r="H47">
            <v>4.0704059681582469E-4</v>
          </cell>
          <cell r="I47">
            <v>3.4521692799595137E-4</v>
          </cell>
          <cell r="J47">
            <v>2.9169141269310285E-4</v>
          </cell>
        </row>
        <row r="48">
          <cell r="A48" t="str">
            <v>IMPELC_IT</v>
          </cell>
          <cell r="C48" t="str">
            <v>ELCS</v>
          </cell>
          <cell r="H48">
            <v>4.0704059681582469E-4</v>
          </cell>
          <cell r="I48">
            <v>3.4521692799595137E-4</v>
          </cell>
          <cell r="J48">
            <v>2.9169141269310285E-4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0.21508942941145773</v>
          </cell>
          <cell r="I4">
            <v>0.1576032858050285</v>
          </cell>
          <cell r="J4">
            <v>5.3743715154853162E-2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0.21508942941145773</v>
          </cell>
          <cell r="I5">
            <v>0.1576032858050285</v>
          </cell>
          <cell r="J5">
            <v>5.3743715154853162E-2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3.544010785565069E-4</v>
          </cell>
          <cell r="I6">
            <v>2.4156021966034871E-4</v>
          </cell>
          <cell r="J6">
            <v>2.4413898415388615E-4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3.5475547963506344E-4</v>
          </cell>
          <cell r="I7">
            <v>2.4180177988000916E-4</v>
          </cell>
          <cell r="J7">
            <v>2.4438312313803989E-4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3.5302774532184841E-4</v>
          </cell>
          <cell r="I8">
            <v>2.4175245969319963E-4</v>
          </cell>
          <cell r="J8">
            <v>2.4825842358485296E-4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1.61561304748476E-6</v>
          </cell>
          <cell r="I9">
            <v>3.4817893324190299E-5</v>
          </cell>
          <cell r="J9">
            <v>3.82662581521239E-5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1.93211448639435E-4</v>
          </cell>
          <cell r="I10">
            <v>6.2108829013031395E-5</v>
          </cell>
          <cell r="J10">
            <v>6.4218166245944502E-5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9.1436076886814597</v>
          </cell>
          <cell r="I11">
            <v>4.7408612074357501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0.11784004575576888</v>
          </cell>
          <cell r="I12">
            <v>6.1098782956045559E-2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0.12406523322498586</v>
          </cell>
          <cell r="I13">
            <v>6.4326474999128164E-2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2.6826733578714838E-2</v>
          </cell>
          <cell r="I15">
            <v>4.7498341695844087E-3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19.6108856153147</v>
          </cell>
          <cell r="I16">
            <v>23.1706152550762</v>
          </cell>
          <cell r="J16">
            <v>24.828969474152402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0.70543514455153644</v>
          </cell>
          <cell r="I17">
            <v>0.84654253095250087</v>
          </cell>
          <cell r="J17">
            <v>0.94317741395249066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0.34771073786019002</v>
          </cell>
          <cell r="I18">
            <v>0.41082651161482664</v>
          </cell>
          <cell r="J18">
            <v>0.44022995521546843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0.70543514455153644</v>
          </cell>
          <cell r="I19">
            <v>0.84654253095250087</v>
          </cell>
          <cell r="J19">
            <v>0.94317741395249066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1.4993544190902401E-2</v>
          </cell>
          <cell r="I20">
            <v>2.96978278853148E-2</v>
          </cell>
          <cell r="J20">
            <v>4.0835465562395597E-2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5.1452604990261365E-2</v>
          </cell>
          <cell r="I21">
            <v>6.2572548656816995E-2</v>
          </cell>
          <cell r="J21">
            <v>6.8730174181369563E-2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0.54500523045068971</v>
          </cell>
          <cell r="I22">
            <v>0.54500772050391855</v>
          </cell>
          <cell r="J22">
            <v>0.54501790403992056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0.54500523045068971</v>
          </cell>
          <cell r="I23">
            <v>0.54500772050391855</v>
          </cell>
          <cell r="J23">
            <v>0.54501790403992056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0.73278014178243989</v>
          </cell>
          <cell r="I24">
            <v>0.73073660849687461</v>
          </cell>
          <cell r="J24">
            <v>0.72669053871989397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1.9512266734332599E-2</v>
          </cell>
          <cell r="I25">
            <v>1.8065771388010701E-2</v>
          </cell>
          <cell r="J25">
            <v>1.2079221522988799E-2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3.1458495478360882E-2</v>
          </cell>
          <cell r="I26">
            <v>3.7580460063589942E-2</v>
          </cell>
          <cell r="J26">
            <v>3.3424285268301906E-2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9.152904129191595E-4</v>
          </cell>
          <cell r="I27">
            <v>1.1552832444309995E-3</v>
          </cell>
          <cell r="J27">
            <v>1.436370077699284E-3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6.5841593660608173E-4</v>
          </cell>
          <cell r="I28">
            <v>7.0145406657727007E-4</v>
          </cell>
          <cell r="J28">
            <v>5.685146294405664E-4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1.5622033073217183E-3</v>
          </cell>
          <cell r="I29">
            <v>1.8495005283993122E-3</v>
          </cell>
          <cell r="J29">
            <v>1.9983166928946318E-3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0.70786479107322819</v>
          </cell>
          <cell r="I30">
            <v>0.54819034432259173</v>
          </cell>
          <cell r="J30">
            <v>0.25105954422660787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1.561385582423354</v>
          </cell>
          <cell r="I31">
            <v>1.1832813982986148</v>
          </cell>
          <cell r="J31">
            <v>0.50685949121680407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1.00702351431281E-2</v>
          </cell>
          <cell r="I32">
            <v>2.26627706653727E-2</v>
          </cell>
          <cell r="J32">
            <v>2.6378787808724099E-7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4.8646278008545082E-2</v>
          </cell>
          <cell r="I33">
            <v>3.7480304914315296E-2</v>
          </cell>
          <cell r="J33">
            <v>2.0702613758390869E-2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2.8660507601534935</v>
          </cell>
          <cell r="I34">
            <v>2.0471279594347407</v>
          </cell>
          <cell r="J34">
            <v>0.87451135355802589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3.9448980622854442</v>
          </cell>
          <cell r="I35">
            <v>2.797284627842429</v>
          </cell>
          <cell r="J35">
            <v>1.1533453680491075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0.113594640034881</v>
          </cell>
          <cell r="I36">
            <v>5.1816116932464802E-2</v>
          </cell>
          <cell r="J36">
            <v>1.3797713854848601E-7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0.23219784226418866</v>
          </cell>
          <cell r="I37">
            <v>0.16541113717101835</v>
          </cell>
          <cell r="J37">
            <v>7.829267698941357E-2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0.29332985219648045</v>
          </cell>
          <cell r="J38">
            <v>0.33526084198697409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0.29629277999644454</v>
          </cell>
          <cell r="J39">
            <v>0.33864731513835744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3.3434559635494202E-6</v>
          </cell>
          <cell r="I40">
            <v>4.2045671410092099E-2</v>
          </cell>
          <cell r="J40">
            <v>3.1159388246855703E-5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4.5672643934304098E-6</v>
          </cell>
          <cell r="I41">
            <v>4.2050238674485499E-2</v>
          </cell>
          <cell r="J41">
            <v>4.2081398062732298E-2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4.1296954988078785</v>
          </cell>
          <cell r="I42">
            <v>2.6557029111886972</v>
          </cell>
          <cell r="J42">
            <v>1.0354326457628986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6.1304079899230857</v>
          </cell>
          <cell r="I43">
            <v>3.9423106014263967</v>
          </cell>
          <cell r="J43">
            <v>1.4496223280680334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0.177180988297198</v>
          </cell>
          <cell r="I44">
            <v>3.7429457809895698E-2</v>
          </cell>
          <cell r="J44">
            <v>9.1469980041315103E-7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0.32550054449977722</v>
          </cell>
          <cell r="I45">
            <v>0.21461087817694022</v>
          </cell>
          <cell r="J45">
            <v>0.10210969855485112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8.4804564628839145</v>
          </cell>
          <cell r="I46">
            <v>8.9016002569551169</v>
          </cell>
          <cell r="J46">
            <v>10.617300655748442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8.4804564628839145</v>
          </cell>
          <cell r="I47">
            <v>8.9016002569551169</v>
          </cell>
          <cell r="J47">
            <v>10.617300655748442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9.0282257743041683</v>
          </cell>
          <cell r="I48">
            <v>9.4268923393352004</v>
          </cell>
          <cell r="J48">
            <v>11.176105953419404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0.25315769942254202</v>
          </cell>
          <cell r="I49">
            <v>0.210289159700563</v>
          </cell>
          <cell r="J49">
            <v>0.46282441369604799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0.49421461601551697</v>
          </cell>
          <cell r="I50">
            <v>0.49376531299856996</v>
          </cell>
          <cell r="J50">
            <v>0.6665284752848355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0.17770519541068197</v>
          </cell>
          <cell r="I51">
            <v>0.23074871335969757</v>
          </cell>
          <cell r="J51">
            <v>0.27267026724803589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0.17788290060609252</v>
          </cell>
          <cell r="I52">
            <v>0.23097946207305711</v>
          </cell>
          <cell r="J52">
            <v>0.27294293751528398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0.17770954298527022</v>
          </cell>
          <cell r="I53">
            <v>0.23075067549766945</v>
          </cell>
          <cell r="J53">
            <v>0.27267407249601011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1.25065783470109E-2</v>
          </cell>
          <cell r="I54">
            <v>2.9376880496221999E-2</v>
          </cell>
          <cell r="J54">
            <v>3.1656162386232901E-2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4.4424267639975777E-2</v>
          </cell>
          <cell r="I55">
            <v>5.5862833711306702E-2</v>
          </cell>
          <cell r="J55">
            <v>5.8185067908265886E-2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0.26706858893761148</v>
          </cell>
          <cell r="I56">
            <v>0.28786618926963814</v>
          </cell>
          <cell r="J56">
            <v>0.30974923251008646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8.250743277959252</v>
          </cell>
          <cell r="I57">
            <v>8.6650561565256226</v>
          </cell>
          <cell r="J57">
            <v>7.0759448215666962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3.8862332189007809</v>
          </cell>
          <cell r="I58">
            <v>4.1156980835506562</v>
          </cell>
          <cell r="J58">
            <v>3.4993804314380212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0.52820358341350215</v>
          </cell>
          <cell r="I59">
            <v>0.58381033627694978</v>
          </cell>
          <cell r="J59">
            <v>2.059091806870887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0.42656913294998461</v>
          </cell>
          <cell r="I60">
            <v>0.49624350005102175</v>
          </cell>
          <cell r="J60">
            <v>0.55534796590144919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14.625155372336279</v>
          </cell>
          <cell r="I61">
            <v>15.433155959441045</v>
          </cell>
          <cell r="J61">
            <v>14.617968154131013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7.5499932230193606E-2</v>
          </cell>
          <cell r="I62">
            <v>4.9328549414868E-2</v>
          </cell>
          <cell r="J62">
            <v>2.22687855726963E-7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0.85743540701093302</v>
          </cell>
          <cell r="I63">
            <v>0.90676395642580099</v>
          </cell>
          <cell r="J63">
            <v>0.90676417911365703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2.6069666817922495E-3</v>
          </cell>
          <cell r="I64">
            <v>1.952406318573148E-3</v>
          </cell>
          <cell r="J64">
            <v>1.0482465787297445E-3</v>
          </cell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1.0753968582745068</v>
          </cell>
          <cell r="I65">
            <v>1.2000702530583094</v>
          </cell>
          <cell r="J65">
            <v>1.1550854040462855E-2</v>
          </cell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1.078003824956298</v>
          </cell>
          <cell r="I66">
            <v>1.2020226593768826</v>
          </cell>
          <cell r="J66">
            <v>1.2599100619192588E-2</v>
          </cell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58.730514105276306</v>
          </cell>
          <cell r="I67">
            <v>57.580005675350641</v>
          </cell>
          <cell r="J67">
            <v>54.750967889098973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7.8317749746311929</v>
          </cell>
          <cell r="I68">
            <v>10.030477617458359</v>
          </cell>
          <cell r="J68">
            <v>15.118155086408558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4.1296954988078785</v>
          </cell>
          <cell r="I69">
            <v>2.6557029111886972</v>
          </cell>
          <cell r="J69">
            <v>1.0354326457628986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9.1781661700065413</v>
          </cell>
          <cell r="I70">
            <v>10.027412991037394</v>
          </cell>
          <cell r="J70">
            <v>8.534291609791234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0.2556775444150845</v>
          </cell>
          <cell r="I71">
            <v>0.20420768295903713</v>
          </cell>
          <cell r="J71">
            <v>0.13686783564760222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18.083616633649239</v>
          </cell>
          <cell r="I73">
            <v>23.450229052111911</v>
          </cell>
          <cell r="J73">
            <v>22.62495386536499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0.12983615636499021</v>
          </cell>
          <cell r="I74">
            <v>8.3002278695125664E-2</v>
          </cell>
          <cell r="J74">
            <v>2.7828621316280781E-2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0.95698539542434036</v>
          </cell>
          <cell r="I76">
            <v>1.1346639779503551</v>
          </cell>
          <cell r="J76">
            <v>1.244859289495498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6.2551491944963553</v>
          </cell>
          <cell r="I77">
            <v>1.9251330246247842</v>
          </cell>
          <cell r="J77">
            <v>0.76530723836420422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4.9017568589308489</v>
          </cell>
          <cell r="I78">
            <v>5.8224157214114074</v>
          </cell>
          <cell r="J78">
            <v>5.1203206327290491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7.0078556785498707</v>
          </cell>
          <cell r="I80">
            <v>2.2467604179135918</v>
          </cell>
          <cell r="J80">
            <v>0.14295106421865297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9.5525922104511144E-4</v>
          </cell>
          <cell r="I81">
            <v>5.6629527010131618E-4</v>
          </cell>
          <cell r="J81">
            <v>1.0429778980996951E-3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1.1169118525318962E-3</v>
          </cell>
          <cell r="I82">
            <v>6.5774464908908948E-4</v>
          </cell>
          <cell r="J82">
            <v>1.1589297789809309E-3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9.6552074877897306E-5</v>
          </cell>
          <cell r="I83">
            <v>4.9711488511602602E-5</v>
          </cell>
          <cell r="J83">
            <v>1.3861381750236799E-4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1.3724747159471994E-4</v>
          </cell>
          <cell r="I84">
            <v>5.6581883268341001E-5</v>
          </cell>
          <cell r="J84">
            <v>1.3991612888172511E-4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3.8328965123056891E-2</v>
          </cell>
          <cell r="I85">
            <v>3.9373777493726503E-2</v>
          </cell>
          <cell r="J85">
            <v>3.9433072535599717E-2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3.8331509530801548E-2</v>
          </cell>
          <cell r="I86">
            <v>3.9375762741757907E-2</v>
          </cell>
          <cell r="J86">
            <v>3.9435189418530379E-2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3.16695728817856E-5</v>
          </cell>
          <cell r="I87">
            <v>6.8522636234916699E-4</v>
          </cell>
          <cell r="J87">
            <v>7.5094979405314203E-4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1.4461377881761516E-3</v>
          </cell>
          <cell r="I88">
            <v>1.4584945966661165E-3</v>
          </cell>
          <cell r="J88">
            <v>1.4605207905017531E-3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8.7741994503579678E-3</v>
          </cell>
          <cell r="I89">
            <v>5.8489264499782681E-3</v>
          </cell>
          <cell r="J89">
            <v>3.4406590500514205E-3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8.0273539871557072E-6</v>
          </cell>
          <cell r="I90">
            <v>7.7116625306520506E-6</v>
          </cell>
          <cell r="J90">
            <v>6.8123051905100472E-6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/>
          <cell r="J91">
            <v>1.1938670389198148E-4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8.7828081536548801E-3</v>
          </cell>
          <cell r="I92">
            <v>5.8571618419286419E-3</v>
          </cell>
          <cell r="J92">
            <v>3.5673009910537757E-3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1.0816076551075618E-3</v>
          </cell>
          <cell r="I93">
            <v>6.0440432822879355E-5</v>
          </cell>
          <cell r="J93">
            <v>5.2895793472374137E-4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0.100265029628471</v>
          </cell>
          <cell r="I94">
            <v>5.6028281226809104E-3</v>
          </cell>
          <cell r="J94">
            <v>4.90344005488908E-2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1.0816076551075618E-3</v>
          </cell>
          <cell r="I95">
            <v>6.0440432822879355E-5</v>
          </cell>
          <cell r="J95">
            <v>5.2895793472374137E-4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4.2468856915086288</v>
          </cell>
          <cell r="I96">
            <v>4.246914821155384</v>
          </cell>
          <cell r="J96">
            <v>4.2470478026192593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4.2468856915086288</v>
          </cell>
          <cell r="I97">
            <v>4.246914821155384</v>
          </cell>
          <cell r="J97">
            <v>4.2470478026192593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0.108764964131411</v>
          </cell>
          <cell r="I98">
            <v>5.5098685202823996E-6</v>
          </cell>
          <cell r="J98">
            <v>2.5353684024723599E-2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0.29990570569928549</v>
          </cell>
          <cell r="I99">
            <v>0.29991123907426409</v>
          </cell>
          <cell r="J99">
            <v>0.29990634934569382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4.2871075814160005E-3</v>
          </cell>
          <cell r="I100">
            <v>3.4855591496290848E-3</v>
          </cell>
          <cell r="J100">
            <v>1.9401199886000206E-3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4.5735338784545741E-3</v>
          </cell>
          <cell r="I101">
            <v>3.7184331285012072E-3</v>
          </cell>
          <cell r="J101">
            <v>2.0617585146655779E-3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1.8298931616040999E-4</v>
          </cell>
          <cell r="I102">
            <v>2.17577040085915E-4</v>
          </cell>
          <cell r="J102">
            <v>3.3468335827493899E-6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5.0487938646995301E-4</v>
          </cell>
          <cell r="I103">
            <v>3.9989125331457058E-4</v>
          </cell>
          <cell r="J103">
            <v>2.3719584417129162E-4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5.0934948401231299E-2</v>
          </cell>
          <cell r="I107">
            <v>2.1822144252895699E-2</v>
          </cell>
          <cell r="J107">
            <v>5.4330527955242895E-4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9.3785256738705705E-2</v>
          </cell>
          <cell r="I108">
            <v>6.8208606174032502E-2</v>
          </cell>
          <cell r="J108">
            <v>1.5552955533384982E-3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2.7354220324237932</v>
          </cell>
          <cell r="I109">
            <v>4.0244809660244858</v>
          </cell>
          <cell r="J109">
            <v>6.6148513600663454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2.7354220324237932</v>
          </cell>
          <cell r="I110">
            <v>4.0244809660244858</v>
          </cell>
          <cell r="J110">
            <v>6.6148513600663454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0.107334657793934</v>
          </cell>
          <cell r="I111">
            <v>9.1028427878973195E-2</v>
          </cell>
          <cell r="J111">
            <v>0.222396920952566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0.1931755299427875</v>
          </cell>
          <cell r="I112">
            <v>0.28420398043356959</v>
          </cell>
          <cell r="J112">
            <v>0.46710461030947442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5.905053668012257E-2</v>
          </cell>
          <cell r="I113">
            <v>8.7999180671165259E-2</v>
          </cell>
          <cell r="J113">
            <v>0.40709149313334081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6.0546361893562682E-2</v>
          </cell>
          <cell r="J114">
            <v>0.40115479104011031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/>
          <cell r="J115">
            <v>3.6333561983311257E-3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>
            <v>8.1918533071685575E-4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/>
          <cell r="J117">
            <v>8.2064516149764699E-6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5.7910517076077098E-2</v>
          </cell>
          <cell r="I118">
            <v>2.663363344688573E-2</v>
          </cell>
          <cell r="J118">
            <v>2.1757527393924899E-3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/>
          <cell r="J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/>
          <cell r="J120">
            <v>1.1938670389198148E-4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>
            <v>1.1400196040454776E-3</v>
          </cell>
          <cell r="I121"/>
          <cell r="J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3.4821491118055799E-4</v>
          </cell>
          <cell r="I122">
            <v>4.9319256198261498E-3</v>
          </cell>
          <cell r="J122">
            <v>3.5645282695437201E-2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4.3766533055991999E-4</v>
          </cell>
          <cell r="I123">
            <v>5.1709391095763006E-3</v>
          </cell>
          <cell r="J123">
            <v>3.752124236264423E-2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6.0546361893562682E-2</v>
          </cell>
          <cell r="J124">
            <v>0.40115479104011031</v>
          </cell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4.9261260515770572E-3</v>
          </cell>
          <cell r="I125">
            <v>3.3571052281839021E-2</v>
          </cell>
          <cell r="J125">
            <v>0.94983252280372044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4.3514464965257505E-6</v>
          </cell>
          <cell r="I126">
            <v>1.2172459298145767E-4</v>
          </cell>
          <cell r="J126">
            <v>1.2093564106527073E-3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4.930926298560635E-3</v>
          </cell>
          <cell r="I127">
            <v>9.4239138768383177E-2</v>
          </cell>
          <cell r="J127">
            <v>1.3521966702544832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3.4887082738035762</v>
          </cell>
          <cell r="I128">
            <v>3.6903909303261839</v>
          </cell>
          <cell r="J128">
            <v>3.1290785720355525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3.4887082738035762</v>
          </cell>
          <cell r="I129">
            <v>3.6903909303261839</v>
          </cell>
          <cell r="J129">
            <v>3.1290785720355525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3.8862332189007809</v>
          </cell>
          <cell r="I130">
            <v>4.1156980835506562</v>
          </cell>
          <cell r="J130">
            <v>3.4993804314380212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8.2194098816158703E-2</v>
          </cell>
          <cell r="I131">
            <v>8.50289647886186E-2</v>
          </cell>
          <cell r="J131">
            <v>8.6193691428577801E-2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0.28463521735002595</v>
          </cell>
          <cell r="I132">
            <v>0.29982539741672404</v>
          </cell>
          <cell r="J132">
            <v>0.31166955843113209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0.97641395458286251</v>
          </cell>
          <cell r="I133">
            <v>2.1974574355580136</v>
          </cell>
          <cell r="J133">
            <v>4.2790302863648693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0.97641395458286251</v>
          </cell>
          <cell r="I134">
            <v>2.1974574355580136</v>
          </cell>
          <cell r="J134">
            <v>4.2790302863648693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5.7896764824618604E-7</v>
          </cell>
          <cell r="I135">
            <v>8.6225949716654801E-2</v>
          </cell>
          <cell r="J135">
            <v>0.17870602260260501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6.8964129647256622E-2</v>
          </cell>
          <cell r="I136">
            <v>0.15519010184108981</v>
          </cell>
          <cell r="J136">
            <v>0.30215948297373596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52.273435892566233</v>
          </cell>
          <cell r="I137">
            <v>49.673649900064454</v>
          </cell>
          <cell r="J137">
            <v>42.82771310834957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12.859697415171254</v>
          </cell>
          <cell r="I138">
            <v>12.038874927988337</v>
          </cell>
          <cell r="J138">
            <v>10.006428643872052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12.538489264353892</v>
          </cell>
          <cell r="I139">
            <v>12.178492929199138</v>
          </cell>
          <cell r="J139">
            <v>11.248452555056096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14.694089743252208</v>
          </cell>
          <cell r="I140">
            <v>14.061364625982236</v>
          </cell>
          <cell r="J140">
            <v>11.843558340619188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12.181159469788907</v>
          </cell>
          <cell r="I141">
            <v>11.394917416894724</v>
          </cell>
          <cell r="J141">
            <v>9.7292735688022631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9.1781661700065413</v>
          </cell>
          <cell r="I142">
            <v>10.027412991037394</v>
          </cell>
          <cell r="J142">
            <v>8.534291609791234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9.1781661700065413</v>
          </cell>
          <cell r="I143">
            <v>10.027412991037394</v>
          </cell>
          <cell r="J143">
            <v>8.534291609791234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11.070638281929464</v>
          </cell>
          <cell r="I144">
            <v>12.09499371345726</v>
          </cell>
          <cell r="J144">
            <v>10.294001400111588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0.45122786402814302</v>
          </cell>
          <cell r="I145">
            <v>0.28558008563826698</v>
          </cell>
          <cell r="J145">
            <v>0.50418082438807599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0.84969853315046895</v>
          </cell>
          <cell r="I146">
            <v>0.84970084509768307</v>
          </cell>
          <cell r="J146">
            <v>0.84969950850399079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2.2342026505799877E-3</v>
          </cell>
          <cell r="I147">
            <v>3.7797468114864645E-3</v>
          </cell>
          <cell r="J147">
            <v>0.30032579247971908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2.7734321079449947E-3</v>
          </cell>
          <cell r="I148">
            <v>4.5007725582417472E-3</v>
          </cell>
          <cell r="J148">
            <v>0.33375778997984029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0.14994517163793</v>
          </cell>
          <cell r="I149">
            <v>9.2845938156397606E-2</v>
          </cell>
          <cell r="J149">
            <v>0.12622470298333999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0.24254166890268497</v>
          </cell>
          <cell r="I150">
            <v>0.24301595051675023</v>
          </cell>
          <cell r="J150">
            <v>0.25702577479109256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1.1963982005810576E-2</v>
          </cell>
          <cell r="I151">
            <v>3.3078174496109704E-2</v>
          </cell>
          <cell r="J151">
            <v>5.2446750752534015E-2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11.273043205540628</v>
          </cell>
          <cell r="I152">
            <v>11.827762491284584</v>
          </cell>
          <cell r="J152">
            <v>12.967736322941976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11.285007187546443</v>
          </cell>
          <cell r="I153">
            <v>11.860840665780691</v>
          </cell>
          <cell r="J153">
            <v>13.020183073694508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293.74727205731898</v>
          </cell>
          <cell r="I154">
            <v>138.323829613497</v>
          </cell>
          <cell r="J154">
            <v>9.811176134157829E-4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5.1494222067070901</v>
          </cell>
          <cell r="I155">
            <v>3.0757806203822162</v>
          </cell>
          <cell r="J155">
            <v>1.2302804092840933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3.9857160387696022</v>
          </cell>
          <cell r="I156">
            <v>1.8768497912279065</v>
          </cell>
          <cell r="J156">
            <v>1.3312314971720271E-5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1.2511682384072358</v>
          </cell>
          <cell r="I157">
            <v>1.2511724458969888</v>
          </cell>
          <cell r="J157">
            <v>1.2511733130682072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0.394899693725626</v>
          </cell>
          <cell r="I158">
            <v>0.51294636476441824</v>
          </cell>
          <cell r="J158">
            <v>0.38032804248349433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0.39450518853708955</v>
          </cell>
          <cell r="I159">
            <v>0.51243393083358457</v>
          </cell>
          <cell r="J159">
            <v>0.37994809438910554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0.39452579056566506</v>
          </cell>
          <cell r="I160">
            <v>0.51244617224811395</v>
          </cell>
          <cell r="J160">
            <v>0.37996444999308349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1.14003273054819E-2</v>
          </cell>
          <cell r="I161">
            <v>4.8938052730087798E-2</v>
          </cell>
          <cell r="J161">
            <v>2.5875730268048399E-2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7.2803144736862321E-2</v>
          </cell>
          <cell r="I162">
            <v>8.4588976595581261E-2</v>
          </cell>
          <cell r="J162">
            <v>6.6121384482745238E-2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1.0732094005090704</v>
          </cell>
          <cell r="I163">
            <v>1.0731614246563654</v>
          </cell>
          <cell r="J163">
            <v>2.3922607096100856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1.0732094005090704</v>
          </cell>
          <cell r="I164">
            <v>1.0731614246563654</v>
          </cell>
          <cell r="J164">
            <v>2.3922607096100856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1.06010054855883E-7</v>
          </cell>
          <cell r="I165">
            <v>1.12397064339767E-7</v>
          </cell>
          <cell r="J165">
            <v>0.12800974561512901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7.579877287747365E-2</v>
          </cell>
          <cell r="I166">
            <v>7.5798912472374733E-2</v>
          </cell>
          <cell r="J166">
            <v>0.16892770364850698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2.2640964901681879E-3</v>
          </cell>
          <cell r="I167">
            <v>8.3697213267704875E-3</v>
          </cell>
          <cell r="J167">
            <v>8.2422795485046566E-3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2.2640964901681879E-3</v>
          </cell>
          <cell r="I168">
            <v>8.3697213267704875E-3</v>
          </cell>
          <cell r="J168">
            <v>8.2422795485046566E-3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1.45804102746941E-5</v>
          </cell>
          <cell r="I169">
            <v>4.7034746851251099E-4</v>
          </cell>
          <cell r="J169">
            <v>4.3901970489258402E-8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1.7472596727655069E-4</v>
          </cell>
          <cell r="I170">
            <v>6.4511215704373065E-4</v>
          </cell>
          <cell r="J170">
            <v>6.452128953288854E-4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0.59847388980554117</v>
          </cell>
          <cell r="I171">
            <v>0.59842549864085048</v>
          </cell>
          <cell r="J171">
            <v>0.34587630525783486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0.59847388980554117</v>
          </cell>
          <cell r="I172">
            <v>0.59842549864085048</v>
          </cell>
          <cell r="J172">
            <v>0.34587630525783486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8.9318854982420702E-8</v>
          </cell>
          <cell r="I173">
            <v>9.4452442898885002E-8</v>
          </cell>
          <cell r="J173">
            <v>1.2747562313914201E-6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4.2275823513405489E-2</v>
          </cell>
          <cell r="I174">
            <v>4.2275945192710648E-2</v>
          </cell>
          <cell r="J174">
            <v>2.4425074194326029E-2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9.5981237682847347</v>
          </cell>
          <cell r="I175">
            <v>3.2838292089235686</v>
          </cell>
          <cell r="J175">
            <v>1.6831928139738728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668.07625702534403</v>
          </cell>
          <cell r="I176">
            <v>228.074706823631</v>
          </cell>
          <cell r="J176">
            <v>116.399281271671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11.845323706123125</v>
          </cell>
          <cell r="I177">
            <v>4.0438777805608375</v>
          </cell>
          <cell r="J177">
            <v>2.0638170438239585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0.147169609295729</v>
          </cell>
          <cell r="I178">
            <v>5.9942241677564199E-2</v>
          </cell>
          <cell r="J178">
            <v>1.55639613876926E-3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0.54924525161271798</v>
          </cell>
          <cell r="I179">
            <v>0.20710074904419412</v>
          </cell>
          <cell r="J179">
            <v>0.1072434756805402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2.421434805464086E-4</v>
          </cell>
          <cell r="I180">
            <v>3.028680820879176E-4</v>
          </cell>
          <cell r="J180">
            <v>5.1047294776264721E-4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2.421434805464086E-4</v>
          </cell>
          <cell r="I181">
            <v>3.028680820879176E-4</v>
          </cell>
          <cell r="J181">
            <v>5.1047294776264721E-4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1.72771758762071E-4</v>
          </cell>
          <cell r="I182">
            <v>1.5240921954753301E-4</v>
          </cell>
          <cell r="J182">
            <v>4.7249228340078502E-5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1.295790854057108E-3</v>
          </cell>
          <cell r="I183">
            <v>3.3558399975691801E-4</v>
          </cell>
          <cell r="J183">
            <v>2.3046986143020366E-4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0.10114647349808203</v>
          </cell>
          <cell r="I184">
            <v>7.2342790898336146E-2</v>
          </cell>
          <cell r="J184">
            <v>2.4226711342340151E-2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0.10114647349808203</v>
          </cell>
          <cell r="I185">
            <v>7.2342790898336146E-2</v>
          </cell>
          <cell r="J185">
            <v>2.4226711342340151E-2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0.13900767010315865</v>
          </cell>
          <cell r="I186">
            <v>9.9422179179864206E-2</v>
          </cell>
          <cell r="J186">
            <v>3.2599667087193709E-2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2.8193059236992103E-4</v>
          </cell>
          <cell r="I187">
            <v>4.85388156652006E-3</v>
          </cell>
          <cell r="J187">
            <v>1.11279875054128E-7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7.7865991664237445E-3</v>
          </cell>
          <cell r="I188">
            <v>5.136075649192523E-3</v>
          </cell>
          <cell r="J188">
            <v>2.8596296941999018E-3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8.3683604915076072E-3</v>
          </cell>
          <cell r="I189">
            <v>8.3318604135291293E-3</v>
          </cell>
          <cell r="J189">
            <v>4.9299220449304185E-3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8.3683604915076072E-3</v>
          </cell>
          <cell r="I190">
            <v>8.3318604135291293E-3</v>
          </cell>
          <cell r="J190">
            <v>4.9299220449304185E-3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6.5354327152698798E-8</v>
          </cell>
          <cell r="I191">
            <v>6.2311058720909999E-8</v>
          </cell>
          <cell r="J191">
            <v>3.3997801338972801E-7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6.0343304394376237E-4</v>
          </cell>
          <cell r="I192">
            <v>6.0348428934326923E-4</v>
          </cell>
          <cell r="J192">
            <v>3.4934850174889734E-4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5.4468933540907617E-4</v>
          </cell>
          <cell r="I193">
            <v>5.3315091898128986E-4</v>
          </cell>
          <cell r="J193">
            <v>3.5332523269836691E-4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5.4468933540907617E-4</v>
          </cell>
          <cell r="I194">
            <v>5.3315091898128986E-4</v>
          </cell>
          <cell r="J194">
            <v>3.5332523269836691E-4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4.8903874849088701E-8</v>
          </cell>
          <cell r="I195">
            <v>4.6278955825297701E-8</v>
          </cell>
          <cell r="J195">
            <v>2.23064384697611E-7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4.2106957668920801E-5</v>
          </cell>
          <cell r="I196">
            <v>4.2132147973634813E-5</v>
          </cell>
          <cell r="J196">
            <v>2.4674604461324182E-5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9.7348565881109092E-5</v>
          </cell>
          <cell r="I197">
            <v>8.6398922319327326E-5</v>
          </cell>
          <cell r="J197">
            <v>6.2494104153298984E-5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9.7348565881109092E-5</v>
          </cell>
          <cell r="I198">
            <v>8.6398922319327326E-5</v>
          </cell>
          <cell r="J198">
            <v>6.2494104153298984E-5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2.7171976555078298E-8</v>
          </cell>
          <cell r="I199">
            <v>2.6166325880061401E-8</v>
          </cell>
          <cell r="J199">
            <v>4.4796467007284801E-8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3.6962207684914886E-6</v>
          </cell>
          <cell r="I200">
            <v>3.7093965451987174E-6</v>
          </cell>
          <cell r="J200">
            <v>2.2613525246919495E-6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29.228330843618988</v>
          </cell>
          <cell r="I201">
            <v>31.209877839814265</v>
          </cell>
          <cell r="J201">
            <v>27.691930573331785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8.5845123752781411</v>
          </cell>
          <cell r="I202">
            <v>8.6552242502948875</v>
          </cell>
          <cell r="J202">
            <v>6.8519723092352622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29.228330843618988</v>
          </cell>
          <cell r="I203">
            <v>31.209877839814265</v>
          </cell>
          <cell r="J203">
            <v>27.691930573331785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0.73342545722029695</v>
          </cell>
          <cell r="I204">
            <v>1.26815760629332</v>
          </cell>
          <cell r="J204">
            <v>1.00659240588889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2.3613154662087221</v>
          </cell>
          <cell r="I205">
            <v>2.5215311005369849</v>
          </cell>
          <cell r="J205">
            <v>2.2371717812486756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11.403665715998246</v>
          </cell>
          <cell r="I206">
            <v>14.224770438937547</v>
          </cell>
          <cell r="J206">
            <v>15.741881867895041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4.95464138071166</v>
          </cell>
          <cell r="I207">
            <v>5.7999177932914625</v>
          </cell>
          <cell r="J207">
            <v>5.6864371139263463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0.33883084185277701</v>
          </cell>
          <cell r="I208">
            <v>0.43505132595245599</v>
          </cell>
          <cell r="J208">
            <v>0.61689006337563501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0.77945631915429092</v>
          </cell>
          <cell r="I209">
            <v>0.97226630150843751</v>
          </cell>
          <cell r="J209">
            <v>1.0759447581002701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9.0282257743041683</v>
          </cell>
          <cell r="I210">
            <v>9.4268923393352004</v>
          </cell>
          <cell r="J210">
            <v>11.176105953419404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1.6439785679584297E-2</v>
          </cell>
          <cell r="I211">
            <v>2.3546772947057853E-2</v>
          </cell>
          <cell r="J211">
            <v>3.0773422704417137E-2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9.0446655599837555</v>
          </cell>
          <cell r="I212">
            <v>9.4504391122822682</v>
          </cell>
          <cell r="J212">
            <v>11.206879376123823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6.1564809729099888E-5</v>
          </cell>
          <cell r="I213">
            <v>4.829486491691084E-5</v>
          </cell>
          <cell r="J213">
            <v>3.5176400429440965E-5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6.1564809729099888E-5</v>
          </cell>
          <cell r="I214">
            <v>4.829486491691084E-5</v>
          </cell>
          <cell r="J214">
            <v>3.5176400429440965E-5</v>
          </cell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H215"/>
          <cell r="I215"/>
          <cell r="J215">
            <v>1.0091220613876699E-8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H216">
            <v>-5.6991714869842499E-8</v>
          </cell>
          <cell r="I216">
            <v>-6.2840434357344604E-8</v>
          </cell>
          <cell r="J216">
            <v>-8.6137630434046011E-9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H217">
            <v>18.083634233354065</v>
          </cell>
          <cell r="I217">
            <v>23.450249001312113</v>
          </cell>
          <cell r="J217">
            <v>22.624963445798613</v>
          </cell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H218">
            <v>18.083634233354065</v>
          </cell>
          <cell r="I218">
            <v>23.450249001312113</v>
          </cell>
          <cell r="J218">
            <v>22.624963445798613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H219">
            <v>5.2915835152208714</v>
          </cell>
          <cell r="I219">
            <v>6.525389688139497</v>
          </cell>
          <cell r="J219">
            <v>5.8878535466704793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H220">
            <v>0.62437921968182897</v>
          </cell>
          <cell r="I220">
            <v>0.77256028523930198</v>
          </cell>
          <cell r="J220">
            <v>0.92828521946338505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H221">
            <v>1.397921007472724</v>
          </cell>
          <cell r="I221">
            <v>1.8136169682727978</v>
          </cell>
          <cell r="J221">
            <v>1.7530668249444163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H222">
            <v>0.16382404606364648</v>
          </cell>
          <cell r="I222">
            <v>4.0696298196819351E-3</v>
          </cell>
          <cell r="J222">
            <v>4.0550525363347474E-2</v>
          </cell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H223">
            <v>5.6855572578006488E-3</v>
          </cell>
          <cell r="I223">
            <v>1.8079891779530538E-3</v>
          </cell>
          <cell r="J223">
            <v>2.3614013328421943E-3</v>
          </cell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H224">
            <v>0.16948837113782894</v>
          </cell>
          <cell r="I224">
            <v>5.8541624313109596E-3</v>
          </cell>
          <cell r="J224">
            <v>4.2899419775182239E-2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H225">
            <v>1.7657658932928899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H226">
            <v>4.4492565762109848</v>
          </cell>
          <cell r="I226">
            <v>2.5742028664100189</v>
          </cell>
          <cell r="J226">
            <v>1.1556103396640083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H227">
            <v>1.1905833633166725E-2</v>
          </cell>
          <cell r="I227">
            <v>1.1582487848583142E-2</v>
          </cell>
          <cell r="J227">
            <v>6.9141959830277717E-3</v>
          </cell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H228">
            <v>1.253245645596497E-2</v>
          </cell>
          <cell r="I228">
            <v>1.2192092472192793E-2</v>
          </cell>
          <cell r="J228">
            <v>7.2781010347660732E-3</v>
          </cell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H229">
            <v>1.8318013244357099E-3</v>
          </cell>
          <cell r="I229"/>
          <cell r="J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H230">
            <v>4.4990913738495132E-3</v>
          </cell>
          <cell r="I230">
            <v>1.8315253802017267E-3</v>
          </cell>
          <cell r="J230">
            <v>7.7378602401048202E-4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H231">
            <v>1.7657658932926701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H232">
            <v>4.4492565762110416</v>
          </cell>
          <cell r="I232">
            <v>2.5742028664090526</v>
          </cell>
          <cell r="J232">
            <v>1.1556103396650315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H233">
            <v>6.9052392657469161E-4</v>
          </cell>
          <cell r="I233">
            <v>3.0969319261487465E-3</v>
          </cell>
          <cell r="J233">
            <v>3.7338218369830927E-3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H234">
            <v>7.7040963435323509E-4</v>
          </cell>
          <cell r="I234">
            <v>3.6086552174705426E-3</v>
          </cell>
          <cell r="J234">
            <v>4.1043489341549885E-3</v>
          </cell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H235">
            <v>5.1802222361346102E-5</v>
          </cell>
          <cell r="I235">
            <v>6.9296363980454303E-3</v>
          </cell>
          <cell r="J235">
            <v>1.60442237490493E-7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H236">
            <v>9.2709524506643897E-5</v>
          </cell>
          <cell r="I236">
            <v>6.9927572238576603E-3</v>
          </cell>
          <cell r="J236">
            <v>5.0511419475550903E-3</v>
          </cell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H239"/>
          <cell r="I239"/>
          <cell r="J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H240">
            <v>5.7924123333189697E-4</v>
          </cell>
          <cell r="I240">
            <v>3.1860533767892997E-4</v>
          </cell>
          <cell r="J240">
            <v>1.40368697915807E-4</v>
          </cell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H241">
            <v>9.6357809434714E-4</v>
          </cell>
          <cell r="I241">
            <v>6.1354884170877299E-4</v>
          </cell>
          <cell r="J241">
            <v>2.5100209870957204E-4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H242">
            <v>0.28775987188745195</v>
          </cell>
          <cell r="I242">
            <v>0.2950578651356851</v>
          </cell>
          <cell r="J242">
            <v>0.24044627791915868</v>
          </cell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H243">
            <v>0.28804763175933928</v>
          </cell>
          <cell r="I243">
            <v>0.29535292300082061</v>
          </cell>
          <cell r="J243">
            <v>0.24068672419707784</v>
          </cell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H244">
            <v>0.28776129222497926</v>
          </cell>
          <cell r="I244">
            <v>0.29505999631223756</v>
          </cell>
          <cell r="J244">
            <v>0.24044627979058475</v>
          </cell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H245">
            <v>1.36910773819298E-2</v>
          </cell>
          <cell r="I245">
            <v>1.24857172815092E-2</v>
          </cell>
          <cell r="J245">
            <v>7.2298947471677302E-3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H246">
            <v>2.8635228584728431E-2</v>
          </cell>
          <cell r="I246">
            <v>2.6157881032947132E-2</v>
          </cell>
          <cell r="J246">
            <v>2.2000139672856009E-2</v>
          </cell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H247">
            <v>3.5447640623738645</v>
          </cell>
          <cell r="I247">
            <v>2.4123908555244395</v>
          </cell>
          <cell r="J247">
            <v>0.84932977751091854</v>
          </cell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H248">
            <v>331.99984434002801</v>
          </cell>
          <cell r="I248">
            <v>225.04339166246601</v>
          </cell>
          <cell r="J248">
            <v>78.605261325255995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H249">
            <v>4.5047468702853228</v>
          </cell>
          <cell r="I249">
            <v>3.0535059927064494</v>
          </cell>
          <cell r="J249">
            <v>1.0665571414553048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H250">
            <v>0.14312148897246299</v>
          </cell>
          <cell r="I250">
            <v>1.5360891305386301E-3</v>
          </cell>
          <cell r="J250">
            <v>2.6638730369847201E-5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H251">
            <v>0.24204779513075347</v>
          </cell>
          <cell r="I251">
            <v>0.14464992692823614</v>
          </cell>
          <cell r="J251">
            <v>5.8386046477412391E-2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H253"/>
          <cell r="I253"/>
          <cell r="J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H254"/>
          <cell r="I254"/>
          <cell r="J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H255">
            <v>1.7657658932928899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H256">
            <v>4.4492565762109848</v>
          </cell>
          <cell r="I256">
            <v>2.5742028664100189</v>
          </cell>
          <cell r="J256">
            <v>1.1556103396640083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H257">
            <v>22.766527262660084</v>
          </cell>
          <cell r="I257">
            <v>25.45349720841498</v>
          </cell>
          <cell r="J257">
            <v>28.163609535904634</v>
          </cell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H258">
            <v>22.766527262660084</v>
          </cell>
          <cell r="I258">
            <v>25.45349720841498</v>
          </cell>
          <cell r="J258">
            <v>28.163609535904634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H259">
            <v>1.7657658932926701</v>
          </cell>
          <cell r="I259"/>
          <cell r="J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H260">
            <v>4.4492565762110416</v>
          </cell>
          <cell r="I260">
            <v>2.5742028664090526</v>
          </cell>
          <cell r="J260">
            <v>1.1556103396650315</v>
          </cell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H261">
            <v>29.847654226236848</v>
          </cell>
          <cell r="I261">
            <v>23.461103566502896</v>
          </cell>
          <cell r="J261">
            <v>14.528378817767088</v>
          </cell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H262">
            <v>29.847654226236848</v>
          </cell>
          <cell r="I262">
            <v>23.461103566502896</v>
          </cell>
          <cell r="J262">
            <v>14.528378817767088</v>
          </cell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H263">
            <v>3.20231399391241E-6</v>
          </cell>
          <cell r="I263">
            <v>3.1086713765181198E-6</v>
          </cell>
          <cell r="J263">
            <v>1.3153598761890599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H264">
            <v>3.1548815744362675</v>
          </cell>
          <cell r="I264">
            <v>2.4798277021262036</v>
          </cell>
          <cell r="J264">
            <v>1.5356402467695971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H265">
            <v>8.2924313192330888E-4</v>
          </cell>
          <cell r="I265">
            <v>6.9102571238554124E-4</v>
          </cell>
          <cell r="J265">
            <v>0.20500652757117324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H266">
            <v>7.2385061538806099E-4</v>
          </cell>
          <cell r="I266">
            <v>5.9016282542321316E-4</v>
          </cell>
          <cell r="J266">
            <v>3.7177939845584172E-2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H267">
            <v>1.5326390261014486E-3</v>
          </cell>
          <cell r="I267">
            <v>1.2558608583929337E-3</v>
          </cell>
          <cell r="J267">
            <v>0.24218446741675725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H268">
            <v>1.7657658932928899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H269">
            <v>4.4492565762109848</v>
          </cell>
          <cell r="I269">
            <v>2.5742028664100189</v>
          </cell>
          <cell r="J269">
            <v>1.1556103396640083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H270">
            <v>1.5911461449123871E-3</v>
          </cell>
          <cell r="I270">
            <v>1.230678016646578E-3</v>
          </cell>
          <cell r="J270">
            <v>7.5479913979720702E-4</v>
          </cell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H271">
            <v>1.9625276902515265</v>
          </cell>
          <cell r="I271">
            <v>2.0632394826293678</v>
          </cell>
          <cell r="J271">
            <v>2.2797387364784343</v>
          </cell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H272">
            <v>1.9641188363964404</v>
          </cell>
          <cell r="I272">
            <v>2.064470160646017</v>
          </cell>
          <cell r="J272">
            <v>2.2804935356182301</v>
          </cell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H273">
            <v>0.23028983303686468</v>
          </cell>
          <cell r="I273">
            <v>0.33999543183241032</v>
          </cell>
          <cell r="J273">
            <v>0.42207151544061566</v>
          </cell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H274">
            <v>0.23005977326360116</v>
          </cell>
          <cell r="I274">
            <v>0.33965577605635394</v>
          </cell>
          <cell r="J274">
            <v>0.42164986557504064</v>
          </cell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H275">
            <v>0.23007491599183275</v>
          </cell>
          <cell r="I275">
            <v>0.33967265121375656</v>
          </cell>
          <cell r="J275">
            <v>0.42166039636694125</v>
          </cell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H276">
            <v>7.3350428542275801E-3</v>
          </cell>
          <cell r="I276">
            <v>2.5308264833346101E-2</v>
          </cell>
          <cell r="J276">
            <v>2.69125560544888E-2</v>
          </cell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H277">
            <v>3.6349452647139166E-2</v>
          </cell>
          <cell r="I277">
            <v>4.3047290828153568E-2</v>
          </cell>
          <cell r="J277">
            <v>4.8291690538484831E-2</v>
          </cell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H278">
            <v>11.070638281929464</v>
          </cell>
          <cell r="I278">
            <v>12.09499371345726</v>
          </cell>
          <cell r="J278">
            <v>10.294001400111588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H279">
            <v>12.011494521573953</v>
          </cell>
          <cell r="I279">
            <v>13.114304668904985</v>
          </cell>
          <cell r="J279">
            <v>11.146919768459236</v>
          </cell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H280">
            <v>4.9263598175594104E-7</v>
          </cell>
          <cell r="I280">
            <v>2.9036963833338897E-7</v>
          </cell>
          <cell r="J280">
            <v>1.9389033949606099E-7</v>
          </cell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H281">
            <v>0.849701125727929</v>
          </cell>
          <cell r="I281">
            <v>0.849701416097568</v>
          </cell>
          <cell r="J281">
            <v>0.849701609987907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H282">
            <v>2.3062073215783458</v>
          </cell>
          <cell r="I282">
            <v>2.3062074145215017</v>
          </cell>
          <cell r="J282">
            <v>2.335399695368694</v>
          </cell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H283">
            <v>3.2436108601664548</v>
          </cell>
          <cell r="I283">
            <v>3.2436109908881878</v>
          </cell>
          <cell r="J283">
            <v>3.2436106880120739</v>
          </cell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H284">
            <v>2.87347422759613E-2</v>
          </cell>
          <cell r="I284">
            <v>9.7273563165220803E-2</v>
          </cell>
          <cell r="J284">
            <v>5.2427063268943898E-2</v>
          </cell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H285">
            <v>0.13547924410441275</v>
          </cell>
          <cell r="I285">
            <v>0.15308452570033385</v>
          </cell>
          <cell r="J285">
            <v>0.1351286464321893</v>
          </cell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H286">
            <v>1.13943578524144E-7</v>
          </cell>
          <cell r="I286">
            <v>1.18587898448115E-7</v>
          </cell>
          <cell r="J286">
            <v>1.12385314387992E-7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H287">
            <v>-9.5473744944842575E-7</v>
          </cell>
          <cell r="I287">
            <v>-5.2889750634642598E-7</v>
          </cell>
          <cell r="J287">
            <v>-4.39196058727612E-7</v>
          </cell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H288">
            <v>9.4443935604862444E-4</v>
          </cell>
          <cell r="I288">
            <v>1.4400872310536806E-3</v>
          </cell>
          <cell r="J288">
            <v>1.0934242280487816E-3</v>
          </cell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H289">
            <v>1.4856355597397573E-3</v>
          </cell>
          <cell r="I289">
            <v>3.5702415074368408E-2</v>
          </cell>
          <cell r="J289">
            <v>0.50707206231078694</v>
          </cell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H290">
            <v>2.4144529929957452E-3</v>
          </cell>
          <cell r="I290">
            <v>3.7133680889440183E-2</v>
          </cell>
          <cell r="J290">
            <v>0.50815900691847715</v>
          </cell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H291"/>
          <cell r="I291"/>
          <cell r="J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H292"/>
          <cell r="I292"/>
          <cell r="J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H293"/>
          <cell r="I293"/>
          <cell r="J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H294">
            <v>2.13214073828747E-3</v>
          </cell>
          <cell r="I294">
            <v>1.1502904288155399E-3</v>
          </cell>
          <cell r="J294">
            <v>7.7375126842490894E-5</v>
          </cell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H295">
            <v>3.1441673173693008E-3</v>
          </cell>
          <cell r="I295">
            <v>1.8382536013640798E-3</v>
          </cell>
          <cell r="J295">
            <v>1.8282136852057007E-4</v>
          </cell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H296">
            <v>2085.5356826710899</v>
          </cell>
          <cell r="I296">
            <v>2077.4139617716501</v>
          </cell>
          <cell r="J296">
            <v>2063.7565421501299</v>
          </cell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H297">
            <v>2085.5356826710913</v>
          </cell>
          <cell r="I297">
            <v>2077.4139617716523</v>
          </cell>
          <cell r="J297">
            <v>2063.756542150129</v>
          </cell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H298"/>
          <cell r="I298"/>
          <cell r="J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H299"/>
          <cell r="I299"/>
          <cell r="J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H300"/>
          <cell r="I300"/>
          <cell r="J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H301">
            <v>5.4191917357916803E-7</v>
          </cell>
          <cell r="I301"/>
          <cell r="J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H302">
            <v>5.216781985655991E-5</v>
          </cell>
          <cell r="I302">
            <v>1.8317103236836198E-7</v>
          </cell>
          <cell r="J302">
            <v>1.1449031441241201E-7</v>
          </cell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H303">
            <v>3.2642158740451701</v>
          </cell>
          <cell r="I303">
            <v>3.765118064612321</v>
          </cell>
          <cell r="J303">
            <v>4.2615134400910248</v>
          </cell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H304">
            <v>2.3306734572938343E-4</v>
          </cell>
          <cell r="I304">
            <v>4.1052787369144368E-4</v>
          </cell>
          <cell r="J304">
            <v>2.8718056076900903E-4</v>
          </cell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H305">
            <v>3.8087496255070234E-2</v>
          </cell>
          <cell r="I305">
            <v>2.7867953314662557E-2</v>
          </cell>
          <cell r="J305">
            <v>1.5147817285722201E-5</v>
          </cell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H306">
            <v>0.70479964769529813</v>
          </cell>
          <cell r="I306">
            <v>0.84553067108842905</v>
          </cell>
          <cell r="J306">
            <v>0.94219687377978512</v>
          </cell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H307">
            <v>1.9588045683462262E-3</v>
          </cell>
          <cell r="I307">
            <v>4.0421125228286316E-3</v>
          </cell>
          <cell r="J307">
            <v>3.9541612568530071E-3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H308"/>
          <cell r="I308">
            <v>6.9231259398443716E-6</v>
          </cell>
          <cell r="J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H309">
            <v>1.7493453673923895E-4</v>
          </cell>
          <cell r="I309">
            <v>2.3955388747100418E-6</v>
          </cell>
          <cell r="J309">
            <v>5.9257364011430677E-5</v>
          </cell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H310"/>
          <cell r="I310">
            <v>7.2016105805410699E-6</v>
          </cell>
          <cell r="J310">
            <v>7.7928718612130254E-5</v>
          </cell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H311">
            <v>0.24245583228116468</v>
          </cell>
          <cell r="I311">
            <v>0.26129546897452999</v>
          </cell>
          <cell r="J311">
            <v>0.28119135762408926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H312">
            <v>1.1795113182703187E-2</v>
          </cell>
          <cell r="I312">
            <v>1.1664627048351219E-2</v>
          </cell>
          <cell r="J312">
            <v>6.9808596217236195E-3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H313">
            <v>2.2193679518269414</v>
          </cell>
          <cell r="I313">
            <v>2.5672992640850119</v>
          </cell>
          <cell r="J313">
            <v>2.9928805678106474</v>
          </cell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H314">
            <v>1.1675762977767876E-3</v>
          </cell>
          <cell r="I314">
            <v>1.7318973120773633E-3</v>
          </cell>
          <cell r="J314">
            <v>2.3973702492505124E-3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H315"/>
          <cell r="I315">
            <v>8.6158570200204284E-5</v>
          </cell>
          <cell r="J315">
            <v>8.3918880441081984E-5</v>
          </cell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H316">
            <v>4.4370049603674105E-2</v>
          </cell>
          <cell r="I316">
            <v>4.5322050257159706E-2</v>
          </cell>
          <cell r="J316">
            <v>3.1504411596982078E-2</v>
          </cell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H317">
            <v>30.418192907939211</v>
          </cell>
          <cell r="I317">
            <v>21.139946805713851</v>
          </cell>
          <cell r="J317">
            <v>3.3560540200526892</v>
          </cell>
          <cell r="L317"/>
          <cell r="M317"/>
          <cell r="N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H318">
            <v>30.418192907939211</v>
          </cell>
          <cell r="I318">
            <v>21.139946805713851</v>
          </cell>
          <cell r="J318">
            <v>3.3560540200526892</v>
          </cell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H319">
            <v>4.4183774212319702E-6</v>
          </cell>
          <cell r="I319">
            <v>2.2029755295417699E-6</v>
          </cell>
          <cell r="J319">
            <v>6.1267768352270602E-2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H320">
            <v>3.2152000594299741</v>
          </cell>
          <cell r="I320">
            <v>2.2345142231593531</v>
          </cell>
          <cell r="J320">
            <v>0.42687196209480599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H321">
            <v>2.2223075714425753</v>
          </cell>
          <cell r="I321">
            <v>2.6177930743786759</v>
          </cell>
          <cell r="J321">
            <v>2.6177979276462819</v>
          </cell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H322">
            <v>2.2223075714425753</v>
          </cell>
          <cell r="I322">
            <v>2.6177930743786759</v>
          </cell>
          <cell r="J322">
            <v>2.6177979276462819</v>
          </cell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H323">
            <v>4.8452919686956403E-7</v>
          </cell>
          <cell r="I323">
            <v>7.2243758313730103E-3</v>
          </cell>
          <cell r="J323">
            <v>8.6408030636258695E-2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H324">
            <v>0.20230052307833279</v>
          </cell>
          <cell r="I324">
            <v>0.20952549455508715</v>
          </cell>
          <cell r="J324">
            <v>0.21058333688199862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H325">
            <v>0.68243923596226375</v>
          </cell>
          <cell r="I325">
            <v>0.81160020800729216</v>
          </cell>
          <cell r="J325">
            <v>0.913220673354874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H326">
            <v>0.6831216751982262</v>
          </cell>
          <cell r="I326">
            <v>0.81241180821529946</v>
          </cell>
          <cell r="J326">
            <v>0.91413389402822898</v>
          </cell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H327">
            <v>0.682448335009323</v>
          </cell>
          <cell r="I327">
            <v>0.8116077959481024</v>
          </cell>
          <cell r="J327">
            <v>0.91323069832043746</v>
          </cell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H328">
            <v>7.7005757005163905E-2</v>
          </cell>
          <cell r="I328">
            <v>4.5866591735543999E-2</v>
          </cell>
          <cell r="J328">
            <v>8.3860218992819702E-2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H329">
            <v>0.10767894594698896</v>
          </cell>
          <cell r="I329">
            <v>0.12990584251366299</v>
          </cell>
          <cell r="J329">
            <v>0.149720165577059</v>
          </cell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H330">
            <v>3.5454794969538552</v>
          </cell>
          <cell r="I330">
            <v>4.0772680894349271</v>
          </cell>
          <cell r="J330">
            <v>4.0772735056604565</v>
          </cell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H331">
            <v>3.5454794969538552</v>
          </cell>
          <cell r="I331">
            <v>4.0772680894349271</v>
          </cell>
          <cell r="J331">
            <v>4.0772735056604565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H332">
            <v>4.6538010843423199E-7</v>
          </cell>
          <cell r="I332">
            <v>6.4840499631470998E-3</v>
          </cell>
          <cell r="J332">
            <v>0.13647784971365601</v>
          </cell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H333">
            <v>0.31507387686968152</v>
          </cell>
          <cell r="I333">
            <v>0.32155854698071845</v>
          </cell>
          <cell r="J333">
            <v>0.3251073364132579</v>
          </cell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H334">
            <v>2.0581670044711551</v>
          </cell>
          <cell r="I334">
            <v>3.2752986359747962</v>
          </cell>
          <cell r="J334">
            <v>3.2762361939077764</v>
          </cell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H335">
            <v>2.0581670044711551</v>
          </cell>
          <cell r="I335">
            <v>3.2752986359747962</v>
          </cell>
          <cell r="J335">
            <v>3.2762361939077764</v>
          </cell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H336">
            <v>2.8705819213397402E-7</v>
          </cell>
          <cell r="I336">
            <v>6.6753186171763498E-2</v>
          </cell>
          <cell r="J336">
            <v>7.8667506670053705E-2</v>
          </cell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H337">
            <v>0.18639489438559192</v>
          </cell>
          <cell r="I337">
            <v>0.25314877943926667</v>
          </cell>
          <cell r="J337">
            <v>0.25317653752237024</v>
          </cell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H338">
            <v>2.3705111919061694E-3</v>
          </cell>
          <cell r="I338">
            <v>5.4544448989278092E-2</v>
          </cell>
          <cell r="J338">
            <v>3.3208106545056739</v>
          </cell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H339">
            <v>2.3705111919061694E-3</v>
          </cell>
          <cell r="I339">
            <v>5.4544448989278092E-2</v>
          </cell>
          <cell r="J339">
            <v>3.3208106545056739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H340">
            <v>2.4015426404431401E-7</v>
          </cell>
          <cell r="I340">
            <v>3.9148310377023002E-3</v>
          </cell>
          <cell r="J340">
            <v>0.25250906325360301</v>
          </cell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H341">
            <v>3.2754558053354262E-4</v>
          </cell>
          <cell r="I341">
            <v>4.2428930248172066E-3</v>
          </cell>
          <cell r="J341">
            <v>0.25661389204414614</v>
          </cell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H342">
            <v>433.072894079261</v>
          </cell>
          <cell r="I342">
            <v>113.88846617095101</v>
          </cell>
          <cell r="J342">
            <v>39.769321761610797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H343">
            <v>7.2396928447434146</v>
          </cell>
          <cell r="I343">
            <v>1.9038769798548729</v>
          </cell>
          <cell r="J343">
            <v>0.66482497088616477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H344">
            <v>7.6785974127528522</v>
          </cell>
          <cell r="I344">
            <v>2.0192990455842299</v>
          </cell>
          <cell r="J344">
            <v>0.70512981846827627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H345">
            <v>5.20884827738557E-2</v>
          </cell>
          <cell r="I345">
            <v>8.2717750248737704E-2</v>
          </cell>
          <cell r="J345">
            <v>3.6367689397680199E-7</v>
          </cell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H346">
            <v>0.51460772692506052</v>
          </cell>
          <cell r="I346">
            <v>0.15301105614021127</v>
          </cell>
          <cell r="J346">
            <v>5.3710412021402296E-2</v>
          </cell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H347">
            <v>1.7657658932926701</v>
          </cell>
          <cell r="I347"/>
          <cell r="J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H348">
            <v>4.4492565762110416</v>
          </cell>
          <cell r="I348">
            <v>2.5742028664090526</v>
          </cell>
          <cell r="J348">
            <v>1.1556103396650315</v>
          </cell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H349">
            <v>1.6995185737755697E-3</v>
          </cell>
          <cell r="I349">
            <v>2.8411182299618296E-3</v>
          </cell>
          <cell r="J349">
            <v>1.8242505853868356</v>
          </cell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H350">
            <v>1.6995185737755697E-3</v>
          </cell>
          <cell r="I350">
            <v>2.8411182299618296E-3</v>
          </cell>
          <cell r="J350">
            <v>1.8242505853868356</v>
          </cell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H351">
            <v>2.0614415117704801E-7</v>
          </cell>
          <cell r="I351">
            <v>9.0886442868562999E-7</v>
          </cell>
          <cell r="J351">
            <v>0.14083321334267199</v>
          </cell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H352">
            <v>2.4051223625828075E-4</v>
          </cell>
          <cell r="I352">
            <v>2.4187498430230107E-4</v>
          </cell>
          <cell r="J352">
            <v>0.14097374393119622</v>
          </cell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H353">
            <v>1.7657658932928899</v>
          </cell>
          <cell r="I353"/>
          <cell r="J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H354">
            <v>4.4492565762109848</v>
          </cell>
          <cell r="I354">
            <v>2.5742028664100189</v>
          </cell>
          <cell r="J354">
            <v>1.1556103396640083</v>
          </cell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H355">
            <v>3.9089609618601915</v>
          </cell>
          <cell r="I355">
            <v>5.2897664571570662</v>
          </cell>
          <cell r="J355">
            <v>4.5301478324090692</v>
          </cell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H356">
            <v>3.9128699228220505</v>
          </cell>
          <cell r="I356">
            <v>5.2950562236142273</v>
          </cell>
          <cell r="J356">
            <v>4.5346779802414758</v>
          </cell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H357">
            <v>3.9089727271101733</v>
          </cell>
          <cell r="I357">
            <v>5.2897788554217895</v>
          </cell>
          <cell r="J357">
            <v>4.5301581608555495</v>
          </cell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H358">
            <v>0.12560224129033501</v>
          </cell>
          <cell r="I358">
            <v>0.227695504915953</v>
          </cell>
          <cell r="J358">
            <v>0.17648422799105501</v>
          </cell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H359">
            <v>0.41670410694875715</v>
          </cell>
          <cell r="I359">
            <v>0.44498240722909704</v>
          </cell>
          <cell r="J359">
            <v>0.39479685536587195</v>
          </cell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H360">
            <v>9.5078522435220511E-4</v>
          </cell>
          <cell r="I360">
            <v>1.557284842465986E-3</v>
          </cell>
          <cell r="J360">
            <v>1.050393527490261E-3</v>
          </cell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H361">
            <v>9.5078522435220511E-4</v>
          </cell>
          <cell r="I361">
            <v>1.557284842465986E-3</v>
          </cell>
          <cell r="J361">
            <v>1.050393527490261E-3</v>
          </cell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H362">
            <v>1.69938296697457E-7</v>
          </cell>
          <cell r="I362">
            <v>3.9796368896264599E-7</v>
          </cell>
          <cell r="J362">
            <v>8.7861491766402706E-6</v>
          </cell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H363">
            <v>1.3820383146727827E-4</v>
          </cell>
          <cell r="I363">
            <v>1.3890836769806975E-4</v>
          </cell>
          <cell r="J363">
            <v>8.9560778984970743E-5</v>
          </cell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H365">
            <v>0.11727625719638865</v>
          </cell>
          <cell r="I365">
            <v>5.920416317399789E-2</v>
          </cell>
          <cell r="J365">
            <v>1.152927787356484E-5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H366">
            <v>0.38715315521377974</v>
          </cell>
          <cell r="I366">
            <v>0.4479613860638787</v>
          </cell>
          <cell r="J366">
            <v>0.50397508177533679</v>
          </cell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H367">
            <v>2.2640964901681879E-3</v>
          </cell>
          <cell r="I367">
            <v>8.3697213267704875E-3</v>
          </cell>
          <cell r="J367">
            <v>8.2422795485046566E-3</v>
          </cell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H368">
            <v>2.3870087139787606E-3</v>
          </cell>
          <cell r="I368">
            <v>5.2157143385605006E-3</v>
          </cell>
          <cell r="J368">
            <v>1.9744739305503399E-3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H369">
            <v>3.2652995768137595E-5</v>
          </cell>
          <cell r="I369">
            <v>1.1715150784223699E-4</v>
          </cell>
          <cell r="J369">
            <v>3.3526513388029618E-4</v>
          </cell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H370">
            <v>1.9709328512549544</v>
          </cell>
          <cell r="I370">
            <v>2.3109368801890211</v>
          </cell>
          <cell r="J370">
            <v>2.6418016507428206</v>
          </cell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H371">
            <v>1.2624336808105579E-4</v>
          </cell>
          <cell r="I371">
            <v>3.7545927571929226E-5</v>
          </cell>
          <cell r="J371">
            <v>9.9516940488200326E-5</v>
          </cell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H372"/>
          <cell r="I372">
            <v>4.2766331436272097E-4</v>
          </cell>
          <cell r="J372">
            <v>1.6872144511062792E-4</v>
          </cell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H373">
            <v>1.7400543702973963E-4</v>
          </cell>
          <cell r="I373">
            <v>1.2855061348998986E-3</v>
          </cell>
          <cell r="J373">
            <v>1.3642729863267919E-5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H374">
            <v>8.0822604694437872E-4</v>
          </cell>
          <cell r="I374">
            <v>3.8177205511572602E-3</v>
          </cell>
          <cell r="J374">
            <v>1.4300520080974025E-3</v>
          </cell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H375">
            <v>1.1060351667349623E-4</v>
          </cell>
          <cell r="I375">
            <v>1.9388665641280649E-5</v>
          </cell>
          <cell r="J375">
            <v>2.8605146559204654E-5</v>
          </cell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H376">
            <v>0.87988576539431373</v>
          </cell>
          <cell r="I376">
            <v>1.0376482817401487</v>
          </cell>
          <cell r="J376">
            <v>1.0875567984040257</v>
          </cell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H377">
            <v>1.459434212817548E-2</v>
          </cell>
          <cell r="I377">
            <v>1.4047064832440853E-5</v>
          </cell>
          <cell r="J377">
            <v>7.3117666134333117E-5</v>
          </cell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H378">
            <v>2.0581852496941638E-2</v>
          </cell>
          <cell r="I378">
            <v>2.0764022023731458E-2</v>
          </cell>
          <cell r="J378">
            <v>2.105771040698487E-2</v>
          </cell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H379">
            <v>2.0583094663309039E-2</v>
          </cell>
          <cell r="I379">
            <v>2.0765308553182E-2</v>
          </cell>
          <cell r="J379">
            <v>2.1058353671710148E-2</v>
          </cell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H380">
            <v>9.0367217571970803E-6</v>
          </cell>
          <cell r="I380">
            <v>3.69280239071697E-4</v>
          </cell>
          <cell r="J380">
            <v>4.03796230023201E-4</v>
          </cell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H381">
            <v>7.771925643291598E-4</v>
          </cell>
          <cell r="I381">
            <v>7.7848223391696093E-4</v>
          </cell>
          <cell r="J381">
            <v>7.7953349853470083E-4</v>
          </cell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H382">
            <v>1.7657658932926701</v>
          </cell>
          <cell r="I382"/>
          <cell r="J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H383">
            <v>4.4492565762110416</v>
          </cell>
          <cell r="I383">
            <v>2.5742028664090526</v>
          </cell>
          <cell r="J383">
            <v>1.1556103396650315</v>
          </cell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H384">
            <v>5.397703388022629E-4</v>
          </cell>
          <cell r="I384">
            <v>8.4360858535045379E-4</v>
          </cell>
          <cell r="J384">
            <v>5.2225759048214564E-4</v>
          </cell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H385">
            <v>5.397703388022629E-4</v>
          </cell>
          <cell r="I385">
            <v>8.4360858535045379E-4</v>
          </cell>
          <cell r="J385">
            <v>5.2225759048214564E-4</v>
          </cell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H386">
            <v>1.17026141495876E-7</v>
          </cell>
          <cell r="I386"/>
          <cell r="J386">
            <v>4.9967593576282804E-7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H387">
            <v>7.9276199247979218E-5</v>
          </cell>
          <cell r="I387">
            <v>7.9431067664938504E-5</v>
          </cell>
          <cell r="J387">
            <v>4.664736770835569E-5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H388">
            <v>1.7657658932928899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H389">
            <v>4.4492565762109848</v>
          </cell>
          <cell r="I389">
            <v>2.5742028664100189</v>
          </cell>
          <cell r="J389">
            <v>1.1556103396640083</v>
          </cell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H390">
            <v>1.8944962948317553E-4</v>
          </cell>
          <cell r="I390">
            <v>2.5423774038480504E-4</v>
          </cell>
          <cell r="J390">
            <v>1.6173685479792336E-4</v>
          </cell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H391">
            <v>1.8944962948317553E-4</v>
          </cell>
          <cell r="I391">
            <v>2.5423774038480504E-4</v>
          </cell>
          <cell r="J391">
            <v>1.6173685479792336E-4</v>
          </cell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H392">
            <v>5.0244457000650303E-8</v>
          </cell>
          <cell r="I392"/>
          <cell r="J392">
            <v>8.9545962730082203E-8</v>
          </cell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H393">
            <v>2.6519122765379789E-5</v>
          </cell>
          <cell r="I393">
            <v>2.6527890960772253E-5</v>
          </cell>
          <cell r="J393">
            <v>1.5526489021544681E-5</v>
          </cell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H394">
            <v>50.667119886465493</v>
          </cell>
          <cell r="I394">
            <v>50.746878421304487</v>
          </cell>
          <cell r="J394">
            <v>52.089131214661677</v>
          </cell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H395">
            <v>50.667119886465493</v>
          </cell>
          <cell r="I395">
            <v>50.746878421304487</v>
          </cell>
          <cell r="J395">
            <v>52.089131214661677</v>
          </cell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H396">
            <v>5.2277856208468501E-6</v>
          </cell>
          <cell r="I396">
            <v>4.3287008969324003E-3</v>
          </cell>
          <cell r="J396">
            <v>2.5319575231860401</v>
          </cell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H397">
            <v>2.755441866674841</v>
          </cell>
          <cell r="I397">
            <v>2.759761186735902</v>
          </cell>
          <cell r="J397">
            <v>2.8327556161774177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H398">
            <v>0.38790329915518396</v>
          </cell>
          <cell r="I398">
            <v>0.45174336957749001</v>
          </cell>
          <cell r="J398">
            <v>0.50554770264705129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H399">
            <v>0.38790329915518396</v>
          </cell>
          <cell r="I399">
            <v>0.45174336957749001</v>
          </cell>
          <cell r="J399">
            <v>0.50554770264705129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H400">
            <v>0.42656913294998461</v>
          </cell>
          <cell r="I400">
            <v>0.49624350005102175</v>
          </cell>
          <cell r="J400">
            <v>0.55534796590144919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H401">
            <v>1.61519195699504E-2</v>
          </cell>
          <cell r="I401">
            <v>1.8959246443308E-2</v>
          </cell>
          <cell r="J401">
            <v>4.5443581747546702E-2</v>
          </cell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H402">
            <v>3.1483735314716495E-2</v>
          </cell>
          <cell r="I402">
            <v>3.7106850552602599E-2</v>
          </cell>
          <cell r="J402">
            <v>6.6838305185090707E-2</v>
          </cell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H403">
            <v>1.7657658932926701</v>
          </cell>
          <cell r="I403"/>
          <cell r="J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H404">
            <v>4.4492565762110416</v>
          </cell>
          <cell r="I404">
            <v>2.5742028664090526</v>
          </cell>
          <cell r="J404">
            <v>1.1556103396650315</v>
          </cell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H405">
            <v>7.0866805288581853E-5</v>
          </cell>
          <cell r="I405">
            <v>7.7119282519143555E-5</v>
          </cell>
          <cell r="J405">
            <v>5.1831328757910678E-5</v>
          </cell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H406">
            <v>7.0866805288581853E-5</v>
          </cell>
          <cell r="I406">
            <v>7.7119282519143555E-5</v>
          </cell>
          <cell r="J406">
            <v>5.1831328757910678E-5</v>
          </cell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H407">
            <v>2.3354408143263499E-8</v>
          </cell>
          <cell r="I407"/>
          <cell r="J407">
            <v>3.2925641978777098E-8</v>
          </cell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H408">
            <v>7.782312912853995E-6</v>
          </cell>
          <cell r="I408">
            <v>7.7745282507192161E-6</v>
          </cell>
          <cell r="J408">
            <v>4.5963738699273458E-6</v>
          </cell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H409">
            <v>7.273811480598358E-4</v>
          </cell>
          <cell r="I409">
            <v>4.0797292155443544E-5</v>
          </cell>
          <cell r="J409">
            <v>3.5969139561214421E-4</v>
          </cell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H410">
            <v>0.100265029628471</v>
          </cell>
          <cell r="I410">
            <v>5.6028281226809104E-3</v>
          </cell>
          <cell r="J410">
            <v>4.90344005488908E-2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H411">
            <v>1.0816076551075618E-3</v>
          </cell>
          <cell r="I411">
            <v>6.0440432822879355E-5</v>
          </cell>
          <cell r="J411">
            <v>5.2895793472374137E-4</v>
          </cell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H412">
            <v>5.3717158742069702E-5</v>
          </cell>
          <cell r="I412">
            <v>3.6105961288268E-6</v>
          </cell>
          <cell r="J412">
            <v>3.2668456948332897E-5</v>
          </cell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H413">
            <v>6.820615164275512E-5</v>
          </cell>
          <cell r="I413">
            <v>3.5730016686425067E-6</v>
          </cell>
          <cell r="J413">
            <v>3.3912403560256105E-5</v>
          </cell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H415">
            <v>1.7739131589265218</v>
          </cell>
          <cell r="I415">
            <v>0.76875673326772009</v>
          </cell>
          <cell r="J415">
            <v>0.33171610595749268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H416">
            <v>1.2597378608197787</v>
          </cell>
          <cell r="I416">
            <v>0.45236999332843997</v>
          </cell>
          <cell r="J416">
            <v>2.8678360621876994E-2</v>
          </cell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H417">
            <v>0.70787027511113754</v>
          </cell>
          <cell r="I417">
            <v>0.54819809818071985</v>
          </cell>
          <cell r="J417">
            <v>0.25105798067518775</v>
          </cell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H418">
            <v>2.7620272909552468</v>
          </cell>
          <cell r="I418">
            <v>3.4732601166097736</v>
          </cell>
          <cell r="J418">
            <v>3.6177572903574093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H419">
            <v>4.8834698828639225E-6</v>
          </cell>
          <cell r="I419">
            <v>4.9646229686967263E-6</v>
          </cell>
          <cell r="J419">
            <v>1.296234354038349E-5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H420">
            <v>2.7691535384037951E-2</v>
          </cell>
          <cell r="I420">
            <v>2.1791174656178906E-2</v>
          </cell>
          <cell r="J420">
            <v>8.2718412458078396E-3</v>
          </cell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H421">
            <v>2.4435372816399541</v>
          </cell>
          <cell r="I421">
            <v>2.8240771755283238</v>
          </cell>
          <cell r="J421">
            <v>2.8217947288510983</v>
          </cell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H422">
            <v>1.7469719455442647</v>
          </cell>
          <cell r="I422">
            <v>1.5824188814542053</v>
          </cell>
          <cell r="J422">
            <v>1.3798249432987215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H423">
            <v>1.731546975796046</v>
          </cell>
          <cell r="I423">
            <v>2.0217929162222252</v>
          </cell>
          <cell r="J423">
            <v>2.2765840239239723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H424">
            <v>11.403664011673429</v>
          </cell>
          <cell r="I424">
            <v>14.224766346209893</v>
          </cell>
          <cell r="J424">
            <v>15.741870269703581</v>
          </cell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H425">
            <v>2.7620238280257854</v>
          </cell>
          <cell r="I425">
            <v>3.4732553128131833</v>
          </cell>
          <cell r="J425">
            <v>3.6177616724187036</v>
          </cell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H426">
            <v>62.950818696585102</v>
          </cell>
          <cell r="I426">
            <v>73.840842363107299</v>
          </cell>
          <cell r="J426">
            <v>63.388469608684197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H427">
            <v>1.1161492676699483</v>
          </cell>
          <cell r="I427">
            <v>1.3092347936721138</v>
          </cell>
          <cell r="J427">
            <v>1.1239090356149681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H428">
            <v>5.2898640865301098E-2</v>
          </cell>
          <cell r="I428">
            <v>0.12463762499962</v>
          </cell>
          <cell r="J428">
            <v>0.134454089823382</v>
          </cell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H429">
            <v>0.18880333576211042</v>
          </cell>
          <cell r="I429">
            <v>0.23741467660010754</v>
          </cell>
          <cell r="J429">
            <v>0.24728337453573385</v>
          </cell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H430">
            <v>2.3513837898946942E-5</v>
          </cell>
          <cell r="I430">
            <v>1.8004078720125933E-5</v>
          </cell>
          <cell r="J430">
            <v>1.1746893764262421E-5</v>
          </cell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H431">
            <v>2.4440305691308221E-5</v>
          </cell>
          <cell r="I431">
            <v>2.1627286060346856E-5</v>
          </cell>
          <cell r="J431">
            <v>1.0802657683914634E-5</v>
          </cell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H432">
            <v>0.12664075353707299</v>
          </cell>
          <cell r="I432">
            <v>0.202153978127288</v>
          </cell>
          <cell r="J432">
            <v>0.21231184194056801</v>
          </cell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H433">
            <v>0.32892331085201471</v>
          </cell>
          <cell r="I433">
            <v>0.42673572772159746</v>
          </cell>
          <cell r="J433">
            <v>0.41249087341122853</v>
          </cell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H434">
            <v>507.45422631259203</v>
          </cell>
          <cell r="I434">
            <v>135.12885436255499</v>
          </cell>
          <cell r="J434">
            <v>15.378524658600501</v>
          </cell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H435">
            <v>6.0008549702770626</v>
          </cell>
          <cell r="I435">
            <v>1.5979542888462945</v>
          </cell>
          <cell r="J435">
            <v>0.18185738012997488</v>
          </cell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H436">
            <v>6.8854033420975869</v>
          </cell>
          <cell r="I436">
            <v>1.833498702341319</v>
          </cell>
          <cell r="J436">
            <v>0.20866383525916601</v>
          </cell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H437">
            <v>2.74876799905956E-2</v>
          </cell>
          <cell r="I437">
            <v>8.6948839849366896E-2</v>
          </cell>
          <cell r="J437">
            <v>2.28348590368009E-7</v>
          </cell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H438">
            <v>0.42460226390315892</v>
          </cell>
          <cell r="I438">
            <v>0.11443635112114126</v>
          </cell>
          <cell r="J438">
            <v>1.5617704998817407E-2</v>
          </cell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H439">
            <v>1.4259934243426691</v>
          </cell>
          <cell r="I439">
            <v>1.3138208914371032</v>
          </cell>
          <cell r="J439">
            <v>1.0171745432530901</v>
          </cell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H440">
            <v>42.241330152928697</v>
          </cell>
          <cell r="I440">
            <v>37.180266193320101</v>
          </cell>
          <cell r="J440">
            <v>26.877463747360999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H441">
            <v>1.4259934243426691</v>
          </cell>
          <cell r="I441">
            <v>1.3138208914371032</v>
          </cell>
          <cell r="J441">
            <v>1.0171745432530901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H442">
            <v>0.74895975448455099</v>
          </cell>
          <cell r="I442">
            <v>0.65922457789574662</v>
          </cell>
          <cell r="J442">
            <v>0.47655077566242937</v>
          </cell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H443">
            <v>5.48453614563646E-7</v>
          </cell>
          <cell r="I443">
            <v>8.3763728804749693E-2</v>
          </cell>
          <cell r="J443">
            <v>2.1398678020120201E-2</v>
          </cell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H444">
            <v>0.12979909916866653</v>
          </cell>
          <cell r="I444">
            <v>0.10675453706068558</v>
          </cell>
          <cell r="J444">
            <v>8.2188907513324833E-2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I445">
            <v>8.1918533071685575E-4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H446">
            <v>1.8909269537193912E-3</v>
          </cell>
          <cell r="I446">
            <v>1.2927925880825736E-3</v>
          </cell>
          <cell r="J446">
            <v>1.858189778540323E-3</v>
          </cell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3.631093862489853E-7</v>
          </cell>
          <cell r="I447">
            <v>1.4486198502583885E-6</v>
          </cell>
          <cell r="J447">
            <v>3.7355864122488224E-6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H448">
            <v>1.8928596760060057E-3</v>
          </cell>
          <cell r="I448">
            <v>2.1148616962237137E-3</v>
          </cell>
          <cell r="J448">
            <v>1.8624222256263267E-3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H449">
            <v>0.19438870338494443</v>
          </cell>
          <cell r="I449">
            <v>0.19444796025340907</v>
          </cell>
          <cell r="J449">
            <v>0.19133641525995443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H450">
            <v>0.19438870338494443</v>
          </cell>
          <cell r="I450">
            <v>0.19444796025340907</v>
          </cell>
          <cell r="J450">
            <v>0.19133641525995443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H451">
            <v>1.6323982947781101E-2</v>
          </cell>
          <cell r="I451">
            <v>1.20557618392351E-2</v>
          </cell>
          <cell r="J451">
            <v>1.27251622098581E-2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H452">
            <v>2.8380804975112382E-2</v>
          </cell>
          <cell r="I452">
            <v>2.8379881147098399E-2</v>
          </cell>
          <cell r="J452">
            <v>2.8379390207984901E-2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H453">
            <v>4.9017779948701161</v>
          </cell>
          <cell r="I453">
            <v>5.8224372110650195</v>
          </cell>
          <cell r="J453">
            <v>5.1203402155229396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H454">
            <v>131.28979506093199</v>
          </cell>
          <cell r="I454">
            <v>150.013789465689</v>
          </cell>
          <cell r="J454">
            <v>120.55702906951799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H455">
            <v>4.9017779948701161</v>
          </cell>
          <cell r="I455">
            <v>5.8224372110650195</v>
          </cell>
          <cell r="J455">
            <v>5.1203402155229396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H456">
            <v>2.327833245761211</v>
          </cell>
          <cell r="I456">
            <v>2.6598189621576069</v>
          </cell>
          <cell r="J456">
            <v>2.1375359764098962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H457">
            <v>7.2739909696096505E-2</v>
          </cell>
          <cell r="I457">
            <v>0.263403500528962</v>
          </cell>
          <cell r="J457">
            <v>0.17659150345473201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H458">
            <v>0.37900937639772497</v>
          </cell>
          <cell r="I458">
            <v>0.45634973882737301</v>
          </cell>
          <cell r="J458">
            <v>0.39852047483220304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H459">
            <v>2.62185262418825</v>
          </cell>
          <cell r="I459">
            <v>2.6882848539720601</v>
          </cell>
          <cell r="J459">
            <v>1.8621461811804501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H460">
            <v>4.4626076969189986E-2</v>
          </cell>
          <cell r="I460">
            <v>4.5756807877638764E-2</v>
          </cell>
          <cell r="J460">
            <v>3.1695251686761267E-2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H461">
            <v>4.6486748655820129E-2</v>
          </cell>
          <cell r="I461">
            <v>4.7664625070426597E-2</v>
          </cell>
          <cell r="J461">
            <v>3.3016776262064805E-2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H462">
            <v>3.5273454901589399E-5</v>
          </cell>
          <cell r="I462">
            <v>3.5436365408290402E-3</v>
          </cell>
          <cell r="J462">
            <v>2.0663770017666399E-6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H463">
            <v>3.8603234622665121E-3</v>
          </cell>
          <cell r="I463">
            <v>3.57899094484336E-3</v>
          </cell>
          <cell r="J463">
            <v>2.5867381266540309E-3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H464">
            <v>2.1125348369048069</v>
          </cell>
          <cell r="I464">
            <v>2.3820180101986468</v>
          </cell>
          <cell r="J464">
            <v>2.0431982063099128E-2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H465">
            <v>3.7038838716202016E-3</v>
          </cell>
          <cell r="I465">
            <v>5.7560681664538035E-3</v>
          </cell>
          <cell r="J465">
            <v>3.8286404991821179E-5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H467">
            <v>2.1162387207764262</v>
          </cell>
          <cell r="I467">
            <v>2.3877740783650996</v>
          </cell>
          <cell r="J467">
            <v>2.0470268468090975E-2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H468">
            <v>1.9718993449223881</v>
          </cell>
          <cell r="I468">
            <v>2.3168247507860475</v>
          </cell>
          <cell r="J468">
            <v>2.6436982498613415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H469">
            <v>0.53213665326732806</v>
          </cell>
          <cell r="I469">
            <v>0.60152759061769823</v>
          </cell>
          <cell r="J469">
            <v>0.63442667636222883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H470">
            <v>1.9718993449223881</v>
          </cell>
          <cell r="I470">
            <v>2.3168247507860475</v>
          </cell>
          <cell r="J470">
            <v>2.6436982498613415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H471">
            <v>3.0813436672523099E-2</v>
          </cell>
          <cell r="I471">
            <v>0.107383820223747</v>
          </cell>
          <cell r="J471">
            <v>0.114270036403168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H472">
            <v>0.15450338299948543</v>
          </cell>
          <cell r="I472">
            <v>0.18295069869659203</v>
          </cell>
          <cell r="J472">
            <v>0.20523568999047048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2.463779060891468</v>
          </cell>
          <cell r="I473">
            <v>6.9678598615864011</v>
          </cell>
          <cell r="J473">
            <v>7.1300632737829375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2.463779060891468</v>
          </cell>
          <cell r="I474">
            <v>6.9678598615864011</v>
          </cell>
          <cell r="J474">
            <v>7.1300632737829375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H475">
            <v>8.9824700469326904E-2</v>
          </cell>
          <cell r="I475">
            <v>0.25114286169382599</v>
          </cell>
          <cell r="J475">
            <v>0.166550300782491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H476">
            <v>8.9825312751876205E-2</v>
          </cell>
          <cell r="I476">
            <v>0.26705278539730198</v>
          </cell>
          <cell r="J476">
            <v>0.25257206688080303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H477">
            <v>3.5031176778089031E-4</v>
          </cell>
          <cell r="I477">
            <v>3.1250902004856425E-4</v>
          </cell>
          <cell r="J477">
            <v>1.765442318310836E-4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H478">
            <v>3.5066207954867099E-4</v>
          </cell>
          <cell r="I478">
            <v>3.1282152906861283E-4</v>
          </cell>
          <cell r="J478">
            <v>1.7672077606291473E-4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H479">
            <v>3.5322776329691023E-4</v>
          </cell>
          <cell r="I479">
            <v>3.1722721893137488E-4</v>
          </cell>
          <cell r="J479">
            <v>1.7755027019123707E-4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H480">
            <v>6.5514426746563498E-5</v>
          </cell>
          <cell r="I480">
            <v>5.0600198756366702E-5</v>
          </cell>
          <cell r="J480">
            <v>2.9840828183711001E-5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H481">
            <v>1.1898104308730173E-4</v>
          </cell>
          <cell r="I481">
            <v>9.5322379911251987E-5</v>
          </cell>
          <cell r="J481">
            <v>5.7392766000670997E-5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H482">
            <v>3.4616410243689701E-4</v>
          </cell>
          <cell r="I482">
            <v>5.0244724652190598E-3</v>
          </cell>
          <cell r="J482">
            <v>3.56125662175081E-2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H483">
            <v>4.3783472122068437E-4</v>
          </cell>
          <cell r="I483">
            <v>5.2629681008023836E-3</v>
          </cell>
          <cell r="J483">
            <v>3.7520150413059832E-2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H484">
            <v>76.897500672239261</v>
          </cell>
          <cell r="I484">
            <v>77.477842136946222</v>
          </cell>
          <cell r="J484">
            <v>78.371645288712855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H485">
            <v>5.8043934830595166E-3</v>
          </cell>
          <cell r="I485">
            <v>2.0610435140759865E-3</v>
          </cell>
          <cell r="J485">
            <v>6.3391979883633725E-3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H486">
            <v>45.777538307724328</v>
          </cell>
          <cell r="I486">
            <v>43.357815931133658</v>
          </cell>
          <cell r="J486">
            <v>42.681084506288705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H487">
            <v>7.6014267637312276</v>
          </cell>
          <cell r="I487">
            <v>9.6921638278141806</v>
          </cell>
          <cell r="J487">
            <v>11.290957894010859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H488">
            <v>10.161806693866216</v>
          </cell>
          <cell r="I488">
            <v>11.075423957562247</v>
          </cell>
          <cell r="J488">
            <v>11.078619312572149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H489">
            <v>13.156799921970252</v>
          </cell>
          <cell r="I489">
            <v>13.156611070511843</v>
          </cell>
          <cell r="J489">
            <v>13.123905376969486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H490">
            <v>0.19432772469950962</v>
          </cell>
          <cell r="I490">
            <v>0.19395350675652528</v>
          </cell>
          <cell r="J490">
            <v>0.19096946523042335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H491">
            <v>3.1464767754639912E-3</v>
          </cell>
          <cell r="I491">
            <v>3.2465522700316045E-3</v>
          </cell>
          <cell r="J491">
            <v>1.3246360200047259E-3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H492">
            <v>1.248413190130933E-3</v>
          </cell>
          <cell r="I492">
            <v>1.0657613821171198E-3</v>
          </cell>
          <cell r="J492">
            <v>5.5966710553224301E-4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H493">
            <v>4.3948899655949277E-3</v>
          </cell>
          <cell r="I493">
            <v>4.3123136521487282E-3</v>
          </cell>
          <cell r="J493">
            <v>1.8843031255369681E-3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H494">
            <v>4.7670589068974173E-2</v>
          </cell>
          <cell r="I494">
            <v>6.2141530934061578E-2</v>
          </cell>
          <cell r="J494">
            <v>6.4943654574439652E-2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H495">
            <v>4.7718259658043126E-2</v>
          </cell>
          <cell r="I495">
            <v>6.2203672464995606E-2</v>
          </cell>
          <cell r="J495">
            <v>6.5008598229014114E-2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H496">
            <v>4.7689088475243176E-2</v>
          </cell>
          <cell r="I496">
            <v>6.2158050637659119E-2</v>
          </cell>
          <cell r="J496">
            <v>6.4960108655248469E-2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H497">
            <v>4.2315854122268997E-3</v>
          </cell>
          <cell r="I497">
            <v>9.9156900332368399E-3</v>
          </cell>
          <cell r="J497">
            <v>1.1004523464584699E-2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H498">
            <v>1.6109604494232859E-2</v>
          </cell>
          <cell r="I498">
            <v>1.9399910065918742E-2</v>
          </cell>
          <cell r="J498">
            <v>1.9902949180245214E-2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H499">
            <v>3.2436108601664548</v>
          </cell>
          <cell r="I499">
            <v>3.2436109908881878</v>
          </cell>
          <cell r="J499">
            <v>3.2436106880120739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H500">
            <v>3.2436108601664548</v>
          </cell>
          <cell r="I500">
            <v>3.2436109908881878</v>
          </cell>
          <cell r="J500">
            <v>3.2436106880120739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H501">
            <v>6.1283802218458944E-4</v>
          </cell>
          <cell r="I501">
            <v>6.4528883210503249E-4</v>
          </cell>
          <cell r="J501">
            <v>5.1736960961930431E-4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H502">
            <v>4.9354723519425177E-4</v>
          </cell>
          <cell r="I502">
            <v>4.8072538856382352E-4</v>
          </cell>
          <cell r="J502">
            <v>3.3780326011113854E-4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H503">
            <v>1.0906905886949576E-3</v>
          </cell>
          <cell r="I503">
            <v>1.1168257668692991E-3</v>
          </cell>
          <cell r="J503">
            <v>8.4890566313709391E-4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H504">
            <v>2.9773595886491999</v>
          </cell>
          <cell r="I504">
            <v>2.1879889329453199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H505">
            <v>3.8355688817973001E-2</v>
          </cell>
          <cell r="I505">
            <v>2.8186660075981744E-2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H506">
            <v>4.039836619605424E-2</v>
          </cell>
          <cell r="I506">
            <v>2.9687773852718143E-2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H508">
            <v>1.162010063258679E-2</v>
          </cell>
          <cell r="I508">
            <v>2.0571720149829618E-3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H509">
            <v>514.25938270755103</v>
          </cell>
          <cell r="I509">
            <v>279.24260985258798</v>
          </cell>
          <cell r="J509">
            <v>169.415550488995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H510">
            <v>9.664477028214554</v>
          </cell>
          <cell r="I510">
            <v>4.9447759832694116</v>
          </cell>
          <cell r="J510">
            <v>3.0269697043341846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H511">
            <v>2.4733500634544045E-3</v>
          </cell>
          <cell r="I511">
            <v>1.7865513712962385E-3</v>
          </cell>
          <cell r="J511">
            <v>3.4359264053284776E-3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H512">
            <v>9.1180741614813918</v>
          </cell>
          <cell r="I512">
            <v>4.9511101037692979</v>
          </cell>
          <cell r="J512">
            <v>3.0038218171807665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H513">
            <v>0.57732515176898958</v>
          </cell>
          <cell r="I513">
            <v>9.5267336816410812E-3</v>
          </cell>
          <cell r="J513">
            <v>3.3470753599028687E-2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H514">
            <v>2.4696460024725172E-3</v>
          </cell>
          <cell r="I514">
            <v>1.7814012666015314E-3</v>
          </cell>
          <cell r="J514">
            <v>3.4342399120386754E-3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H515">
            <v>5.9250056713257102E-7</v>
          </cell>
          <cell r="I515">
            <v>6.8336408438968496E-7</v>
          </cell>
          <cell r="J515">
            <v>1.4143384746932501E-6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H516">
            <v>2.2350548935677566</v>
          </cell>
          <cell r="I516">
            <v>2.235055576931841</v>
          </cell>
          <cell r="J516">
            <v>1.1208952921340354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H517">
            <v>0.73278014178243989</v>
          </cell>
          <cell r="I517">
            <v>0.73073660849687461</v>
          </cell>
          <cell r="J517">
            <v>0.72669053871989397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H518">
            <v>0.73278014178243989</v>
          </cell>
          <cell r="I518">
            <v>0.73073660849687461</v>
          </cell>
          <cell r="J518">
            <v>0.72669053871989397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H519">
            <v>6.7611454847456987</v>
          </cell>
          <cell r="I519">
            <v>7.2558728410268571</v>
          </cell>
          <cell r="J519">
            <v>8.4371812535291681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H520">
            <v>11.363269722261688</v>
          </cell>
          <cell r="I520">
            <v>12.160680739151161</v>
          </cell>
          <cell r="J520">
            <v>14.061968755881946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H521">
            <v>6.7611454847456987</v>
          </cell>
          <cell r="I521">
            <v>7.2558728410268571</v>
          </cell>
          <cell r="J521">
            <v>8.4371812535291681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H522">
            <v>0.272931838799433</v>
          </cell>
          <cell r="I522">
            <v>0.14377584708000099</v>
          </cell>
          <cell r="J522">
            <v>0.26862555203462202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H523">
            <v>0.37474189143189057</v>
          </cell>
          <cell r="I523">
            <v>0.41670598564261002</v>
          </cell>
          <cell r="J523">
            <v>0.48839312377197525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H524">
            <v>3.8423435666729122</v>
          </cell>
          <cell r="I524">
            <v>4.3313750565280786</v>
          </cell>
          <cell r="J524">
            <v>4.6232957341729897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H525">
            <v>1.6057199457841058E-2</v>
          </cell>
          <cell r="I525">
            <v>0.13062152133629512</v>
          </cell>
          <cell r="J525">
            <v>0.21965332932834347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H526">
            <v>3.8583801077210618</v>
          </cell>
          <cell r="I526">
            <v>4.4619862870105171</v>
          </cell>
          <cell r="J526">
            <v>4.842949063501341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H527">
            <v>1.0123207678857356E-2</v>
          </cell>
          <cell r="I527">
            <v>2.7990334696365825E-3</v>
          </cell>
          <cell r="J527">
            <v>2.394627920176179E-3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H528">
            <v>1.0133330886536212E-2</v>
          </cell>
          <cell r="I528">
            <v>2.8018325031062192E-3</v>
          </cell>
          <cell r="J528">
            <v>2.3970225480963543E-3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H529">
            <v>1.0124775174505333E-2</v>
          </cell>
          <cell r="I529">
            <v>2.8008666816801983E-3</v>
          </cell>
          <cell r="J529">
            <v>2.3988599735918401E-3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H530">
            <v>5.2461983419852302E-4</v>
          </cell>
          <cell r="I530">
            <v>6.4210209612193607E-5</v>
          </cell>
          <cell r="J530">
            <v>2.5193166134313601E-4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H531">
            <v>4.7122548707204202E-3</v>
          </cell>
          <cell r="I531">
            <v>5.8928034642473804E-4</v>
          </cell>
          <cell r="J531">
            <v>5.2044254688842298E-4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4.5407625472818227E-5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2.7962488864802704E-4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3.2503251412084513E-4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1.6345320067994701E-5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1.6345320067994701E-5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H537">
            <v>4.2143171578290725E-5</v>
          </cell>
          <cell r="I537">
            <v>4.4086598673360659E-5</v>
          </cell>
          <cell r="J537">
            <v>1.7746353658765605E-3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H538">
            <v>4.2190049410969566E-5</v>
          </cell>
          <cell r="I538">
            <v>4.4086598673360619E-5</v>
          </cell>
          <cell r="J538">
            <v>1.7746353658765605E-3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H539">
            <v>4.7792693271870493E-5</v>
          </cell>
          <cell r="I539">
            <v>4.8069207152324669E-5</v>
          </cell>
          <cell r="J539">
            <v>1.7932225793639064E-3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H540">
            <v>4.7792693271870493E-5</v>
          </cell>
          <cell r="I540">
            <v>4.8069207152324669E-5</v>
          </cell>
          <cell r="J540">
            <v>1.7932225793639064E-3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H541">
            <v>1.5979910962087501E-4</v>
          </cell>
          <cell r="I541">
            <v>5.3886344900755303E-4</v>
          </cell>
          <cell r="J541">
            <v>5.9767739803666202E-4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H542">
            <v>1.2465905794096989E-3</v>
          </cell>
          <cell r="I542">
            <v>1.0766321794453445E-3</v>
          </cell>
          <cell r="J542">
            <v>1.2565501879515301E-3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5.1819465015376766E-3</v>
          </cell>
          <cell r="I543">
            <v>3.6197918730654921E-3</v>
          </cell>
          <cell r="J543">
            <v>6.9050239565726951E-2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2.4087137808676161E-3</v>
          </cell>
          <cell r="I544">
            <v>1.8381789329198228E-3</v>
          </cell>
          <cell r="J544">
            <v>1.50757218443819E-2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7.56994958936562E-3</v>
          </cell>
          <cell r="I545">
            <v>5.4377220847546103E-3</v>
          </cell>
          <cell r="J545">
            <v>8.4122990941276676E-2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H546">
            <v>1499.9281634574299</v>
          </cell>
          <cell r="I546">
            <v>1054.61325930831</v>
          </cell>
          <cell r="J546">
            <v>370.55916293596999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H547">
            <v>27.510552799450032</v>
          </cell>
          <cell r="I547">
            <v>18.648868477514469</v>
          </cell>
          <cell r="J547">
            <v>6.5921012816932008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H548">
            <v>3.9850166207491275E-3</v>
          </cell>
          <cell r="I548">
            <v>7.6122189261293143E-3</v>
          </cell>
          <cell r="J548">
            <v>8.8548482439720806E-3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H549">
            <v>26.594470983287753</v>
          </cell>
          <cell r="I549">
            <v>18.698816654402602</v>
          </cell>
          <cell r="J549">
            <v>6.5701979243966226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H550">
            <v>1.0040302014700064</v>
          </cell>
          <cell r="I550">
            <v>9.7220034423800544E-3</v>
          </cell>
          <cell r="J550">
            <v>4.3428784009998903E-2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H551">
            <v>3.9834418826092894E-3</v>
          </cell>
          <cell r="I551">
            <v>7.6109283320196621E-3</v>
          </cell>
          <cell r="J551">
            <v>8.854848243972693E-3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H552">
            <v>1.9651130799630999E-7</v>
          </cell>
          <cell r="I552">
            <v>2.67940592083724E-7</v>
          </cell>
          <cell r="J552">
            <v>4.7836046878745499E-7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H553">
            <v>3.097241240847405</v>
          </cell>
          <cell r="I553">
            <v>3.0972415087879974</v>
          </cell>
          <cell r="J553">
            <v>1.553284227788766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H557">
            <v>4.6274453517274798E-4</v>
          </cell>
          <cell r="I557">
            <v>3.47009843262307E-4</v>
          </cell>
          <cell r="J557">
            <v>1.21709401978456E-4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H558">
            <v>6.7702537721900814E-4</v>
          </cell>
          <cell r="I558">
            <v>6.0488992131838199E-4</v>
          </cell>
          <cell r="J558">
            <v>2.3049925815739602E-4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H559">
            <v>2.0313921930591545E-3</v>
          </cell>
          <cell r="I559">
            <v>1.5562146865160714E-3</v>
          </cell>
          <cell r="J559">
            <v>1.0036040041459255E-3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H560">
            <v>1.1039421694538158</v>
          </cell>
          <cell r="I560">
            <v>1.1044165625521716</v>
          </cell>
          <cell r="J560">
            <v>1.1049520718206729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H561">
            <v>1.1059537474818835</v>
          </cell>
          <cell r="I561">
            <v>1.1059546391852546</v>
          </cell>
          <cell r="J561">
            <v>1.1059400478904771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H562">
            <v>1.6256451514639001E-4</v>
          </cell>
          <cell r="I562">
            <v>1.16235881578306E-4</v>
          </cell>
          <cell r="J562">
            <v>8.7933431336348E-5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H563">
            <v>2.1140822118497887E-4</v>
          </cell>
          <cell r="I563">
            <v>2.0373152592115997E-4</v>
          </cell>
          <cell r="J563">
            <v>1.3433576604657101E-4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H564">
            <v>0.10209643008663712</v>
          </cell>
          <cell r="I564">
            <v>9.1805776035964931E-2</v>
          </cell>
          <cell r="J564">
            <v>6.6898374131182187E-2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H565">
            <v>0.10219852651672379</v>
          </cell>
          <cell r="I565">
            <v>9.1897581812000931E-2</v>
          </cell>
          <cell r="J565">
            <v>6.6965272505313395E-2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H566">
            <v>0.10211095160332737</v>
          </cell>
          <cell r="I566">
            <v>9.1816292857423015E-2</v>
          </cell>
          <cell r="J566">
            <v>6.6913802738778005E-2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H567">
            <v>8.3659233366453E-5</v>
          </cell>
          <cell r="I567">
            <v>1.4749201669746101E-2</v>
          </cell>
          <cell r="J567">
            <v>3.80698952614095E-3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H568">
            <v>2.2901238149373417E-2</v>
          </cell>
          <cell r="I568">
            <v>1.8838919577933277E-2</v>
          </cell>
          <cell r="J568">
            <v>1.450497676498343E-2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H569">
            <v>1.8840473124443532E-3</v>
          </cell>
          <cell r="I569">
            <v>2.1510932842242346E-3</v>
          </cell>
          <cell r="J569">
            <v>2.5991700826055557E-3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H570">
            <v>6.2041939642318398E-4</v>
          </cell>
          <cell r="I570">
            <v>5.7105900840966083E-4</v>
          </cell>
          <cell r="J570">
            <v>4.4983537298558029E-4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H571">
            <v>2.5044667088675388E-3</v>
          </cell>
          <cell r="I571">
            <v>2.7221522926338957E-3</v>
          </cell>
          <cell r="J571">
            <v>3.0490054555911395E-3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H572">
            <v>0.107436978858319</v>
          </cell>
          <cell r="I572">
            <v>5.4265476835198096E-3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H573">
            <v>1.3719825468158778E-3</v>
          </cell>
          <cell r="I573">
            <v>6.9297636534172198E-5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H574">
            <v>1.3952854397184253E-3</v>
          </cell>
          <cell r="I574">
            <v>7.0474645240517107E-5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H575">
            <v>4.1950789579281813E-4</v>
          </cell>
          <cell r="I575">
            <v>4.4621273110081176E-4</v>
          </cell>
          <cell r="J575">
            <v>1.7815526000343636E-3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H576">
            <v>4.1950789579281813E-4</v>
          </cell>
          <cell r="I576">
            <v>4.4621273110081176E-4</v>
          </cell>
          <cell r="J576">
            <v>1.7815526000343636E-3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H577">
            <v>1.06678819994227E-5</v>
          </cell>
          <cell r="I577">
            <v>2.8731150042557801E-6</v>
          </cell>
          <cell r="J577">
            <v>9.4467548000682296E-5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H578">
            <v>2.7975294737922252E-5</v>
          </cell>
          <cell r="I578">
            <v>3.0812677917817621E-5</v>
          </cell>
          <cell r="J578">
            <v>1.2544260668096002E-4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H579">
            <v>1.6440601053732309E-2</v>
          </cell>
          <cell r="I579">
            <v>1.638510005489591E-2</v>
          </cell>
          <cell r="J579">
            <v>1.4812505619460703E-2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H580">
            <v>1.6440601053732309E-2</v>
          </cell>
          <cell r="I580">
            <v>1.638510005489591E-2</v>
          </cell>
          <cell r="J580">
            <v>1.4812505619460703E-2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H581">
            <v>2.4102626653047798E-6</v>
          </cell>
          <cell r="I581">
            <v>2.4978016377279698E-3</v>
          </cell>
          <cell r="J581">
            <v>3.9914023812632598E-4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H582">
            <v>2.0020787287443019E-2</v>
          </cell>
          <cell r="I582">
            <v>2.5002604230935006E-3</v>
          </cell>
          <cell r="J582">
            <v>2.2125946584172192E-3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H583">
            <v>0.98825726736974895</v>
          </cell>
          <cell r="I583">
            <v>0.59505791951210896</v>
          </cell>
          <cell r="J583">
            <v>0.61285381822223195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H584">
            <v>0.98825762126750105</v>
          </cell>
          <cell r="I584">
            <v>1.5833141997538411</v>
          </cell>
          <cell r="J584">
            <v>1.4627329907784934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H585">
            <v>0.97002979925077015</v>
          </cell>
          <cell r="I585">
            <v>0.97002779952996365</v>
          </cell>
          <cell r="J585">
            <v>0.97002889937989845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H586">
            <v>4.611376763405568</v>
          </cell>
          <cell r="I586">
            <v>4.6113672570315742</v>
          </cell>
          <cell r="J586">
            <v>4.6113724855538649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H587">
            <v>5.5814065626563369</v>
          </cell>
          <cell r="I587">
            <v>5.5813950565615329</v>
          </cell>
          <cell r="J587">
            <v>5.581401384933768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H588">
            <v>0.12980091633381</v>
          </cell>
          <cell r="I588">
            <v>0.14822001258062401</v>
          </cell>
          <cell r="J588">
            <v>0.14106519557646399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H589">
            <v>0.30353901429864699</v>
          </cell>
          <cell r="I589">
            <v>0.30353875171726502</v>
          </cell>
          <cell r="J589">
            <v>0.30353852096417799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H590">
            <v>2.5157819477914498E-4</v>
          </cell>
          <cell r="I590">
            <v>1.6117868720642701E-4</v>
          </cell>
          <cell r="J590">
            <v>7.2447529974764899E-5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H591">
            <v>3.1162195167589606E-4</v>
          </cell>
          <cell r="I591">
            <v>2.5445278931126301E-4</v>
          </cell>
          <cell r="J591">
            <v>1.2266818940059599E-4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H592">
            <v>2.5297262559042221E-5</v>
          </cell>
          <cell r="I592">
            <v>1.8334272219274372E-5</v>
          </cell>
          <cell r="J592">
            <v>1.0316137492858161E-5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H593">
            <v>2.3762190935247946E-5</v>
          </cell>
          <cell r="I593">
            <v>2.13723852225446E-5</v>
          </cell>
          <cell r="J593">
            <v>1.1443988065426375E-5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H594">
            <v>1.71920454239223E-2</v>
          </cell>
          <cell r="I594">
            <v>6.2032510765651201E-2</v>
          </cell>
          <cell r="J594">
            <v>4.1574364565629303E-2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H595">
            <v>8.9178849679079769E-2</v>
          </cell>
          <cell r="I595">
            <v>0.10737701128049877</v>
          </cell>
          <cell r="J595">
            <v>9.3769972070434415E-2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H596">
            <v>0.88006920977331282</v>
          </cell>
          <cell r="I596">
            <v>0.88010577598795181</v>
          </cell>
          <cell r="J596">
            <v>0.88011836685757461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H597">
            <v>1.3604185782655469</v>
          </cell>
          <cell r="I597">
            <v>1.3604751026356521</v>
          </cell>
          <cell r="J597">
            <v>1.3604945657105583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H598">
            <v>2.2404877880388603</v>
          </cell>
          <cell r="I598">
            <v>2.240580878623605</v>
          </cell>
          <cell r="J598">
            <v>2.2406129325681334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H599">
            <v>8.3139716645149794E-3</v>
          </cell>
          <cell r="I599">
            <v>3.5995731162422502E-2</v>
          </cell>
          <cell r="J599">
            <v>9.22162173167137E-2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H600">
            <v>0.12185423231232</v>
          </cell>
          <cell r="I600">
            <v>0.121856146444136</v>
          </cell>
          <cell r="J600">
            <v>0.12185629168321201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H601">
            <v>4.4119594559829389</v>
          </cell>
          <cell r="I601">
            <v>4.9765648225365791</v>
          </cell>
          <cell r="J601">
            <v>6.4142486186854448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H602">
            <v>4.4119594559829389</v>
          </cell>
          <cell r="I602">
            <v>4.9765648225365791</v>
          </cell>
          <cell r="J602">
            <v>6.4142486186854448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H603">
            <v>0.152984805067126</v>
          </cell>
          <cell r="I603">
            <v>4.5620497522252001E-2</v>
          </cell>
          <cell r="J603">
            <v>0.15804840447729199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H604">
            <v>0.35645500973025579</v>
          </cell>
          <cell r="I604">
            <v>0.40207559001362936</v>
          </cell>
          <cell r="J604">
            <v>0.51820012641274471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H605">
            <v>1.8573602215522491</v>
          </cell>
          <cell r="I605">
            <v>2.2900740987308539</v>
          </cell>
          <cell r="J605">
            <v>2.290079410636304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H606">
            <v>3.6860367213871545</v>
          </cell>
          <cell r="I606">
            <v>4.5447819570319412</v>
          </cell>
          <cell r="J606">
            <v>4.5447924988096267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H607">
            <v>5.5433969429394025</v>
          </cell>
          <cell r="I607">
            <v>6.8348560557627929</v>
          </cell>
          <cell r="J607">
            <v>6.8348719094459254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H608">
            <v>8.5624765861514498E-5</v>
          </cell>
          <cell r="I608">
            <v>0.165776229015342</v>
          </cell>
          <cell r="J608">
            <v>0.25136109676009499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H609">
            <v>0.30147771012004099</v>
          </cell>
          <cell r="I609">
            <v>0.371708521916711</v>
          </cell>
          <cell r="J609">
            <v>0.37170668243621202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H610">
            <v>9.467809278862529E-4</v>
          </cell>
          <cell r="I610">
            <v>1.2523384765183766E-3</v>
          </cell>
          <cell r="J610">
            <v>1.2565716571332276E-3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H611">
            <v>8.8072644454535156E-4</v>
          </cell>
          <cell r="I611">
            <v>1.1384895241076159E-3</v>
          </cell>
          <cell r="J611">
            <v>1.0926710062028066E-3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H612">
            <v>3.5192735632918897E-5</v>
          </cell>
          <cell r="I612">
            <v>2.52763501446666E-6</v>
          </cell>
          <cell r="J612">
            <v>1.9496893213261601E-6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H613">
            <v>8.7600852060463935E-5</v>
          </cell>
          <cell r="I613">
            <v>8.9699461811579005E-5</v>
          </cell>
          <cell r="J613">
            <v>7.2844960752806734E-5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H614">
            <v>5.9285848822333512E-3</v>
          </cell>
          <cell r="I614">
            <v>1.9626182033398412E-3</v>
          </cell>
          <cell r="J614">
            <v>5.6395499324578486E-4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H615">
            <v>6.4621622887986079E-3</v>
          </cell>
          <cell r="I615">
            <v>2.1392554197781351E-3</v>
          </cell>
          <cell r="J615">
            <v>6.1471139611308416E-4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H616">
            <v>3.5899165824216E-6</v>
          </cell>
          <cell r="I616">
            <v>1.87504464242497E-4</v>
          </cell>
          <cell r="J616">
            <v>3.0643948960426101E-7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H617">
            <v>8.567962784081784E-4</v>
          </cell>
          <cell r="I617">
            <v>1.9064361805538958E-4</v>
          </cell>
          <cell r="J617">
            <v>4.5359527801663808E-5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H618">
            <v>1.7469648260594075</v>
          </cell>
          <cell r="I618">
            <v>1.5824143548759571</v>
          </cell>
          <cell r="J618">
            <v>1.3798286518002192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H619">
            <v>3.5135254709206443</v>
          </cell>
          <cell r="I619">
            <v>3.1297307857431518</v>
          </cell>
          <cell r="J619">
            <v>2.6512979629369635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H620">
            <v>4.9473423178525301E-2</v>
          </cell>
          <cell r="I620">
            <v>6.1696354816087803E-2</v>
          </cell>
          <cell r="J620">
            <v>2.77968382144963E-2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H621">
            <v>0.1217002318727852</v>
          </cell>
          <cell r="I621">
            <v>0.11116894373724569</v>
          </cell>
          <cell r="J621">
            <v>9.3497731660660444E-2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H622">
            <v>6.1607099923588997</v>
          </cell>
          <cell r="I622">
            <v>6.1931771619026348</v>
          </cell>
          <cell r="J622">
            <v>7.9935154893469074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H623">
            <v>6.558642330688091</v>
          </cell>
          <cell r="I623">
            <v>6.55864256520276</v>
          </cell>
          <cell r="J623">
            <v>8.4142268308914812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H624">
            <v>6.1607099923588997</v>
          </cell>
          <cell r="I624">
            <v>6.1931771619026348</v>
          </cell>
          <cell r="J624">
            <v>7.9935154893469074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H625">
            <v>0.33969628857797302</v>
          </cell>
          <cell r="I625">
            <v>0.16789898810260101</v>
          </cell>
          <cell r="J625">
            <v>0.45238527343069201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H626">
            <v>0.54921821230786494</v>
          </cell>
          <cell r="I626">
            <v>0.50550863758139508</v>
          </cell>
          <cell r="J626">
            <v>0.65549981618496467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H627">
            <v>1.4194675211313661</v>
          </cell>
          <cell r="I627">
            <v>2.9189276073869501</v>
          </cell>
          <cell r="J627">
            <v>4.6680814501640597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H628">
            <v>1.4194675211313661</v>
          </cell>
          <cell r="I628">
            <v>2.9189276073869501</v>
          </cell>
          <cell r="J628">
            <v>4.6680814501640597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H629">
            <v>4.8181973250614997E-2</v>
          </cell>
          <cell r="I629">
            <v>0.121145330168413</v>
          </cell>
          <cell r="J629">
            <v>0.17179803724512899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H630">
            <v>0.11469825428466678</v>
          </cell>
          <cell r="I630">
            <v>0.23584366670116749</v>
          </cell>
          <cell r="J630">
            <v>0.37713083757875188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4.6627261791810169E-2</v>
          </cell>
          <cell r="I631">
            <v>5.1551028068254755E-2</v>
          </cell>
          <cell r="J631">
            <v>5.1550418936599181E-2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0.50108166092968298</v>
          </cell>
          <cell r="I632">
            <v>0.55399510446077538</v>
          </cell>
          <cell r="J632">
            <v>0.55398855840402739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0.5477089227214933</v>
          </cell>
          <cell r="I633">
            <v>0.60554613252902956</v>
          </cell>
          <cell r="J633">
            <v>0.60553897734062712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2.9787654950318199E-2</v>
          </cell>
          <cell r="I634">
            <v>3.14646527452951E-3</v>
          </cell>
          <cell r="J634">
            <v>1.8049679351053199E-2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2.9787654950318199E-2</v>
          </cell>
          <cell r="I635">
            <v>3.29341202248477E-2</v>
          </cell>
          <cell r="J635">
            <v>3.29331934025371E-2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H636">
            <v>1.7349961721809398E-2</v>
          </cell>
          <cell r="I636">
            <v>6.688185985160802E-3</v>
          </cell>
          <cell r="J636">
            <v>4.3447255617756258E-3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H637">
            <v>3.6736054395332986E-3</v>
          </cell>
          <cell r="I637">
            <v>2.1290238042484719E-3</v>
          </cell>
          <cell r="J637">
            <v>1.7420327171475194E-3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H638">
            <v>2.1023567161342696E-2</v>
          </cell>
          <cell r="I638">
            <v>8.8172097894092614E-3</v>
          </cell>
          <cell r="J638">
            <v>6.0867582789231418E-3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H639">
            <v>0.25568207714430868</v>
          </cell>
          <cell r="I639">
            <v>0.20421215182792274</v>
          </cell>
          <cell r="J639">
            <v>0.13686919372433096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H640">
            <v>0.49708652663998221</v>
          </cell>
          <cell r="I640">
            <v>0.39012572988937588</v>
          </cell>
          <cell r="J640">
            <v>0.25605577211163455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H641">
            <v>1.15369040180583E-2</v>
          </cell>
          <cell r="I641">
            <v>1.2324189228368801E-2</v>
          </cell>
          <cell r="J641">
            <v>2.3624120667761799E-4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H642">
            <v>2.2518635320800298E-2</v>
          </cell>
          <cell r="I642">
            <v>2.3860066408102145E-2</v>
          </cell>
          <cell r="J642">
            <v>1.4057038598509885E-2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H643">
            <v>1.3552505678682898</v>
          </cell>
          <cell r="I643">
            <v>1.3551638309056897</v>
          </cell>
          <cell r="J643">
            <v>3.2027237647294982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H644">
            <v>1.3552505678682898</v>
          </cell>
          <cell r="I644">
            <v>1.3551638309056897</v>
          </cell>
          <cell r="J644">
            <v>3.2027237647294982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H645">
            <v>1.0547082583759499E-7</v>
          </cell>
          <cell r="I645">
            <v>1.4822157046556601E-7</v>
          </cell>
          <cell r="J645">
            <v>0.199630029503928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H646">
            <v>0.10950838547710882</v>
          </cell>
          <cell r="I646">
            <v>0.10950861948901726</v>
          </cell>
          <cell r="J646">
            <v>0.25874336719874347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5.8981503232502768E-4</v>
          </cell>
          <cell r="I647">
            <v>6.2992309670759018E-4</v>
          </cell>
          <cell r="J647">
            <v>6.2871203438112113E-4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2.8929698782696697E-3</v>
          </cell>
          <cell r="I648">
            <v>3.0896949798274631E-3</v>
          </cell>
          <cell r="J648">
            <v>3.0837548687092852E-3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3.4827849105947008E-3</v>
          </cell>
          <cell r="I649">
            <v>3.7196180765350518E-3</v>
          </cell>
          <cell r="J649">
            <v>3.7124669030904043E-3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1.8757338176561401E-4</v>
          </cell>
          <cell r="I650">
            <v>1.32303668771628E-5</v>
          </cell>
          <cell r="J650">
            <v>1.12007114860733E-4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1.8757338176561401E-4</v>
          </cell>
          <cell r="I651">
            <v>2.00803748642777E-4</v>
          </cell>
          <cell r="J651">
            <v>2.0095137285791199E-4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H652">
            <v>5.3847332137525934E-4</v>
          </cell>
          <cell r="I652">
            <v>1.3580109650748384E-4</v>
          </cell>
          <cell r="J652">
            <v>4.8653734155360443E-5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H653">
            <v>5.3901179469663472E-4</v>
          </cell>
          <cell r="I653">
            <v>1.3593689760399129E-4</v>
          </cell>
          <cell r="J653">
            <v>4.870238788951575E-5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H654">
            <v>5.415019446954279E-4</v>
          </cell>
          <cell r="I654">
            <v>1.4050543192640507E-4</v>
          </cell>
          <cell r="J654">
            <v>4.9699590909614744E-5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H655">
            <v>2.7284904970030901E-5</v>
          </cell>
          <cell r="I655">
            <v>2.7776430514117299E-5</v>
          </cell>
          <cell r="J655">
            <v>1.0025940653169101E-5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H656">
            <v>1.5248341423889852E-4</v>
          </cell>
          <cell r="I656">
            <v>3.65485315433722E-5</v>
          </cell>
          <cell r="J656">
            <v>1.7254996920615298E-5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H657">
            <v>0.42643991998209724</v>
          </cell>
          <cell r="I657">
            <v>0.42635072486178616</v>
          </cell>
          <cell r="J657">
            <v>0.2466425785617288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H658">
            <v>0.42643991998209724</v>
          </cell>
          <cell r="I658">
            <v>0.42635072486178616</v>
          </cell>
          <cell r="J658">
            <v>0.2466425785617288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H659">
            <v>6.6034405121987099E-8</v>
          </cell>
          <cell r="I659">
            <v>7.3512500584078402E-8</v>
          </cell>
          <cell r="J659">
            <v>3.9311855737695499E-7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H660">
            <v>3.4470885325401435E-2</v>
          </cell>
          <cell r="I660">
            <v>3.4471011873967214E-2</v>
          </cell>
          <cell r="J660">
            <v>1.9928254139049761E-2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1.7148414224815113E-3</v>
          </cell>
          <cell r="J661">
            <v>1.7093768121357344E-3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1.7148414224815113E-3</v>
          </cell>
          <cell r="J662">
            <v>1.7093768121357344E-3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9.1666831441246106E-5</v>
          </cell>
          <cell r="J663">
            <v>2.5275432302640199E-5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9.1666831441246106E-5</v>
          </cell>
          <cell r="J664">
            <v>9.1801124907018604E-5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H665">
            <v>24.525098157586399</v>
          </cell>
          <cell r="I665">
            <v>28.512000523890499</v>
          </cell>
          <cell r="J665">
            <v>29.078798306456999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H666">
            <v>0.88073415184203763</v>
          </cell>
          <cell r="I666">
            <v>1.0429048347612813</v>
          </cell>
          <cell r="J666">
            <v>1.089240294052815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H667">
            <v>0.43484216591465197</v>
          </cell>
          <cell r="I667">
            <v>0.50553192418245607</v>
          </cell>
          <cell r="J667">
            <v>0.51558153025632902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H668">
            <v>0.88073415184203763</v>
          </cell>
          <cell r="I668">
            <v>1.0429048347612813</v>
          </cell>
          <cell r="J668">
            <v>1.089240294052815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H669">
            <v>1.76969414754394E-2</v>
          </cell>
          <cell r="I669">
            <v>4.19291752364232E-2</v>
          </cell>
          <cell r="J669">
            <v>4.6668753996947303E-2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H670">
            <v>6.8483878985569457E-2</v>
          </cell>
          <cell r="I670">
            <v>8.2449391591300186E-2</v>
          </cell>
          <cell r="J670">
            <v>8.4583572170931987E-2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H671">
            <v>6.9564264264170819E-4</v>
          </cell>
          <cell r="I671">
            <v>5.9143742166055651E-4</v>
          </cell>
          <cell r="J671">
            <v>3.0105220273861393E-4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H672">
            <v>1.0393296892148157E-3</v>
          </cell>
          <cell r="I672">
            <v>9.4169569216932282E-4</v>
          </cell>
          <cell r="J672">
            <v>4.3349704092453088E-4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H673">
            <v>1.7158846486409075E-3</v>
          </cell>
          <cell r="I673">
            <v>1.5096412612818175E-3</v>
          </cell>
          <cell r="J673">
            <v>7.1926527699324471E-4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H674">
            <v>0.13688282283055339</v>
          </cell>
          <cell r="I674">
            <v>0.13679180911045072</v>
          </cell>
          <cell r="J674">
            <v>7.9237731038464834E-2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H675">
            <v>0.13688282283055339</v>
          </cell>
          <cell r="I675">
            <v>0.13679180911045072</v>
          </cell>
          <cell r="J675">
            <v>7.9237731038464834E-2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H676">
            <v>4.2077159347716099E-8</v>
          </cell>
          <cell r="I676">
            <v>4.2737163836762497E-8</v>
          </cell>
          <cell r="J676">
            <v>1.6272075083865101E-7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H677">
            <v>1.1076308653572465E-2</v>
          </cell>
          <cell r="I677">
            <v>1.1076398947488469E-2</v>
          </cell>
          <cell r="J677">
            <v>6.4035375233862709E-3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H678">
            <v>1.9588045683462262E-3</v>
          </cell>
          <cell r="I678">
            <v>4.0421125228286316E-3</v>
          </cell>
          <cell r="J678">
            <v>3.9541612568530071E-3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H679">
            <v>1.9588045683462262E-3</v>
          </cell>
          <cell r="I679">
            <v>4.0421125228286316E-3</v>
          </cell>
          <cell r="J679">
            <v>3.9541612568530071E-3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H680">
            <v>2.9467148315294898E-6</v>
          </cell>
          <cell r="I680">
            <v>1.4940346025525599E-4</v>
          </cell>
          <cell r="J680">
            <v>4.5647262647631898E-8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H681">
            <v>1.4109081954770476E-4</v>
          </cell>
          <cell r="I681">
            <v>2.9052791049243747E-4</v>
          </cell>
          <cell r="J681">
            <v>2.9065628346457601E-4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H682">
            <v>1.5901459853055692E-3</v>
          </cell>
          <cell r="I682">
            <v>1.2289598215166442E-3</v>
          </cell>
          <cell r="J682">
            <v>7.52822294524574E-4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H683">
            <v>2.0484812494953286</v>
          </cell>
          <cell r="I683">
            <v>2.1535782666749896</v>
          </cell>
          <cell r="J683">
            <v>2.379529179352835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H684">
            <v>2.0500713954806327</v>
          </cell>
          <cell r="I684">
            <v>2.1548072264965072</v>
          </cell>
          <cell r="J684">
            <v>2.3802820016473576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1.2305007080993453E-2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2.145718231932105E-3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1.4450725312925549E-2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7.8535288205642498E-4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7.8535288205642498E-4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H690">
            <v>0.20000087919067117</v>
          </cell>
          <cell r="I690">
            <v>0.28083643624294713</v>
          </cell>
          <cell r="J690">
            <v>0.37288251897402336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H691">
            <v>0.20020088006986175</v>
          </cell>
          <cell r="I691">
            <v>0.28111727267919012</v>
          </cell>
          <cell r="J691">
            <v>0.37325540149299757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H692">
            <v>0.20001310258435931</v>
          </cell>
          <cell r="I692">
            <v>0.28085006735400647</v>
          </cell>
          <cell r="J692">
            <v>0.37289302615355646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H693">
            <v>6.09847616584017E-3</v>
          </cell>
          <cell r="I693">
            <v>1.88005198870606E-2</v>
          </cell>
          <cell r="J693">
            <v>2.2328328796748401E-2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H694">
            <v>2.85580671193345E-2</v>
          </cell>
          <cell r="I694">
            <v>3.3137216036659319E-2</v>
          </cell>
          <cell r="J694">
            <v>3.8494549855563331E-2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H695">
            <v>8.1339343979681348E-4</v>
          </cell>
          <cell r="I695">
            <v>1.0465901106070407E-3</v>
          </cell>
          <cell r="J695">
            <v>2.0257921629947286E-3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H696">
            <v>8.1339343979681348E-4</v>
          </cell>
          <cell r="I696">
            <v>1.0465901106070407E-3</v>
          </cell>
          <cell r="J696">
            <v>2.0257921629947286E-3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H697">
            <v>5.0698087657970199E-5</v>
          </cell>
          <cell r="I697">
            <v>2.8307570893412103E-4</v>
          </cell>
          <cell r="J697">
            <v>1.3938296853437701E-4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H698">
            <v>1.0805817216370766E-3</v>
          </cell>
          <cell r="I698">
            <v>3.4395055657046093E-4</v>
          </cell>
          <cell r="J698">
            <v>3.6595411721270204E-4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H699">
            <v>1.060329640154814E-2</v>
          </cell>
          <cell r="I699">
            <v>7.8862378360327976E-3</v>
          </cell>
          <cell r="J699">
            <v>3.4502602607134696E-3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H700">
            <v>1.4580529432511582E-2</v>
          </cell>
          <cell r="I700">
            <v>1.0844318457727363E-2</v>
          </cell>
          <cell r="J700">
            <v>4.5133201166648144E-3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H701">
            <v>2.3836403764807501E-5</v>
          </cell>
          <cell r="I701">
            <v>6.2617038795481097E-4</v>
          </cell>
          <cell r="J701">
            <v>8.0307293653038603E-8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H702">
            <v>1.0204570099750787E-3</v>
          </cell>
          <cell r="I702">
            <v>6.5009857344613562E-4</v>
          </cell>
          <cell r="J702">
            <v>4.4959570788480357E-4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H703">
            <v>4.2488927620387945E-4</v>
          </cell>
          <cell r="I703">
            <v>4.1299680841103034E-4</v>
          </cell>
          <cell r="J703">
            <v>2.7826011340604178E-4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H704">
            <v>4.2488927620387945E-4</v>
          </cell>
          <cell r="I704">
            <v>4.1299680841103034E-4</v>
          </cell>
          <cell r="J704">
            <v>2.7826011340604178E-4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H705">
            <v>3.2497985440907499E-8</v>
          </cell>
          <cell r="I705">
            <v>3.2541034170536999E-8</v>
          </cell>
          <cell r="J705">
            <v>6.0543961382122695E-8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H706">
            <v>3.8140553073384438E-5</v>
          </cell>
          <cell r="I706">
            <v>3.8171248554510271E-5</v>
          </cell>
          <cell r="J706">
            <v>2.2202530291201106E-5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H707">
            <v>2.768293856941921E-2</v>
          </cell>
          <cell r="I707">
            <v>2.1782275200618394E-2</v>
          </cell>
          <cell r="J707">
            <v>8.267106422219811E-3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H708">
            <v>6.1501229875787419E-2</v>
          </cell>
          <cell r="I708">
            <v>4.7336015186412082E-2</v>
          </cell>
          <cell r="J708">
            <v>1.6630727950994659E-2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H709">
            <v>6.6278786125859804E-4</v>
          </cell>
          <cell r="I709">
            <v>8.3649617743389E-4</v>
          </cell>
          <cell r="J709">
            <v>1.5592078643854599E-7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H710">
            <v>2.0163411781135092E-3</v>
          </cell>
          <cell r="I710">
            <v>1.4994427983843061E-3</v>
          </cell>
          <cell r="J710">
            <v>8.5046486872482124E-4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1.1755936946454382E-4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4.5389916293371959E-4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5.7145853239826312E-4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2.9818050148265201E-5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2.9818050148265201E-5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H716">
            <v>1.0435664290764665E-3</v>
          </cell>
          <cell r="I716">
            <v>9.3801717597946838E-4</v>
          </cell>
          <cell r="J716">
            <v>6.9920076952049548E-4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H717">
            <v>2.6077373558322774E-3</v>
          </cell>
          <cell r="I717">
            <v>4.4563741422858922E-3</v>
          </cell>
          <cell r="J717">
            <v>6.5766272332302951E-3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H718">
            <v>3.6300051362187832E-3</v>
          </cell>
          <cell r="I718">
            <v>5.3728913941543596E-3</v>
          </cell>
          <cell r="J718">
            <v>7.2619828539014853E-3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3.1311922519376566E-3</v>
          </cell>
          <cell r="J719">
            <v>4.9002708690864026E-3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3.1311922519376566E-3</v>
          </cell>
          <cell r="J720">
            <v>4.9002708690864026E-3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1.54375400145587E-6</v>
          </cell>
          <cell r="I721">
            <v>5.5735727008901698E-4</v>
          </cell>
          <cell r="J721">
            <v>2.9199992179393598E-4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1.54375400145587E-6</v>
          </cell>
          <cell r="I722">
            <v>5.5763070276679705E-4</v>
          </cell>
          <cell r="J722">
            <v>4.8290662882684998E-4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H723">
            <v>14.125936442086081</v>
          </cell>
          <cell r="I723">
            <v>19.486252486715745</v>
          </cell>
          <cell r="J723">
            <v>25.920023665144299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H724">
            <v>9.4172909613907212</v>
          </cell>
          <cell r="I724">
            <v>12.99083499114383</v>
          </cell>
          <cell r="J724">
            <v>17.280015776762866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H725">
            <v>0.53650044926172102</v>
          </cell>
          <cell r="I725">
            <v>0.56658191823171</v>
          </cell>
          <cell r="J725">
            <v>1.01214979351122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H726">
            <v>1.493101175544201</v>
          </cell>
          <cell r="I726">
            <v>2.0596829748150238</v>
          </cell>
          <cell r="J726">
            <v>2.7397282450342666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H727">
            <v>2.4435290332666755</v>
          </cell>
          <cell r="I727">
            <v>2.82406901180783</v>
          </cell>
          <cell r="J727">
            <v>2.8217962630696114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H728">
            <v>4.2817226107269262</v>
          </cell>
          <cell r="I728">
            <v>4.8960698516772334</v>
          </cell>
          <cell r="J728">
            <v>4.8062746306287929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H729">
            <v>7.8553120224669107E-2</v>
          </cell>
          <cell r="I729">
            <v>9.1898576560079104E-2</v>
          </cell>
          <cell r="J729">
            <v>9.7493357516493906E-2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H730">
            <v>0.23380213598411101</v>
          </cell>
          <cell r="I730">
            <v>0.26492783712957196</v>
          </cell>
          <cell r="J730">
            <v>0.29516927885664201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H731">
            <v>3.9765279326462496E-4</v>
          </cell>
          <cell r="I731">
            <v>3.8601517800955205E-4</v>
          </cell>
          <cell r="J731">
            <v>2.6104145124883381E-4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H732">
            <v>3.9765279326462496E-4</v>
          </cell>
          <cell r="I732">
            <v>3.8601517800955205E-4</v>
          </cell>
          <cell r="J732">
            <v>2.6104145124883381E-4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H733">
            <v>3.2274646666278303E-8</v>
          </cell>
          <cell r="I733">
            <v>3.2235768808415303E-8</v>
          </cell>
          <cell r="J733">
            <v>5.9875341490389796E-8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H734">
            <v>3.5590913313377641E-5</v>
          </cell>
          <cell r="I734">
            <v>3.5620286269793767E-5</v>
          </cell>
          <cell r="J734">
            <v>2.0725073469923246E-5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5.1486980819008614E-5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2.9883012970740669E-4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3.5031711052641522E-4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1.7721864603512702E-5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1.7721864603512702E-5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H740">
            <v>0.12983615636499021</v>
          </cell>
          <cell r="I740">
            <v>8.3002278695125664E-2</v>
          </cell>
          <cell r="J740">
            <v>2.7828621316280781E-2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H741">
            <v>0.12983615636499021</v>
          </cell>
          <cell r="I741">
            <v>8.3002278695125664E-2</v>
          </cell>
          <cell r="J741">
            <v>2.7828621316280781E-2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H742">
            <v>0.19825624704017128</v>
          </cell>
          <cell r="I742">
            <v>0.12674220132963812</v>
          </cell>
          <cell r="J742">
            <v>4.025252698485942E-2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H743">
            <v>2.9701461998617399E-3</v>
          </cell>
          <cell r="I743">
            <v>3.5504476270040199E-3</v>
          </cell>
          <cell r="J743">
            <v>3.2777992143314E-7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H744">
            <v>1.4875214842683206E-2</v>
          </cell>
          <cell r="I744">
            <v>6.5209956947142175E-3</v>
          </cell>
          <cell r="J744">
            <v>3.8284028449724261E-3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H745">
            <v>7.601907746604109</v>
          </cell>
          <cell r="I745">
            <v>9.6926223962473053</v>
          </cell>
          <cell r="J745">
            <v>11.291366629593188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H746">
            <v>2.3281885080443638</v>
          </cell>
          <cell r="I746">
            <v>2.9137133863105622</v>
          </cell>
          <cell r="J746">
            <v>3.2734864952747871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H747">
            <v>7.601907746604109</v>
          </cell>
          <cell r="I747">
            <v>9.6926223962473053</v>
          </cell>
          <cell r="J747">
            <v>11.291366629593188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H748">
            <v>0.27141454341714999</v>
          </cell>
          <cell r="I748">
            <v>0.17865819325659199</v>
          </cell>
          <cell r="J748">
            <v>0.37441207633297102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H749">
            <v>0.41366256203246216</v>
          </cell>
          <cell r="I749">
            <v>0.53067638967467612</v>
          </cell>
          <cell r="J749">
            <v>0.61887122780993731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H750">
            <v>7.6491539338982732E-5</v>
          </cell>
          <cell r="I750">
            <v>6.6690525694651073E-5</v>
          </cell>
          <cell r="J750">
            <v>4.8364284605535746E-5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H751">
            <v>7.6491539338982732E-5</v>
          </cell>
          <cell r="I751">
            <v>6.6690525694651073E-5</v>
          </cell>
          <cell r="J751">
            <v>4.8364284605535746E-5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H752">
            <v>2.05463178734883E-8</v>
          </cell>
          <cell r="I752">
            <v>1.9743674258575399E-8</v>
          </cell>
          <cell r="J752">
            <v>3.0270628512124101E-8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H753">
            <v>2.2452436293978216E-6</v>
          </cell>
          <cell r="I753">
            <v>2.2572646756770485E-6</v>
          </cell>
          <cell r="J753">
            <v>1.4255839192715043E-6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H754">
            <v>2.7891515938003906</v>
          </cell>
          <cell r="I754">
            <v>1.9295781037260369</v>
          </cell>
          <cell r="J754">
            <v>0.70903613037396929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H755">
            <v>2.7891515938003906</v>
          </cell>
          <cell r="I755">
            <v>1.9295781037260369</v>
          </cell>
          <cell r="J755">
            <v>0.70903613037396929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H756">
            <v>3.8634835922144815</v>
          </cell>
          <cell r="I756">
            <v>2.6728175550630868</v>
          </cell>
          <cell r="J756">
            <v>0.94703005739260382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H757">
            <v>0.119465825715851</v>
          </cell>
          <cell r="I757">
            <v>1.7081557755673001E-2</v>
          </cell>
          <cell r="J757">
            <v>2.12599249572667E-7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H758">
            <v>0.20524276391572463</v>
          </cell>
          <cell r="I758">
            <v>0.13654787247374767</v>
          </cell>
          <cell r="J758">
            <v>5.7986216624688891E-2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H759">
            <v>5.7783993279560177E-5</v>
          </cell>
          <cell r="I759">
            <v>4.446654958036424E-5</v>
          </cell>
          <cell r="J759">
            <v>3.3057620158171912E-5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H760">
            <v>5.7783993279560177E-5</v>
          </cell>
          <cell r="I760">
            <v>4.446654958036424E-5</v>
          </cell>
          <cell r="J760">
            <v>3.3057620158171912E-5</v>
          </cell>
        </row>
        <row r="761">
          <cell r="A761" t="str">
            <v>RHES-SHCONBR9</v>
          </cell>
          <cell r="B761" t="str">
            <v>VAR_cap</v>
          </cell>
          <cell r="C761" t="str">
            <v>-</v>
          </cell>
          <cell r="H761">
            <v>-6.4274802384085404E-8</v>
          </cell>
          <cell r="I761">
            <v>-6.6565657475635405E-8</v>
          </cell>
          <cell r="J761">
            <v>-3.2807645585697099E-8</v>
          </cell>
        </row>
        <row r="762">
          <cell r="A762" t="str">
            <v>D-RHNS_LTH_CHPNGA</v>
          </cell>
          <cell r="B762" t="str">
            <v>VAR_fout</v>
          </cell>
          <cell r="C762" t="str">
            <v>RHSA_LTH</v>
          </cell>
          <cell r="H762">
            <v>4.9547173245894074E-3</v>
          </cell>
          <cell r="I762">
            <v>5.7934641901408786E-3</v>
          </cell>
          <cell r="J762">
            <v>3.2197241743059076E-3</v>
          </cell>
        </row>
        <row r="763">
          <cell r="A763" t="str">
            <v>D-RHNS_LTH_CHPNGA</v>
          </cell>
          <cell r="B763" t="str">
            <v>VAR_fout</v>
          </cell>
          <cell r="C763" t="str">
            <v>LTH</v>
          </cell>
          <cell r="H763">
            <v>5.5283717567134227E-6</v>
          </cell>
          <cell r="I763">
            <v>7.5633644813186153E-6</v>
          </cell>
          <cell r="J763">
            <v>6.1243527811483992E-6</v>
          </cell>
        </row>
        <row r="764">
          <cell r="A764" t="str">
            <v>D-RHNS_LTH_CHPNGA</v>
          </cell>
          <cell r="B764" t="str">
            <v>VAR_fout</v>
          </cell>
          <cell r="C764" t="str">
            <v>RHNS_LTH_CHPNGA_ON</v>
          </cell>
          <cell r="H764">
            <v>1.1400196040454776E-3</v>
          </cell>
        </row>
        <row r="765">
          <cell r="A765" t="str">
            <v>D-RHNS_LTH_CHPNGA</v>
          </cell>
          <cell r="B765" t="str">
            <v>VAR_fin</v>
          </cell>
          <cell r="C765" t="str">
            <v>RHNS_LTH_CHPNGA</v>
          </cell>
          <cell r="H765">
            <v>6.1007028625239997E-3</v>
          </cell>
          <cell r="I765">
            <v>5.8015677075093338E-3</v>
          </cell>
          <cell r="J765">
            <v>3.2263463650788189E-3</v>
          </cell>
        </row>
        <row r="766">
          <cell r="A766" t="str">
            <v>D-SLFO</v>
          </cell>
          <cell r="B766" t="str">
            <v>VAR_fout</v>
          </cell>
          <cell r="C766" t="str">
            <v>CO2</v>
          </cell>
          <cell r="H766">
            <v>641.88137680690397</v>
          </cell>
          <cell r="I766">
            <v>205.75232543009301</v>
          </cell>
          <cell r="J766">
            <v>8.0469813581632104E-4</v>
          </cell>
        </row>
        <row r="767">
          <cell r="A767" t="str">
            <v>D-SLFO</v>
          </cell>
          <cell r="B767" t="str">
            <v>VAR_fout</v>
          </cell>
          <cell r="C767" t="str">
            <v>SLFO</v>
          </cell>
          <cell r="H767">
            <v>8.5644845721908069</v>
          </cell>
          <cell r="I767">
            <v>2.7458249455005492</v>
          </cell>
          <cell r="J767">
            <v>0.1747042519477591</v>
          </cell>
        </row>
        <row r="768">
          <cell r="A768" t="str">
            <v>D-SLFO</v>
          </cell>
          <cell r="B768" t="str">
            <v>VAR_fin</v>
          </cell>
          <cell r="C768" t="str">
            <v>LFO</v>
          </cell>
          <cell r="H768">
            <v>8.7093809607449639</v>
          </cell>
          <cell r="I768">
            <v>2.7917547548180863</v>
          </cell>
          <cell r="J768">
            <v>1.0918563579597301E-5</v>
          </cell>
        </row>
        <row r="769">
          <cell r="A769" t="str">
            <v>D-SLFO</v>
          </cell>
          <cell r="B769" t="str">
            <v>VAR_fin</v>
          </cell>
          <cell r="C769" t="str">
            <v>BDS</v>
          </cell>
          <cell r="H769">
            <v>5.7059203939117595E-4</v>
          </cell>
          <cell r="I769">
            <v>7.0836471484059011E-4</v>
          </cell>
          <cell r="J769">
            <v>0.17766307847044063</v>
          </cell>
        </row>
        <row r="770">
          <cell r="A770" t="str">
            <v>D-RCOA</v>
          </cell>
          <cell r="B770" t="str">
            <v>VAR_fout</v>
          </cell>
          <cell r="C770" t="str">
            <v>CO2</v>
          </cell>
        </row>
        <row r="771">
          <cell r="A771" t="str">
            <v>D-RCOA</v>
          </cell>
          <cell r="B771" t="str">
            <v>VAR_fout</v>
          </cell>
          <cell r="C771" t="str">
            <v>RCOA</v>
          </cell>
        </row>
        <row r="772">
          <cell r="A772" t="str">
            <v>D-RCOA</v>
          </cell>
          <cell r="B772" t="str">
            <v>VAR_fin</v>
          </cell>
          <cell r="C772" t="str">
            <v>COA</v>
          </cell>
        </row>
        <row r="773">
          <cell r="A773" t="str">
            <v>SCOM-ELCSPECDC</v>
          </cell>
          <cell r="B773" t="str">
            <v>VAR_fout</v>
          </cell>
          <cell r="C773" t="str">
            <v>SCOM-ELSDC</v>
          </cell>
          <cell r="H773">
            <v>12.081145263597501</v>
          </cell>
          <cell r="I773">
            <v>11.089467211322097</v>
          </cell>
          <cell r="J773">
            <v>9.1106927309140708</v>
          </cell>
        </row>
        <row r="774">
          <cell r="A774" t="str">
            <v>SCOM-ELCSPECDC</v>
          </cell>
          <cell r="B774" t="str">
            <v>VAR_fin</v>
          </cell>
          <cell r="C774" t="str">
            <v>SCOM_ELC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D-RHEM_KEV_WOD_ELC_CHP</v>
          </cell>
          <cell r="B775" t="str">
            <v>VAR_fout</v>
          </cell>
          <cell r="C775" t="str">
            <v>ELC5</v>
          </cell>
          <cell r="H775">
            <v>9.4515275339526338E-4</v>
          </cell>
          <cell r="I775">
            <v>1.438552613784929E-3</v>
          </cell>
          <cell r="J775">
            <v>1.0928663761528611E-3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RHEM_ELC</v>
          </cell>
          <cell r="H776">
            <v>1.4876553607807979E-3</v>
          </cell>
          <cell r="I776">
            <v>3.499894412303476E-2</v>
          </cell>
          <cell r="J776">
            <v>0.50758656148555892</v>
          </cell>
        </row>
        <row r="777">
          <cell r="A777" t="str">
            <v>D-RHEM_KEV_WOD_ELC_CHP</v>
          </cell>
          <cell r="B777" t="str">
            <v>VAR_fin</v>
          </cell>
          <cell r="C777" t="str">
            <v>RHEM_KEV_WOD_ELC_CHP</v>
          </cell>
          <cell r="H777">
            <v>2.4171877999918951E-3</v>
          </cell>
          <cell r="I777">
            <v>3.6428675650853976E-2</v>
          </cell>
          <cell r="J777">
            <v>0.5086729648669055</v>
          </cell>
        </row>
        <row r="778">
          <cell r="A778" t="str">
            <v>RHES-SHSTG-SOL</v>
          </cell>
          <cell r="B778" t="str">
            <v>VAR_fout</v>
          </cell>
          <cell r="C778" t="str">
            <v>AUX_RHES-SHSTG-SOL_OUT</v>
          </cell>
          <cell r="H778">
            <v>1.0899422136938538E-2</v>
          </cell>
          <cell r="I778">
            <v>4.7933401912388226E-3</v>
          </cell>
          <cell r="J778">
            <v>3.945821058146776E-3</v>
          </cell>
        </row>
        <row r="779">
          <cell r="A779" t="str">
            <v>RHES-SHSTG-SOL</v>
          </cell>
          <cell r="B779" t="str">
            <v>VAR_fout</v>
          </cell>
          <cell r="C779" t="str">
            <v>RHES-SHASOL</v>
          </cell>
          <cell r="H779">
            <v>1.0888533603335212E-2</v>
          </cell>
          <cell r="I779">
            <v>4.7885516395992271E-3</v>
          </cell>
          <cell r="J779">
            <v>3.9418791789678099E-3</v>
          </cell>
        </row>
        <row r="780">
          <cell r="A780" t="str">
            <v>RHES-SHSTG-SOL</v>
          </cell>
          <cell r="B780" t="str">
            <v>VAR_fin</v>
          </cell>
          <cell r="C780" t="str">
            <v>RHES-SHASOL</v>
          </cell>
          <cell r="H780">
            <v>1.0892200027426269E-2</v>
          </cell>
          <cell r="I780">
            <v>4.7897143220997813E-3</v>
          </cell>
          <cell r="J780">
            <v>3.9452877426274192E-3</v>
          </cell>
        </row>
        <row r="781">
          <cell r="A781" t="str">
            <v>RHES-SHSTG-SOL</v>
          </cell>
          <cell r="B781" t="str">
            <v>VAR_ncap</v>
          </cell>
          <cell r="C781" t="str">
            <v>-</v>
          </cell>
          <cell r="H781">
            <v>3.6476832856611601E-4</v>
          </cell>
          <cell r="I781">
            <v>4.3519442395479902E-4</v>
          </cell>
          <cell r="J781">
            <v>2.9052168325733701E-4</v>
          </cell>
        </row>
        <row r="782">
          <cell r="A782" t="str">
            <v>RHES-SHSTG-SOL</v>
          </cell>
          <cell r="B782" t="str">
            <v>VAR_cap</v>
          </cell>
          <cell r="C782" t="str">
            <v>-</v>
          </cell>
          <cell r="H782">
            <v>3.2693039534447701E-3</v>
          </cell>
          <cell r="I782">
            <v>8.0032149436017302E-4</v>
          </cell>
          <cell r="J782">
            <v>7.6065191808805804E-4</v>
          </cell>
        </row>
        <row r="783">
          <cell r="A783" t="str">
            <v>D-ITOT_LTH</v>
          </cell>
          <cell r="B783" t="str">
            <v>VAR_fout</v>
          </cell>
          <cell r="C783" t="str">
            <v>ITOT_LTH_DH</v>
          </cell>
          <cell r="H783">
            <v>6.558642330688091</v>
          </cell>
          <cell r="I783">
            <v>6.55864256520276</v>
          </cell>
          <cell r="J783">
            <v>9.2510620191998996</v>
          </cell>
        </row>
        <row r="784">
          <cell r="A784" t="str">
            <v>D-ITOT_LTH</v>
          </cell>
          <cell r="B784" t="str">
            <v>VAR_fin</v>
          </cell>
          <cell r="C784" t="str">
            <v>LTH</v>
          </cell>
          <cell r="H784">
            <v>7.1160392398163488</v>
          </cell>
          <cell r="I784">
            <v>7.1113750740372792</v>
          </cell>
          <cell r="J784">
            <v>10.017566745225418</v>
          </cell>
        </row>
        <row r="785">
          <cell r="A785" t="str">
            <v>D-ITOT_LTH</v>
          </cell>
          <cell r="B785" t="str">
            <v>VAR_ncap</v>
          </cell>
          <cell r="C785" t="str">
            <v>-</v>
          </cell>
          <cell r="H785">
            <v>1.26632647414766E-7</v>
          </cell>
          <cell r="I785">
            <v>1.2756305823972601E-7</v>
          </cell>
          <cell r="J785">
            <v>1.91405721085552E-7</v>
          </cell>
        </row>
        <row r="786">
          <cell r="A786" t="str">
            <v>D-ITOT_LTH</v>
          </cell>
          <cell r="B786" t="str">
            <v>VAR_cap</v>
          </cell>
          <cell r="C786" t="str">
            <v>-</v>
          </cell>
          <cell r="H786">
            <v>0.79547299720292397</v>
          </cell>
          <cell r="I786">
            <v>0.79547312476598198</v>
          </cell>
          <cell r="J786">
            <v>0.79547331617170303</v>
          </cell>
        </row>
        <row r="787">
          <cell r="A787" t="str">
            <v>D-IH2</v>
          </cell>
          <cell r="B787" t="str">
            <v>VAR_fout</v>
          </cell>
          <cell r="C787" t="str">
            <v>IH2</v>
          </cell>
          <cell r="H787">
            <v>0.57234723657314146</v>
          </cell>
          <cell r="I787">
            <v>1.3261226429576554</v>
          </cell>
          <cell r="J787">
            <v>1.3223707538277669</v>
          </cell>
        </row>
        <row r="788">
          <cell r="A788" t="str">
            <v>D-IH2</v>
          </cell>
          <cell r="B788" t="str">
            <v>VAR_fin</v>
          </cell>
          <cell r="C788" t="str">
            <v>H2</v>
          </cell>
          <cell r="H788">
            <v>0.57670759990258802</v>
          </cell>
          <cell r="I788">
            <v>1.3362255598116306</v>
          </cell>
          <cell r="J788">
            <v>1.3324450873345495</v>
          </cell>
        </row>
        <row r="789">
          <cell r="A789" t="str">
            <v>D-IH2</v>
          </cell>
          <cell r="B789" t="str">
            <v>VAR_ncap</v>
          </cell>
          <cell r="C789" t="str">
            <v>-</v>
          </cell>
          <cell r="H789">
            <v>2.2269068269527601E-2</v>
          </cell>
          <cell r="I789">
            <v>5.6838342447232203E-2</v>
          </cell>
          <cell r="J789">
            <v>6.2129400532059506E-5</v>
          </cell>
        </row>
        <row r="790">
          <cell r="A790" t="str">
            <v>D-IH2</v>
          </cell>
          <cell r="B790" t="str">
            <v>VAR_cap</v>
          </cell>
          <cell r="C790" t="str">
            <v>-</v>
          </cell>
          <cell r="H790">
            <v>2.2270086689845502E-2</v>
          </cell>
          <cell r="I790">
            <v>7.9108429137077704E-2</v>
          </cell>
          <cell r="J790">
            <v>7.9170558537609695E-2</v>
          </cell>
        </row>
        <row r="791">
          <cell r="A791" t="str">
            <v>D-RHNM_LTH_CHPWOD</v>
          </cell>
          <cell r="B791" t="str">
            <v>VAR_fout</v>
          </cell>
          <cell r="C791" t="str">
            <v>RHNM_LTH_CHPWOD_ON</v>
          </cell>
          <cell r="J791">
            <v>3.6333561983311257E-3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RHSA_LTH</v>
          </cell>
          <cell r="H792">
            <v>4.9180510632649303E-3</v>
          </cell>
          <cell r="I792">
            <v>9.5979559282146548E-2</v>
          </cell>
          <cell r="J792">
            <v>1.3459878100944578</v>
          </cell>
        </row>
        <row r="793">
          <cell r="A793" t="str">
            <v>D-RHNM_LTH_CHPWOD</v>
          </cell>
          <cell r="B793" t="str">
            <v>VAR_fout</v>
          </cell>
          <cell r="C793" t="str">
            <v>LTH</v>
          </cell>
          <cell r="H793">
            <v>4.3434668608592705E-6</v>
          </cell>
          <cell r="I793">
            <v>1.2405864047983797E-4</v>
          </cell>
          <cell r="J793">
            <v>1.2083485288484955E-3</v>
          </cell>
        </row>
        <row r="794">
          <cell r="A794" t="str">
            <v>D-RHNM_LTH_CHPWOD</v>
          </cell>
          <cell r="B794" t="str">
            <v>VAR_fin</v>
          </cell>
          <cell r="C794" t="str">
            <v>RHNM_LTH_CHPWOD</v>
          </cell>
          <cell r="H794">
            <v>4.9228437556198502E-3</v>
          </cell>
          <cell r="I794">
            <v>9.6103617922626297E-2</v>
          </cell>
          <cell r="J794">
            <v>1.3508295148216385</v>
          </cell>
        </row>
        <row r="795">
          <cell r="A795" t="str">
            <v>RHNS-SHWODBR</v>
          </cell>
          <cell r="B795" t="str">
            <v>VAR_fout</v>
          </cell>
          <cell r="C795" t="str">
            <v>RHNS-SHWOD</v>
          </cell>
        </row>
        <row r="796">
          <cell r="A796" t="str">
            <v>RHNS-SHWODBR</v>
          </cell>
          <cell r="B796" t="str">
            <v>VAR_fin</v>
          </cell>
          <cell r="C796" t="str">
            <v>RHNSWODBRC</v>
          </cell>
        </row>
        <row r="797">
          <cell r="A797" t="str">
            <v>RHNS-SHWODBR</v>
          </cell>
          <cell r="B797" t="str">
            <v>VAR_fin</v>
          </cell>
          <cell r="C797" t="str">
            <v>RWOD</v>
          </cell>
        </row>
        <row r="798">
          <cell r="A798" t="str">
            <v>RHNS-SHWODBR</v>
          </cell>
          <cell r="B798" t="str">
            <v>VAR_ncap</v>
          </cell>
          <cell r="C798" t="str">
            <v>-</v>
          </cell>
          <cell r="H798">
            <v>3.3789448859897802E-7</v>
          </cell>
        </row>
        <row r="799">
          <cell r="A799" t="str">
            <v>RHNS-SHWODBR</v>
          </cell>
          <cell r="B799" t="str">
            <v>VAR_cap</v>
          </cell>
          <cell r="C799" t="str">
            <v>-</v>
          </cell>
          <cell r="H799">
            <v>3.1538585609883945E-5</v>
          </cell>
          <cell r="I799">
            <v>2.1093796814777098E-7</v>
          </cell>
          <cell r="J799">
            <v>7.0500468041691603E-8</v>
          </cell>
        </row>
        <row r="800">
          <cell r="A800" t="str">
            <v>D-RHNM_NKEV_GAS_ELC_CHP</v>
          </cell>
          <cell r="B800" t="str">
            <v>VAR_fout</v>
          </cell>
          <cell r="C800" t="str">
            <v>ELC5</v>
          </cell>
          <cell r="H800">
            <v>2.601788332918365E-3</v>
          </cell>
          <cell r="I800">
            <v>1.95631180876224E-3</v>
          </cell>
          <cell r="J800">
            <v>1.0467818291297283E-3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RHNM_ELC</v>
          </cell>
          <cell r="H801">
            <v>1.1277514436069509</v>
          </cell>
          <cell r="I801">
            <v>1.2493999339127151</v>
          </cell>
          <cell r="J801">
            <v>1.1318371236932656E-2</v>
          </cell>
        </row>
        <row r="802">
          <cell r="A802" t="str">
            <v>D-RHNM_NKEV_GAS_ELC_CHP</v>
          </cell>
          <cell r="B802" t="str">
            <v>VAR_fin</v>
          </cell>
          <cell r="C802" t="str">
            <v>RHNM_NKEV_GAS_ELC_CHP</v>
          </cell>
          <cell r="H802">
            <v>1.1303532319398693</v>
          </cell>
          <cell r="I802">
            <v>1.2513562457214791</v>
          </cell>
          <cell r="J802">
            <v>1.236515306606239E-2</v>
          </cell>
        </row>
        <row r="803">
          <cell r="A803" t="str">
            <v>D-RLFO</v>
          </cell>
          <cell r="B803" t="str">
            <v>VAR_fout</v>
          </cell>
          <cell r="C803" t="str">
            <v>CO2</v>
          </cell>
          <cell r="H803">
            <v>997.41135244237398</v>
          </cell>
          <cell r="I803">
            <v>274.95075211347103</v>
          </cell>
          <cell r="J803">
            <v>9.8146414737589603E-4</v>
          </cell>
        </row>
        <row r="804">
          <cell r="A804" t="str">
            <v>D-RLFO</v>
          </cell>
          <cell r="B804" t="str">
            <v>VAR_fout</v>
          </cell>
          <cell r="C804" t="str">
            <v>RLFO</v>
          </cell>
          <cell r="H804">
            <v>13.307935687085219</v>
          </cell>
          <cell r="I804">
            <v>3.6690741827719546</v>
          </cell>
          <cell r="J804">
            <v>0.37366392320786551</v>
          </cell>
        </row>
        <row r="805">
          <cell r="A805" t="str">
            <v>D-RLFO</v>
          </cell>
          <cell r="B805" t="str">
            <v>VAR_fin</v>
          </cell>
          <cell r="C805" t="str">
            <v>LFO</v>
          </cell>
          <cell r="H805">
            <v>13.533396912379565</v>
          </cell>
          <cell r="I805">
            <v>3.7306750625979843</v>
          </cell>
          <cell r="J805">
            <v>1.3317016925046069E-5</v>
          </cell>
        </row>
        <row r="806">
          <cell r="A806" t="str">
            <v>D-RLFO</v>
          </cell>
          <cell r="B806" t="str">
            <v>VAR_fin</v>
          </cell>
          <cell r="C806" t="str">
            <v>BDS</v>
          </cell>
          <cell r="H806">
            <v>5.7197397050520651E-4</v>
          </cell>
          <cell r="I806">
            <v>7.1784618761501983E-4</v>
          </cell>
          <cell r="J806">
            <v>0.38000477678253675</v>
          </cell>
        </row>
        <row r="807">
          <cell r="A807" t="str">
            <v>D-SCOM_LTH_CHPBIO</v>
          </cell>
          <cell r="B807" t="str">
            <v>VAR_fout</v>
          </cell>
          <cell r="C807" t="str">
            <v>SCOM_LTH_CHPBIO_ON</v>
          </cell>
        </row>
        <row r="808">
          <cell r="A808" t="str">
            <v>D-SCOM_LTH_CHPBIO</v>
          </cell>
          <cell r="B808" t="str">
            <v>VAR_fout</v>
          </cell>
          <cell r="C808" t="str">
            <v>LTH</v>
          </cell>
        </row>
        <row r="809">
          <cell r="A809" t="str">
            <v>D-SCOM_LTH_CHPBIO</v>
          </cell>
          <cell r="B809" t="str">
            <v>VAR_fin</v>
          </cell>
          <cell r="C809" t="str">
            <v>SCOM_LTH_CHPBIO</v>
          </cell>
        </row>
        <row r="810">
          <cell r="A810" t="str">
            <v>D-SCOM_NKEV_GAS_ELC_CHP</v>
          </cell>
          <cell r="B810" t="str">
            <v>VAR_fout</v>
          </cell>
          <cell r="C810" t="str">
            <v>ELC5</v>
          </cell>
          <cell r="H810">
            <v>1.9305678882778744E-3</v>
          </cell>
          <cell r="I810">
            <v>1.3447718178723491E-3</v>
          </cell>
          <cell r="J810">
            <v>6.2041154762986622E-4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SCOM_ELC</v>
          </cell>
          <cell r="H811">
            <v>3.8573457896940493E-2</v>
          </cell>
          <cell r="I811">
            <v>2.2247834150131988E-2</v>
          </cell>
          <cell r="J811">
            <v>2.0745709650282582E-3</v>
          </cell>
        </row>
        <row r="812">
          <cell r="A812" t="str">
            <v>D-SCOM_NKEV_GAS_ELC_CHP</v>
          </cell>
          <cell r="B812" t="str">
            <v>VAR_fin</v>
          </cell>
          <cell r="C812" t="str">
            <v>SCOM_NKEV_GAS_ELC_CHP</v>
          </cell>
          <cell r="H812">
            <v>4.0504025785218382E-2</v>
          </cell>
          <cell r="I812">
            <v>2.3592605968004318E-2</v>
          </cell>
          <cell r="J812">
            <v>2.694982512658125E-3</v>
          </cell>
        </row>
        <row r="813">
          <cell r="A813" t="str">
            <v>RHEM-SHLTHDH</v>
          </cell>
          <cell r="B813" t="str">
            <v>VAR_fout</v>
          </cell>
          <cell r="C813" t="str">
            <v>RHEM-SHLTHD</v>
          </cell>
          <cell r="H813">
            <v>7.3721074022653532</v>
          </cell>
          <cell r="I813">
            <v>7.7422993881307116</v>
          </cell>
          <cell r="J813">
            <v>6.3224152588099365</v>
          </cell>
        </row>
        <row r="814">
          <cell r="A814" t="str">
            <v>RHEM-SHLTHDH</v>
          </cell>
          <cell r="B814" t="str">
            <v>VAR_fin</v>
          </cell>
          <cell r="C814" t="str">
            <v>RHEMLTHDHC</v>
          </cell>
          <cell r="H814">
            <v>7.3721074022653532</v>
          </cell>
          <cell r="I814">
            <v>7.7422993881307116</v>
          </cell>
          <cell r="J814">
            <v>6.3224152588099365</v>
          </cell>
        </row>
        <row r="815">
          <cell r="A815" t="str">
            <v>RHEM-SHLTHDH</v>
          </cell>
          <cell r="B815" t="str">
            <v>VAR_fin</v>
          </cell>
          <cell r="C815" t="str">
            <v>RHEM_LTH_DH</v>
          </cell>
          <cell r="H815">
            <v>8.250743277959252</v>
          </cell>
          <cell r="I815">
            <v>8.6650561565256226</v>
          </cell>
          <cell r="J815">
            <v>7.0759448215666962</v>
          </cell>
        </row>
        <row r="816">
          <cell r="A816" t="str">
            <v>RHEM-SHLTHDH</v>
          </cell>
          <cell r="B816" t="str">
            <v>VAR_ncap</v>
          </cell>
          <cell r="C816" t="str">
            <v>-</v>
          </cell>
          <cell r="H816">
            <v>0.107661158804707</v>
          </cell>
          <cell r="I816">
            <v>0.117278540107235</v>
          </cell>
          <cell r="J816">
            <v>5.8725350542714903E-2</v>
          </cell>
        </row>
        <row r="817">
          <cell r="A817" t="str">
            <v>RHEM-SHLTHDH</v>
          </cell>
          <cell r="B817" t="str">
            <v>VAR_cap</v>
          </cell>
          <cell r="C817" t="str">
            <v>-</v>
          </cell>
          <cell r="H817">
            <v>0.52273966645056991</v>
          </cell>
          <cell r="I817">
            <v>0.54996279579167706</v>
          </cell>
          <cell r="J817">
            <v>0.49587117803098607</v>
          </cell>
        </row>
        <row r="818">
          <cell r="A818" t="str">
            <v>D-ITOT_SOLELC</v>
          </cell>
          <cell r="B818" t="str">
            <v>VAR_fout</v>
          </cell>
          <cell r="C818" t="str">
            <v>ITOT_ELC</v>
          </cell>
          <cell r="H818">
            <v>27.783615649515152</v>
          </cell>
          <cell r="I818">
            <v>32.770705104450421</v>
          </cell>
          <cell r="J818">
            <v>50.790495547642429</v>
          </cell>
        </row>
        <row r="819">
          <cell r="A819" t="str">
            <v>D-ITOT_SOLELC</v>
          </cell>
          <cell r="B819" t="str">
            <v>VAR_fout</v>
          </cell>
          <cell r="C819" t="str">
            <v>ELC5</v>
          </cell>
          <cell r="H819">
            <v>0.16806047183042905</v>
          </cell>
          <cell r="I819">
            <v>2.374524211279752</v>
          </cell>
          <cell r="J819">
            <v>3.30477810969797</v>
          </cell>
        </row>
        <row r="820">
          <cell r="A820" t="str">
            <v>D-ITOT_SOLELC</v>
          </cell>
          <cell r="B820" t="str">
            <v>VAR_fin</v>
          </cell>
          <cell r="C820" t="str">
            <v>ITOT_SOL_ELC</v>
          </cell>
          <cell r="H820">
            <v>27.951676121345596</v>
          </cell>
          <cell r="I820">
            <v>35.145229315730148</v>
          </cell>
          <cell r="J820">
            <v>54.095273657340357</v>
          </cell>
        </row>
        <row r="821">
          <cell r="A821" t="str">
            <v>D-SWOD</v>
          </cell>
          <cell r="B821" t="str">
            <v>VAR_fout</v>
          </cell>
          <cell r="C821" t="str">
            <v>SWOD</v>
          </cell>
          <cell r="H821">
            <v>6.6205725487458</v>
          </cell>
          <cell r="I821">
            <v>4.6997047011484048</v>
          </cell>
          <cell r="J821">
            <v>1.9463585093666531</v>
          </cell>
        </row>
        <row r="822">
          <cell r="A822" t="str">
            <v>D-SWOD</v>
          </cell>
          <cell r="B822" t="str">
            <v>VAR_fin</v>
          </cell>
          <cell r="C822" t="str">
            <v>WOD</v>
          </cell>
          <cell r="H822">
            <v>6.6205725487458</v>
          </cell>
          <cell r="I822">
            <v>4.6997047011484048</v>
          </cell>
          <cell r="J822">
            <v>1.9463585093666531</v>
          </cell>
        </row>
        <row r="823">
          <cell r="A823" t="str">
            <v>ITOT-PROCESSCO2CCS</v>
          </cell>
          <cell r="B823" t="str">
            <v>VAR_fout</v>
          </cell>
          <cell r="C823" t="str">
            <v>CO2_O</v>
          </cell>
          <cell r="J823">
            <v>1016.157014374494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</v>
          </cell>
          <cell r="J824">
            <v>-1016.15701437449</v>
          </cell>
        </row>
        <row r="825">
          <cell r="A825" t="str">
            <v>ITOT-PROCESSCO2CCS</v>
          </cell>
          <cell r="B825" t="str">
            <v>VAR_fin</v>
          </cell>
          <cell r="C825" t="str">
            <v>ITOT_ELC</v>
          </cell>
          <cell r="J825">
            <v>2.1518619127930476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ITOT_LTH_DH</v>
          </cell>
          <cell r="J826">
            <v>0.83683518830840731</v>
          </cell>
        </row>
        <row r="827">
          <cell r="A827" t="str">
            <v>ITOT-PROCESSCO2CCS</v>
          </cell>
          <cell r="B827" t="str">
            <v>VAR_ncap</v>
          </cell>
          <cell r="C827" t="str">
            <v>-</v>
          </cell>
          <cell r="J827">
            <v>2449.9125236075502</v>
          </cell>
        </row>
        <row r="828">
          <cell r="A828" t="str">
            <v>ITOT-PROCESSCO2CCS</v>
          </cell>
          <cell r="B828" t="str">
            <v>VAR_cap</v>
          </cell>
          <cell r="C828" t="str">
            <v>-</v>
          </cell>
          <cell r="J828">
            <v>2449.9125236075502</v>
          </cell>
        </row>
        <row r="829">
          <cell r="A829" t="str">
            <v>D-RSH2R</v>
          </cell>
          <cell r="B829" t="str">
            <v>VAR_fout</v>
          </cell>
          <cell r="C829" t="str">
            <v>RSH2</v>
          </cell>
          <cell r="H829">
            <v>3.6241381283357368E-4</v>
          </cell>
          <cell r="I829">
            <v>2.8387286599148594E-4</v>
          </cell>
          <cell r="J829">
            <v>1.800595665548052E-4</v>
          </cell>
        </row>
        <row r="830">
          <cell r="A830" t="str">
            <v>D-RSH2R</v>
          </cell>
          <cell r="B830" t="str">
            <v>VAR_fin</v>
          </cell>
          <cell r="C830" t="str">
            <v>H2</v>
          </cell>
          <cell r="H830">
            <v>3.6241381283357368E-4</v>
          </cell>
          <cell r="I830">
            <v>2.8387286599148594E-4</v>
          </cell>
          <cell r="J830">
            <v>1.800595665548052E-4</v>
          </cell>
        </row>
        <row r="831">
          <cell r="A831" t="str">
            <v>D-RSH2R</v>
          </cell>
          <cell r="B831" t="str">
            <v>VAR_ncap</v>
          </cell>
          <cell r="C831" t="str">
            <v>-</v>
          </cell>
          <cell r="H831">
            <v>7.6765135926632201E-5</v>
          </cell>
          <cell r="I831">
            <v>9.6848585753444994E-5</v>
          </cell>
          <cell r="J831">
            <v>3.9004291101946403E-5</v>
          </cell>
        </row>
        <row r="832">
          <cell r="A832" t="str">
            <v>D-RSH2R</v>
          </cell>
          <cell r="B832" t="str">
            <v>VAR_cap</v>
          </cell>
          <cell r="C832" t="str">
            <v>-</v>
          </cell>
          <cell r="H832">
            <v>1.3937481633737199E-4</v>
          </cell>
          <cell r="I832">
            <v>1.10445374268168E-4</v>
          </cell>
          <cell r="J832">
            <v>7.2176989439642802E-5</v>
          </cell>
        </row>
        <row r="833">
          <cell r="A833" t="str">
            <v>SCOM-SHLTHCHPBIO</v>
          </cell>
          <cell r="B833" t="str">
            <v>VAR_fout</v>
          </cell>
          <cell r="C833" t="str">
            <v>SCOM-SHLTHC-BIO</v>
          </cell>
        </row>
        <row r="834">
          <cell r="A834" t="str">
            <v>SCOM-SHLTHCHPBIO</v>
          </cell>
          <cell r="B834" t="str">
            <v>VAR_fin</v>
          </cell>
          <cell r="C834" t="str">
            <v>SCOM_LTH_CHPBIO_ON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SCOMLTHCHPC</v>
          </cell>
        </row>
        <row r="836">
          <cell r="A836" t="str">
            <v>SCOM-SHLTHCHPBIO</v>
          </cell>
          <cell r="B836" t="str">
            <v>VAR_ncap</v>
          </cell>
          <cell r="C836" t="str">
            <v>-</v>
          </cell>
          <cell r="H836">
            <v>5.0211092632818997E-2</v>
          </cell>
          <cell r="I836">
            <v>4.2399416533344697E-2</v>
          </cell>
          <cell r="J836">
            <v>5.3021647731077003E-2</v>
          </cell>
        </row>
        <row r="837">
          <cell r="A837" t="str">
            <v>SCOM-SHLTHCHPBIO</v>
          </cell>
          <cell r="B837" t="str">
            <v>VAR_cap</v>
          </cell>
          <cell r="C837" t="str">
            <v>-</v>
          </cell>
          <cell r="H837">
            <v>8.9263010185943417E-2</v>
          </cell>
          <cell r="I837">
            <v>7.7078683683692903E-2</v>
          </cell>
          <cell r="J837">
            <v>7.7078510106911594E-2</v>
          </cell>
        </row>
        <row r="838">
          <cell r="A838" t="str">
            <v>D-RSH2</v>
          </cell>
          <cell r="B838" t="str">
            <v>VAR_fout</v>
          </cell>
          <cell r="C838" t="str">
            <v>RSH2</v>
          </cell>
          <cell r="H838">
            <v>3.3837302587121825E-4</v>
          </cell>
          <cell r="I838">
            <v>2.667648019241052E-4</v>
          </cell>
          <cell r="J838">
            <v>1.9990914262569558E-4</v>
          </cell>
        </row>
        <row r="839">
          <cell r="A839" t="str">
            <v>D-RSH2</v>
          </cell>
          <cell r="B839" t="str">
            <v>VAR_fin</v>
          </cell>
          <cell r="C839" t="str">
            <v>H2</v>
          </cell>
          <cell r="H839">
            <v>3.4095088287724941E-4</v>
          </cell>
          <cell r="I839">
            <v>2.6879711969480212E-4</v>
          </cell>
          <cell r="J839">
            <v>2.0143212804263417E-4</v>
          </cell>
        </row>
        <row r="840">
          <cell r="A840" t="str">
            <v>D-RSH2</v>
          </cell>
          <cell r="B840" t="str">
            <v>VAR_ncap</v>
          </cell>
          <cell r="C840" t="str">
            <v>-</v>
          </cell>
          <cell r="H840">
            <v>1.8808926267252501E-5</v>
          </cell>
          <cell r="I840">
            <v>1.3199622384172301E-6</v>
          </cell>
          <cell r="J840">
            <v>9.9661813211965996E-7</v>
          </cell>
        </row>
        <row r="841">
          <cell r="A841" t="str">
            <v>D-RSH2</v>
          </cell>
          <cell r="B841" t="str">
            <v>VAR_cap</v>
          </cell>
          <cell r="C841" t="str">
            <v>-</v>
          </cell>
          <cell r="H841">
            <v>1.2700578247051299E-4</v>
          </cell>
          <cell r="I841">
            <v>1.2832574470893101E-4</v>
          </cell>
          <cell r="J841">
            <v>1.2932236284105E-4</v>
          </cell>
        </row>
        <row r="842">
          <cell r="A842" t="str">
            <v>RHES-SHNGABR</v>
          </cell>
          <cell r="B842" t="str">
            <v>VAR_fout</v>
          </cell>
          <cell r="C842" t="str">
            <v>CO2_R</v>
          </cell>
          <cell r="H842">
            <v>245.77428382554899</v>
          </cell>
          <cell r="I842">
            <v>96.5782180447966</v>
          </cell>
          <cell r="J842">
            <v>41.709435429429597</v>
          </cell>
        </row>
        <row r="843">
          <cell r="A843" t="str">
            <v>RHES-SHNGABR</v>
          </cell>
          <cell r="B843" t="str">
            <v>VAR_fout</v>
          </cell>
          <cell r="C843" t="str">
            <v>RHES-SHNGA</v>
          </cell>
          <cell r="H843">
            <v>3.9965141312517396</v>
          </cell>
          <cell r="I843">
            <v>1.5704499558672591</v>
          </cell>
          <cell r="J843">
            <v>0.69239928319323585</v>
          </cell>
        </row>
        <row r="844">
          <cell r="A844" t="str">
            <v>RHES-SHNGABR</v>
          </cell>
          <cell r="B844" t="str">
            <v>VAR_fin</v>
          </cell>
          <cell r="C844" t="str">
            <v>RNGA</v>
          </cell>
          <cell r="H844">
            <v>4.357700067828886</v>
          </cell>
          <cell r="I844">
            <v>1.7123797525673135</v>
          </cell>
          <cell r="J844">
            <v>0.73952899697570174</v>
          </cell>
        </row>
        <row r="845">
          <cell r="A845" t="str">
            <v>RHES-SHNGABR</v>
          </cell>
          <cell r="B845" t="str">
            <v>VAR_ncap</v>
          </cell>
          <cell r="C845" t="str">
            <v>-</v>
          </cell>
          <cell r="H845">
            <v>8.6728445284382202E-5</v>
          </cell>
          <cell r="I845">
            <v>0.129394257043186</v>
          </cell>
          <cell r="J845">
            <v>2.0119040262121599E-7</v>
          </cell>
        </row>
        <row r="846">
          <cell r="A846" t="str">
            <v>RHES-SHNGABR</v>
          </cell>
          <cell r="B846" t="str">
            <v>VAR_cap</v>
          </cell>
          <cell r="C846" t="str">
            <v>-</v>
          </cell>
          <cell r="H846">
            <v>0.32361089261428883</v>
          </cell>
          <cell r="I846">
            <v>0.12948093155856558</v>
          </cell>
          <cell r="J846">
            <v>6.1949393020238296E-2</v>
          </cell>
        </row>
        <row r="847">
          <cell r="A847" t="str">
            <v>SCOM-SHLTHCHPHFC</v>
          </cell>
          <cell r="B847" t="str">
            <v>VAR_ncap</v>
          </cell>
          <cell r="C847" t="str">
            <v>-</v>
          </cell>
          <cell r="H847">
            <v>1.16908192316788E-4</v>
          </cell>
          <cell r="I847">
            <v>1.42090908345878E-4</v>
          </cell>
          <cell r="J847">
            <v>1.8954900245084401E-4</v>
          </cell>
        </row>
        <row r="848">
          <cell r="A848" t="str">
            <v>SCOM-SHLTHCHPHFC</v>
          </cell>
          <cell r="B848" t="str">
            <v>VAR_cap</v>
          </cell>
          <cell r="C848" t="str">
            <v>-</v>
          </cell>
          <cell r="H848">
            <v>1.521632476287822E-4</v>
          </cell>
          <cell r="I848">
            <v>1.9761259680611199E-4</v>
          </cell>
          <cell r="J848">
            <v>2.4046303678124499E-4</v>
          </cell>
        </row>
        <row r="849">
          <cell r="A849" t="str">
            <v>RHSA-WHNGABR</v>
          </cell>
          <cell r="B849" t="str">
            <v>VAR_fout</v>
          </cell>
          <cell r="C849" t="str">
            <v>RHSA-WHNGA</v>
          </cell>
          <cell r="H849">
            <v>1.7739116355073874</v>
          </cell>
          <cell r="I849">
            <v>0.76875041445296943</v>
          </cell>
          <cell r="J849">
            <v>0.33172092725593</v>
          </cell>
        </row>
        <row r="850">
          <cell r="A850" t="str">
            <v>RHSA-WHNGABR</v>
          </cell>
          <cell r="B850" t="str">
            <v>VAR_fout</v>
          </cell>
          <cell r="C850" t="str">
            <v>CO2_R</v>
          </cell>
          <cell r="H850">
            <v>181.26880426070699</v>
          </cell>
          <cell r="I850">
            <v>78.555473459620401</v>
          </cell>
          <cell r="J850">
            <v>33.897210339192803</v>
          </cell>
        </row>
        <row r="851">
          <cell r="A851" t="str">
            <v>RHSA-WHNGABR</v>
          </cell>
          <cell r="B851" t="str">
            <v>VAR_fin</v>
          </cell>
          <cell r="C851" t="str">
            <v>RNGA</v>
          </cell>
          <cell r="H851">
            <v>3.2139858911472801</v>
          </cell>
          <cell r="I851">
            <v>1.3928275436102922</v>
          </cell>
          <cell r="J851">
            <v>0.60101436771618322</v>
          </cell>
        </row>
        <row r="852">
          <cell r="A852" t="str">
            <v>RHSA-WHNGABR</v>
          </cell>
          <cell r="B852" t="str">
            <v>VAR_ncap</v>
          </cell>
          <cell r="C852" t="str">
            <v>-</v>
          </cell>
          <cell r="H852">
            <v>2.2005411602920799E-2</v>
          </cell>
          <cell r="I852">
            <v>3.0564955652697401E-2</v>
          </cell>
          <cell r="J852">
            <v>7.4338408041900095E-7</v>
          </cell>
        </row>
        <row r="853">
          <cell r="A853" t="str">
            <v>RHSA-WHNGABR</v>
          </cell>
          <cell r="B853" t="str">
            <v>VAR_cap</v>
          </cell>
          <cell r="C853" t="str">
            <v>-</v>
          </cell>
          <cell r="H853">
            <v>0.1214394978288915</v>
          </cell>
          <cell r="I853">
            <v>5.2569935555374654E-2</v>
          </cell>
          <cell r="J853">
            <v>3.0585528130366798E-2</v>
          </cell>
        </row>
        <row r="854">
          <cell r="A854" t="str">
            <v>ITOT-SWHWSTBR</v>
          </cell>
          <cell r="B854" t="str">
            <v>VAR_fout</v>
          </cell>
          <cell r="C854" t="str">
            <v>ITOT-SWH</v>
          </cell>
          <cell r="H854">
            <v>5.6866157285314287</v>
          </cell>
          <cell r="I854">
            <v>5.6602082044559632</v>
          </cell>
          <cell r="J854">
            <v>3.4216112617772998</v>
          </cell>
        </row>
        <row r="855">
          <cell r="A855" t="str">
            <v>ITOT-SWHWSTBR</v>
          </cell>
          <cell r="B855" t="str">
            <v>VAR_fout</v>
          </cell>
          <cell r="C855" t="str">
            <v>CO2_I</v>
          </cell>
          <cell r="H855">
            <v>999.46579471158395</v>
          </cell>
          <cell r="I855">
            <v>994.82447229832098</v>
          </cell>
          <cell r="J855">
            <v>583.68662700906896</v>
          </cell>
        </row>
        <row r="856">
          <cell r="A856" t="str">
            <v>ITOT-SWHWSTBR</v>
          </cell>
          <cell r="B856" t="str">
            <v>VAR_fin</v>
          </cell>
          <cell r="C856" t="str">
            <v>IWST</v>
          </cell>
          <cell r="H856">
            <v>10.77010554646103</v>
          </cell>
          <cell r="I856">
            <v>10.720091296318113</v>
          </cell>
          <cell r="J856">
            <v>6.2897265841494452</v>
          </cell>
        </row>
        <row r="857">
          <cell r="A857" t="str">
            <v>ITOT-SWHWSTBR</v>
          </cell>
          <cell r="B857" t="str">
            <v>VAR_ncap</v>
          </cell>
          <cell r="C857" t="str">
            <v>-</v>
          </cell>
          <cell r="H857">
            <v>0.23859288250702401</v>
          </cell>
          <cell r="I857">
            <v>0.112538115651469</v>
          </cell>
          <cell r="J857">
            <v>2.5239487262857799E-2</v>
          </cell>
        </row>
        <row r="858">
          <cell r="A858" t="str">
            <v>ITOT-SWHWSTBR</v>
          </cell>
          <cell r="B858" t="str">
            <v>VAR_cap</v>
          </cell>
          <cell r="C858" t="str">
            <v>-</v>
          </cell>
          <cell r="H858">
            <v>0.33182522387004115</v>
          </cell>
          <cell r="I858">
            <v>0.35112518214746846</v>
          </cell>
          <cell r="J858">
            <v>0.20779744223084121</v>
          </cell>
        </row>
        <row r="859">
          <cell r="A859" t="str">
            <v>SCOM-SHSTG-ELC</v>
          </cell>
          <cell r="B859" t="str">
            <v>VAR_fout</v>
          </cell>
          <cell r="C859" t="str">
            <v>SCOM-SHAELCB</v>
          </cell>
          <cell r="H859">
            <v>2.182544915611381E-5</v>
          </cell>
          <cell r="I859">
            <v>1.7731236505214664E-5</v>
          </cell>
          <cell r="J859">
            <v>9.8836369770339087E-6</v>
          </cell>
        </row>
        <row r="860">
          <cell r="A860" t="str">
            <v>SCOM-SHSTG-ELC</v>
          </cell>
          <cell r="B860" t="str">
            <v>VAR_fin</v>
          </cell>
          <cell r="C860" t="str">
            <v>SCOM-SHAELCB</v>
          </cell>
          <cell r="H860">
            <v>2.400977672533788E-5</v>
          </cell>
          <cell r="I860">
            <v>2.0453137361004772E-5</v>
          </cell>
          <cell r="J860">
            <v>9.7327822967342814E-6</v>
          </cell>
        </row>
        <row r="861">
          <cell r="A861" t="str">
            <v>SCOM-SHSTG-ELC</v>
          </cell>
          <cell r="B861" t="str">
            <v>VAR_ncap</v>
          </cell>
          <cell r="C861" t="str">
            <v>-</v>
          </cell>
          <cell r="H861">
            <v>2.4139269179244902E-3</v>
          </cell>
          <cell r="I861">
            <v>3.2180414181191999E-3</v>
          </cell>
          <cell r="J861">
            <v>7.8217736201930906E-5</v>
          </cell>
        </row>
        <row r="862">
          <cell r="A862" t="str">
            <v>SCOM-SHSTG-ELC</v>
          </cell>
          <cell r="B862" t="str">
            <v>VAR_cap</v>
          </cell>
          <cell r="C862" t="str">
            <v>-</v>
          </cell>
          <cell r="H862">
            <v>5.2982733020775497E-3</v>
          </cell>
          <cell r="I862">
            <v>5.6146256535295558E-3</v>
          </cell>
          <cell r="J862">
            <v>3.3081344569154771E-3</v>
          </cell>
        </row>
        <row r="863">
          <cell r="A863" t="str">
            <v>SCOM-SHNGABR</v>
          </cell>
          <cell r="B863" t="str">
            <v>VAR_fout</v>
          </cell>
          <cell r="C863" t="str">
            <v>CO2_S</v>
          </cell>
          <cell r="H863">
            <v>407.54439164364197</v>
          </cell>
          <cell r="I863">
            <v>125.42900943819301</v>
          </cell>
          <cell r="J863">
            <v>49.862387479748698</v>
          </cell>
        </row>
        <row r="864">
          <cell r="A864" t="str">
            <v>SCOM-SHNGABR</v>
          </cell>
          <cell r="B864" t="str">
            <v>VAR_fout</v>
          </cell>
          <cell r="C864" t="str">
            <v>SCOM-SHNGA</v>
          </cell>
          <cell r="H864">
            <v>6.2551491944963553</v>
          </cell>
          <cell r="I864">
            <v>1.9251330246247842</v>
          </cell>
          <cell r="J864">
            <v>0.76530723836420422</v>
          </cell>
        </row>
        <row r="865">
          <cell r="A865" t="str">
            <v>SCOM-SHNGABR</v>
          </cell>
          <cell r="B865" t="str">
            <v>VAR_fin</v>
          </cell>
          <cell r="C865" t="str">
            <v>SNGA</v>
          </cell>
          <cell r="H865">
            <v>7.2259643908447098</v>
          </cell>
          <cell r="I865">
            <v>2.2239186070601669</v>
          </cell>
          <cell r="J865">
            <v>0.88408488439270849</v>
          </cell>
        </row>
        <row r="866">
          <cell r="A866" t="str">
            <v>SCOM-SHNGABR</v>
          </cell>
          <cell r="B866" t="str">
            <v>VAR_ncap</v>
          </cell>
          <cell r="C866" t="str">
            <v>-</v>
          </cell>
          <cell r="H866">
            <v>0.26280919325074997</v>
          </cell>
          <cell r="I866">
            <v>1.7002073452468701E-5</v>
          </cell>
          <cell r="J866">
            <v>2.6223100949048398E-6</v>
          </cell>
        </row>
        <row r="867">
          <cell r="A867" t="str">
            <v>SCOM-SHNGABR</v>
          </cell>
          <cell r="B867" t="str">
            <v>VAR_cap</v>
          </cell>
          <cell r="C867" t="str">
            <v>-</v>
          </cell>
          <cell r="H867">
            <v>0.76939845014429797</v>
          </cell>
          <cell r="I867">
            <v>0.26282501140674269</v>
          </cell>
          <cell r="J867">
            <v>0.11117876161735064</v>
          </cell>
        </row>
        <row r="868">
          <cell r="A868" t="str">
            <v>RHEM-SHELCHP</v>
          </cell>
          <cell r="B868" t="str">
            <v>VAR_fout</v>
          </cell>
          <cell r="C868" t="str">
            <v>RHEM-SHAELCH</v>
          </cell>
          <cell r="H868">
            <v>22.391736176904676</v>
          </cell>
          <cell r="I868">
            <v>26.539574794497046</v>
          </cell>
          <cell r="J868">
            <v>23.457686726627941</v>
          </cell>
        </row>
        <row r="869">
          <cell r="A869" t="str">
            <v>RHEM-SHELCHP</v>
          </cell>
          <cell r="B869" t="str">
            <v>VAR_fin</v>
          </cell>
          <cell r="C869" t="str">
            <v>RHEMELCHPC</v>
          </cell>
          <cell r="H869">
            <v>22.391736176904676</v>
          </cell>
          <cell r="I869">
            <v>26.539574794497046</v>
          </cell>
          <cell r="J869">
            <v>23.457686726627941</v>
          </cell>
        </row>
        <row r="870">
          <cell r="A870" t="str">
            <v>RHEM-SHELCHP</v>
          </cell>
          <cell r="B870" t="str">
            <v>VAR_fin</v>
          </cell>
          <cell r="C870" t="str">
            <v>RHEM_ELC</v>
          </cell>
          <cell r="H870">
            <v>6.1688828457192457</v>
          </cell>
          <cell r="I870">
            <v>6.9565323890696593</v>
          </cell>
          <cell r="J870">
            <v>5.6403898731908484</v>
          </cell>
        </row>
        <row r="871">
          <cell r="A871" t="str">
            <v>RHEM-SHELCHP</v>
          </cell>
          <cell r="B871" t="str">
            <v>VAR_ncap</v>
          </cell>
          <cell r="C871" t="str">
            <v>-</v>
          </cell>
          <cell r="H871">
            <v>0.80777401917314695</v>
          </cell>
          <cell r="I871">
            <v>0.706746847756902</v>
          </cell>
          <cell r="J871">
            <v>0.80184761770896795</v>
          </cell>
        </row>
        <row r="872">
          <cell r="A872" t="str">
            <v>RHEM-SHELCHP</v>
          </cell>
          <cell r="B872" t="str">
            <v>VAR_cap</v>
          </cell>
          <cell r="C872" t="str">
            <v>-</v>
          </cell>
          <cell r="H872">
            <v>1.5812037257271825</v>
          </cell>
          <cell r="I872">
            <v>1.8756025535159093</v>
          </cell>
          <cell r="J872">
            <v>1.6564413737925618</v>
          </cell>
        </row>
        <row r="873">
          <cell r="A873" t="str">
            <v>RHNM-SHSTG-ELC</v>
          </cell>
          <cell r="B873" t="str">
            <v>VAR_fout</v>
          </cell>
          <cell r="C873" t="str">
            <v>RHNM-SHAELCB</v>
          </cell>
          <cell r="H873">
            <v>2.9525504837159977E-4</v>
          </cell>
          <cell r="I873">
            <v>4.1509597059528213E-4</v>
          </cell>
          <cell r="J873">
            <v>1.1533015569295704E-4</v>
          </cell>
        </row>
        <row r="874">
          <cell r="A874" t="str">
            <v>RHNM-SHSTG-ELC</v>
          </cell>
          <cell r="B874" t="str">
            <v>VAR_fout</v>
          </cell>
          <cell r="C874" t="str">
            <v>AUX_RHNM-SHSTG-ELC_OUT</v>
          </cell>
          <cell r="H874">
            <v>2.9555030341997112E-4</v>
          </cell>
          <cell r="I874">
            <v>4.1551106656587757E-4</v>
          </cell>
          <cell r="J874">
            <v>1.1544548584865002E-4</v>
          </cell>
        </row>
        <row r="875">
          <cell r="A875" t="str">
            <v>RHNM-SHSTG-ELC</v>
          </cell>
          <cell r="B875" t="str">
            <v>VAR_fin</v>
          </cell>
          <cell r="C875" t="str">
            <v>RHNM-SHAELCB</v>
          </cell>
          <cell r="H875">
            <v>2.9589034858568136E-4</v>
          </cell>
          <cell r="I875">
            <v>4.1636031850453417E-4</v>
          </cell>
          <cell r="J875">
            <v>1.1614480325907798E-4</v>
          </cell>
        </row>
        <row r="876">
          <cell r="A876" t="str">
            <v>RHNM-SHSTG-ELC</v>
          </cell>
          <cell r="B876" t="str">
            <v>VAR_ncap</v>
          </cell>
          <cell r="C876" t="str">
            <v>-</v>
          </cell>
          <cell r="H876">
            <v>2.4783021857392002E-4</v>
          </cell>
          <cell r="I876">
            <v>6.4482843082175101E-5</v>
          </cell>
          <cell r="J876">
            <v>5.1325627434723501E-5</v>
          </cell>
        </row>
        <row r="877">
          <cell r="A877" t="str">
            <v>RHNM-SHSTG-ELC</v>
          </cell>
          <cell r="B877" t="str">
            <v>VAR_cap</v>
          </cell>
          <cell r="C877" t="str">
            <v>-</v>
          </cell>
          <cell r="H877">
            <v>1.7075234534831851E-3</v>
          </cell>
          <cell r="I877">
            <v>2.5910142975966001E-4</v>
          </cell>
          <cell r="J877">
            <v>1.100875525807928E-4</v>
          </cell>
        </row>
        <row r="878">
          <cell r="A878" t="str">
            <v>D-RWOD</v>
          </cell>
          <cell r="B878" t="str">
            <v>VAR_fout</v>
          </cell>
          <cell r="C878" t="str">
            <v>RWOD</v>
          </cell>
          <cell r="H878">
            <v>10.689023216236039</v>
          </cell>
          <cell r="I878">
            <v>8.9168835991655957</v>
          </cell>
          <cell r="J878">
            <v>7.8673216305283047</v>
          </cell>
        </row>
        <row r="879">
          <cell r="A879" t="str">
            <v>D-RWOD</v>
          </cell>
          <cell r="B879" t="str">
            <v>VAR_fin</v>
          </cell>
          <cell r="C879" t="str">
            <v>WOD</v>
          </cell>
          <cell r="H879">
            <v>10.689023216236039</v>
          </cell>
          <cell r="I879">
            <v>8.9168835991655957</v>
          </cell>
          <cell r="J879">
            <v>7.8673216305283047</v>
          </cell>
        </row>
        <row r="880">
          <cell r="A880" t="str">
            <v>RHNS-SHLTHCHPWOD</v>
          </cell>
          <cell r="B880" t="str">
            <v>VAR_ncap</v>
          </cell>
          <cell r="C880" t="str">
            <v>-</v>
          </cell>
          <cell r="H880">
            <v>2.36625051638227E-4</v>
          </cell>
          <cell r="I880">
            <v>2.0333183812187299E-4</v>
          </cell>
          <cell r="J880">
            <v>2.2650651071656801E-4</v>
          </cell>
        </row>
        <row r="881">
          <cell r="A881" t="str">
            <v>RHNS-SHLTHCHPWOD</v>
          </cell>
          <cell r="B881" t="str">
            <v>VAR_cap</v>
          </cell>
          <cell r="C881" t="str">
            <v>-</v>
          </cell>
          <cell r="H881">
            <v>3.0472222995581741E-4</v>
          </cell>
          <cell r="I881">
            <v>3.3731577801946995E-4</v>
          </cell>
          <cell r="J881">
            <v>3.1004620636326796E-4</v>
          </cell>
        </row>
        <row r="882">
          <cell r="A882" t="str">
            <v>RHNM-SHELCBR</v>
          </cell>
          <cell r="B882" t="str">
            <v>VAR_fout</v>
          </cell>
          <cell r="C882" t="str">
            <v>RHNM-SHAELCB</v>
          </cell>
          <cell r="H882">
            <v>2.2043831765025633E-3</v>
          </cell>
          <cell r="I882">
            <v>2.1111916097771889E-3</v>
          </cell>
          <cell r="J882">
            <v>1.3385091479956688E-3</v>
          </cell>
        </row>
        <row r="883">
          <cell r="A883" t="str">
            <v>RHNM-SHELCBR</v>
          </cell>
          <cell r="B883" t="str">
            <v>VAR_fin</v>
          </cell>
          <cell r="C883" t="str">
            <v>RHNM_ELC</v>
          </cell>
          <cell r="H883">
            <v>2.3204033436869066E-3</v>
          </cell>
          <cell r="I883">
            <v>2.2223069576601993E-3</v>
          </cell>
          <cell r="J883">
            <v>1.4089569978901774E-3</v>
          </cell>
        </row>
        <row r="884">
          <cell r="A884" t="str">
            <v>RHNM-SHELCBR</v>
          </cell>
          <cell r="B884" t="str">
            <v>VAR_ncap</v>
          </cell>
          <cell r="C884" t="str">
            <v>-</v>
          </cell>
          <cell r="H884">
            <v>1.10215126442309E-3</v>
          </cell>
        </row>
        <row r="885">
          <cell r="A885" t="str">
            <v>RHNM-SHELCBR</v>
          </cell>
          <cell r="B885" t="str">
            <v>VAR_cap</v>
          </cell>
          <cell r="C885" t="str">
            <v>-</v>
          </cell>
          <cell r="H885">
            <v>7.2638222317184297E-3</v>
          </cell>
          <cell r="I885">
            <v>1.1016202098079633E-3</v>
          </cell>
          <cell r="J885">
            <v>4.6513891511506308E-4</v>
          </cell>
        </row>
        <row r="886">
          <cell r="A886" t="str">
            <v>RHNS-SHSTG-NGAHP</v>
          </cell>
          <cell r="B886" t="str">
            <v>VAR_fout</v>
          </cell>
          <cell r="C886" t="str">
            <v>RHNS-SHANGAH</v>
          </cell>
          <cell r="H886">
            <v>3.3952855437352748E-2</v>
          </cell>
          <cell r="I886">
            <v>4.2615769364052737E-2</v>
          </cell>
          <cell r="J886">
            <v>4.8079574011170099E-2</v>
          </cell>
        </row>
        <row r="887">
          <cell r="A887" t="str">
            <v>RHNS-SHSTG-NGAHP</v>
          </cell>
          <cell r="B887" t="str">
            <v>VAR_fout</v>
          </cell>
          <cell r="C887" t="str">
            <v>AUX_RHNS-SHSTG-NGAHP_OUT</v>
          </cell>
          <cell r="H887">
            <v>3.398680829279007E-2</v>
          </cell>
          <cell r="I887">
            <v>4.2658385133416764E-2</v>
          </cell>
          <cell r="J887">
            <v>4.8127653585181306E-2</v>
          </cell>
        </row>
        <row r="888">
          <cell r="A888" t="str">
            <v>RHNS-SHSTG-NGAHP</v>
          </cell>
          <cell r="B888" t="str">
            <v>VAR_fin</v>
          </cell>
          <cell r="C888" t="str">
            <v>RHNS-SHANGAH</v>
          </cell>
          <cell r="H888">
            <v>3.396525029833794E-2</v>
          </cell>
          <cell r="I888">
            <v>4.2629196128846504E-2</v>
          </cell>
          <cell r="J888">
            <v>4.809577724548772E-2</v>
          </cell>
        </row>
        <row r="889">
          <cell r="A889" t="str">
            <v>RHNS-SHSTG-NGAHP</v>
          </cell>
          <cell r="B889" t="str">
            <v>VAR_ncap</v>
          </cell>
          <cell r="C889" t="str">
            <v>-</v>
          </cell>
          <cell r="H889">
            <v>2.6838562200922999E-3</v>
          </cell>
          <cell r="I889">
            <v>5.2741482877689998E-3</v>
          </cell>
          <cell r="J889">
            <v>7.2218434036668399E-3</v>
          </cell>
        </row>
        <row r="890">
          <cell r="A890" t="str">
            <v>RHNS-SHSTG-NGAHP</v>
          </cell>
          <cell r="B890" t="str">
            <v>VAR_cap</v>
          </cell>
          <cell r="C890" t="str">
            <v>-</v>
          </cell>
          <cell r="H890">
            <v>9.0756178839204969E-3</v>
          </cell>
          <cell r="I890">
            <v>1.1041420425461664E-2</v>
          </cell>
          <cell r="J890">
            <v>1.212982667155052E-2</v>
          </cell>
        </row>
        <row r="891">
          <cell r="A891" t="str">
            <v>RHNS-SHLTHDH</v>
          </cell>
          <cell r="B891" t="str">
            <v>VAR_fout</v>
          </cell>
          <cell r="C891" t="str">
            <v>RHNS-SHLTHD</v>
          </cell>
          <cell r="H891">
            <v>0.24297597181951988</v>
          </cell>
          <cell r="I891">
            <v>0.26204368497313651</v>
          </cell>
          <cell r="J891">
            <v>0.28196375027744502</v>
          </cell>
        </row>
        <row r="892">
          <cell r="A892" t="str">
            <v>RHNS-SHLTHDH</v>
          </cell>
          <cell r="B892" t="str">
            <v>VAR_fin</v>
          </cell>
          <cell r="C892" t="str">
            <v>RHNS_LTH_DH</v>
          </cell>
          <cell r="H892">
            <v>0.26706858893761148</v>
          </cell>
          <cell r="I892">
            <v>0.28786618926963814</v>
          </cell>
          <cell r="J892">
            <v>0.30974923251008646</v>
          </cell>
        </row>
        <row r="893">
          <cell r="A893" t="str">
            <v>RHNS-SHLTHDH</v>
          </cell>
          <cell r="B893" t="str">
            <v>VAR_fin</v>
          </cell>
          <cell r="C893" t="str">
            <v>RHNSLTHDHC</v>
          </cell>
          <cell r="H893">
            <v>0.24297597181951988</v>
          </cell>
          <cell r="I893">
            <v>0.26204368497313651</v>
          </cell>
          <cell r="J893">
            <v>0.28196375027744502</v>
          </cell>
        </row>
        <row r="894">
          <cell r="A894" t="str">
            <v>RHNS-SHLTHDH</v>
          </cell>
          <cell r="B894" t="str">
            <v>VAR_ncap</v>
          </cell>
          <cell r="C894" t="str">
            <v>-</v>
          </cell>
          <cell r="H894">
            <v>9.7627456242770499E-3</v>
          </cell>
          <cell r="I894">
            <v>1.01170553104151E-2</v>
          </cell>
          <cell r="J894">
            <v>2.1995928173084701E-2</v>
          </cell>
        </row>
        <row r="895">
          <cell r="A895" t="str">
            <v>RHNS-SHLTHDH</v>
          </cell>
          <cell r="B895" t="str">
            <v>VAR_cap</v>
          </cell>
          <cell r="C895" t="str">
            <v>-</v>
          </cell>
          <cell r="H895">
            <v>1.8576405140165494E-2</v>
          </cell>
          <cell r="I895">
            <v>1.9868684542898092E-2</v>
          </cell>
          <cell r="J895">
            <v>3.2351761163817605E-2</v>
          </cell>
        </row>
        <row r="896">
          <cell r="A896" t="str">
            <v>ITOT-SWHNGAHP</v>
          </cell>
          <cell r="B896" t="str">
            <v>VAR_fout</v>
          </cell>
          <cell r="C896" t="str">
            <v>ITOT-SWHANGAH</v>
          </cell>
          <cell r="H896">
            <v>5.9917974750430935E-3</v>
          </cell>
          <cell r="I896">
            <v>2.1559031909000573E-3</v>
          </cell>
          <cell r="J896">
            <v>6.454687616321635E-3</v>
          </cell>
        </row>
        <row r="897">
          <cell r="A897" t="str">
            <v>ITOT-SWHNGAHP</v>
          </cell>
          <cell r="B897" t="str">
            <v>VAR_fout</v>
          </cell>
          <cell r="C897" t="str">
            <v>CO2_I</v>
          </cell>
          <cell r="H897">
            <v>0.17249659453374599</v>
          </cell>
          <cell r="I897">
            <v>6.0920385694447403E-2</v>
          </cell>
          <cell r="J897">
            <v>0.17590052143552701</v>
          </cell>
        </row>
        <row r="898">
          <cell r="A898" t="str">
            <v>ITOT-SWHNGAHP</v>
          </cell>
          <cell r="B898" t="str">
            <v>VAR_fin</v>
          </cell>
          <cell r="C898" t="str">
            <v>ITOTELCHPC</v>
          </cell>
          <cell r="H898">
            <v>5.9917974750430935E-3</v>
          </cell>
          <cell r="I898">
            <v>2.1559031909000573E-3</v>
          </cell>
          <cell r="J898">
            <v>6.454687616321635E-3</v>
          </cell>
        </row>
        <row r="899">
          <cell r="A899" t="str">
            <v>ITOT-SWHNGAHP</v>
          </cell>
          <cell r="B899" t="str">
            <v>VAR_fin</v>
          </cell>
          <cell r="C899" t="str">
            <v>INGA</v>
          </cell>
          <cell r="H899">
            <v>3.058450257690529E-3</v>
          </cell>
          <cell r="I899">
            <v>1.0801486825256638E-3</v>
          </cell>
          <cell r="J899">
            <v>3.1188035715518981E-3</v>
          </cell>
        </row>
        <row r="900">
          <cell r="A900" t="str">
            <v>ITOT-SWHNGAHP</v>
          </cell>
          <cell r="B900" t="str">
            <v>VAR_ncap</v>
          </cell>
          <cell r="C900" t="str">
            <v>-</v>
          </cell>
          <cell r="H900">
            <v>8.9886868979298606E-5</v>
          </cell>
          <cell r="I900">
            <v>4.8783711022916898E-5</v>
          </cell>
          <cell r="J900">
            <v>5.0449217128007199E-4</v>
          </cell>
        </row>
        <row r="901">
          <cell r="A901" t="str">
            <v>ITOT-SWHNGAHP</v>
          </cell>
          <cell r="B901" t="str">
            <v>VAR_cap</v>
          </cell>
          <cell r="C901" t="str">
            <v>-</v>
          </cell>
          <cell r="H901">
            <v>6.0499384035588889E-4</v>
          </cell>
          <cell r="I901">
            <v>2.2521795925911503E-4</v>
          </cell>
          <cell r="J901">
            <v>5.76036763318528E-4</v>
          </cell>
        </row>
        <row r="902">
          <cell r="A902" t="str">
            <v>RHSA-WHLFOBR</v>
          </cell>
          <cell r="B902" t="str">
            <v>VAR_fout</v>
          </cell>
          <cell r="C902" t="str">
            <v>CO2_R</v>
          </cell>
          <cell r="H902">
            <v>168.236795329383</v>
          </cell>
          <cell r="I902">
            <v>59.542563523838297</v>
          </cell>
          <cell r="J902">
            <v>3.5928216938052699</v>
          </cell>
        </row>
        <row r="903">
          <cell r="A903" t="str">
            <v>RHSA-WHLFOBR</v>
          </cell>
          <cell r="B903" t="str">
            <v>VAR_fout</v>
          </cell>
          <cell r="C903" t="str">
            <v>RHSA-WHLFO</v>
          </cell>
          <cell r="H903">
            <v>1.2597307514320675</v>
          </cell>
          <cell r="I903">
            <v>0.45236230565323216</v>
          </cell>
          <cell r="J903">
            <v>2.868614491283164E-2</v>
          </cell>
        </row>
        <row r="904">
          <cell r="A904" t="str">
            <v>RHSA-WHLFOBR</v>
          </cell>
          <cell r="B904" t="str">
            <v>VAR_fin</v>
          </cell>
          <cell r="C904" t="str">
            <v>RLFO</v>
          </cell>
          <cell r="H904">
            <v>2.2827244956497075</v>
          </cell>
          <cell r="I904">
            <v>0.80790452542521429</v>
          </cell>
          <cell r="J904">
            <v>4.8749276713775665E-2</v>
          </cell>
        </row>
        <row r="905">
          <cell r="A905" t="str">
            <v>RHSA-WHLFOBR</v>
          </cell>
          <cell r="B905" t="str">
            <v>VAR_ncap</v>
          </cell>
          <cell r="C905" t="str">
            <v>-</v>
          </cell>
          <cell r="H905">
            <v>1.40990303181605E-2</v>
          </cell>
          <cell r="I905">
            <v>1.6833057579052398E-2</v>
          </cell>
        </row>
        <row r="906">
          <cell r="A906" t="str">
            <v>RHSA-WHLFOBR</v>
          </cell>
          <cell r="B906" t="str">
            <v>VAR_cap</v>
          </cell>
          <cell r="C906" t="str">
            <v>-</v>
          </cell>
          <cell r="H906">
            <v>8.6218429698332794E-2</v>
          </cell>
          <cell r="I906">
            <v>3.0931759760389407E-2</v>
          </cell>
          <cell r="J906">
            <v>2.6707034261117986E-3</v>
          </cell>
        </row>
        <row r="907">
          <cell r="A907" t="str">
            <v>D-IWST</v>
          </cell>
          <cell r="B907" t="str">
            <v>VAR_fout</v>
          </cell>
          <cell r="C907" t="str">
            <v>CO2</v>
          </cell>
          <cell r="H907">
            <v>1001.7552588892</v>
          </cell>
          <cell r="I907">
            <v>996.69824761299003</v>
          </cell>
          <cell r="J907">
            <v>986.58524753883103</v>
          </cell>
        </row>
        <row r="908">
          <cell r="A908" t="str">
            <v>D-IWST</v>
          </cell>
          <cell r="B908" t="str">
            <v>VAR_fout</v>
          </cell>
          <cell r="C908" t="str">
            <v>IWST</v>
          </cell>
          <cell r="H908">
            <v>10.794776496650904</v>
          </cell>
          <cell r="I908">
            <v>10.740282840657217</v>
          </cell>
          <cell r="J908">
            <v>10.631306546754651</v>
          </cell>
        </row>
        <row r="909">
          <cell r="A909" t="str">
            <v>D-IWST</v>
          </cell>
          <cell r="B909" t="str">
            <v>VAR_fin</v>
          </cell>
          <cell r="C909" t="str">
            <v>WSTNREN</v>
          </cell>
          <cell r="H909">
            <v>10.794776496650904</v>
          </cell>
          <cell r="I909">
            <v>10.740282840657217</v>
          </cell>
          <cell r="J909">
            <v>10.631306546754651</v>
          </cell>
        </row>
        <row r="910">
          <cell r="A910" t="str">
            <v>RHES-SHLFOBR</v>
          </cell>
          <cell r="B910" t="str">
            <v>VAR_fout</v>
          </cell>
          <cell r="C910" t="str">
            <v>CO2_R</v>
          </cell>
          <cell r="H910">
            <v>292.98345351628097</v>
          </cell>
          <cell r="I910">
            <v>68.810520859321997</v>
          </cell>
          <cell r="J910">
            <v>8.5678572759581506</v>
          </cell>
        </row>
        <row r="911">
          <cell r="A911" t="str">
            <v>RHES-SHLFOBR</v>
          </cell>
          <cell r="B911" t="str">
            <v>VAR_fout</v>
          </cell>
          <cell r="C911" t="str">
            <v>RHES-SHLFO</v>
          </cell>
          <cell r="H911">
            <v>3.4378324570624312</v>
          </cell>
          <cell r="I911">
            <v>0.80593045916216899</v>
          </cell>
          <cell r="J911">
            <v>0.10050950137463392</v>
          </cell>
        </row>
        <row r="912">
          <cell r="A912" t="str">
            <v>RHES-SHLFOBR</v>
          </cell>
          <cell r="B912" t="str">
            <v>VAR_fin</v>
          </cell>
          <cell r="C912" t="str">
            <v>RLFO</v>
          </cell>
          <cell r="H912">
            <v>3.975352150831494</v>
          </cell>
          <cell r="I912">
            <v>0.93365699944806002</v>
          </cell>
          <cell r="J912">
            <v>0.1162531516412232</v>
          </cell>
        </row>
        <row r="913">
          <cell r="A913" t="str">
            <v>RHES-SHLFOBR</v>
          </cell>
          <cell r="B913" t="str">
            <v>VAR_ncap</v>
          </cell>
          <cell r="C913" t="str">
            <v>-</v>
          </cell>
          <cell r="H913">
            <v>2.14967284475139E-5</v>
          </cell>
          <cell r="I913">
            <v>6.5166429622213404E-2</v>
          </cell>
          <cell r="J913">
            <v>1.2311694016685E-7</v>
          </cell>
        </row>
        <row r="914">
          <cell r="A914" t="str">
            <v>RHES-SHLFOBR</v>
          </cell>
          <cell r="B914" t="str">
            <v>VAR_cap</v>
          </cell>
          <cell r="C914" t="str">
            <v>-</v>
          </cell>
          <cell r="H914">
            <v>0.28255107188499806</v>
          </cell>
          <cell r="I914">
            <v>6.5187806330981701E-2</v>
          </cell>
          <cell r="J914">
            <v>9.4825474611782007E-3</v>
          </cell>
        </row>
        <row r="915">
          <cell r="A915" t="str">
            <v>ITOT-SWHSTG</v>
          </cell>
          <cell r="B915" t="str">
            <v>VAR_fout</v>
          </cell>
          <cell r="C915" t="str">
            <v>ITOT-SWH</v>
          </cell>
          <cell r="H915">
            <v>3.73736235844309E-3</v>
          </cell>
          <cell r="I915">
            <v>6.3132771374955956E-3</v>
          </cell>
          <cell r="J915">
            <v>0.17016997248386689</v>
          </cell>
        </row>
        <row r="916">
          <cell r="A916" t="str">
            <v>ITOT-SWHSTG</v>
          </cell>
          <cell r="B916" t="str">
            <v>VAR_fout</v>
          </cell>
          <cell r="C916" t="str">
            <v>AUX_ITOT-STG_OUT</v>
          </cell>
          <cell r="H916">
            <v>3.7332097336003818E-3</v>
          </cell>
          <cell r="I916">
            <v>6.3132771374956043E-3</v>
          </cell>
          <cell r="J916">
            <v>0.17016997248386695</v>
          </cell>
        </row>
        <row r="917">
          <cell r="A917" t="str">
            <v>ITOT-SWHSTG</v>
          </cell>
          <cell r="B917" t="str">
            <v>VAR_fin</v>
          </cell>
          <cell r="C917" t="str">
            <v>AUX_ITOT-STG_IN</v>
          </cell>
          <cell r="H917">
            <v>4.1526248702059365E-3</v>
          </cell>
          <cell r="I917">
            <v>6.7884699306326986E-3</v>
          </cell>
          <cell r="J917">
            <v>0.17188886216402141</v>
          </cell>
        </row>
        <row r="918">
          <cell r="A918" t="str">
            <v>ITOT-SWHSTG</v>
          </cell>
          <cell r="B918" t="str">
            <v>VAR_fin</v>
          </cell>
          <cell r="C918" t="str">
            <v>ITOT-SWH</v>
          </cell>
          <cell r="H918">
            <v>4.1526248702059365E-3</v>
          </cell>
          <cell r="I918">
            <v>6.7884699306326986E-3</v>
          </cell>
          <cell r="J918">
            <v>0.17188886216402141</v>
          </cell>
        </row>
        <row r="919">
          <cell r="A919" t="str">
            <v>ITOT-SWHSTG</v>
          </cell>
          <cell r="B919" t="str">
            <v>VAR_ncap</v>
          </cell>
          <cell r="C919" t="str">
            <v>-</v>
          </cell>
          <cell r="H919">
            <v>1.7450627039557001E-3</v>
          </cell>
          <cell r="I919">
            <v>5.1489128112931304E-4</v>
          </cell>
          <cell r="J919">
            <v>3.7101854979138003E-2</v>
          </cell>
        </row>
        <row r="920">
          <cell r="A920" t="str">
            <v>ITOT-SWHSTG</v>
          </cell>
          <cell r="B920" t="str">
            <v>VAR_cap</v>
          </cell>
          <cell r="C920" t="str">
            <v>-</v>
          </cell>
          <cell r="H920">
            <v>2.1343568075460379E-3</v>
          </cell>
          <cell r="I920">
            <v>2.2599434691131055E-3</v>
          </cell>
          <cell r="J920">
            <v>3.8205492046288814E-2</v>
          </cell>
        </row>
        <row r="921">
          <cell r="A921" t="str">
            <v>SCOM-SHLFOBR</v>
          </cell>
          <cell r="B921" t="str">
            <v>VAR_fout</v>
          </cell>
          <cell r="C921" t="str">
            <v>CO2_S</v>
          </cell>
          <cell r="H921">
            <v>631.20251297046195</v>
          </cell>
          <cell r="I921">
            <v>202.36729848338999</v>
          </cell>
          <cell r="J921">
            <v>12.8757033685498</v>
          </cell>
        </row>
        <row r="922">
          <cell r="A922" t="str">
            <v>SCOM-SHLFOBR</v>
          </cell>
          <cell r="B922" t="str">
            <v>VAR_fout</v>
          </cell>
          <cell r="C922" t="str">
            <v>SCOM-SHLFO</v>
          </cell>
          <cell r="H922">
            <v>7.0078556785498707</v>
          </cell>
          <cell r="I922">
            <v>2.2467604179135918</v>
          </cell>
          <cell r="J922">
            <v>0.14295106421865297</v>
          </cell>
        </row>
        <row r="923">
          <cell r="A923" t="str">
            <v>SCOM-SHLFOBR</v>
          </cell>
          <cell r="B923" t="str">
            <v>VAR_fin</v>
          </cell>
          <cell r="C923" t="str">
            <v>SLFO</v>
          </cell>
          <cell r="H923">
            <v>8.5644845721908069</v>
          </cell>
          <cell r="I923">
            <v>2.7458249455005492</v>
          </cell>
          <cell r="J923">
            <v>0.1747042519477591</v>
          </cell>
        </row>
        <row r="924">
          <cell r="A924" t="str">
            <v>SCOM-SHLFOBR</v>
          </cell>
          <cell r="B924" t="str">
            <v>VAR_ncap</v>
          </cell>
          <cell r="C924" t="str">
            <v>-</v>
          </cell>
          <cell r="H924">
            <v>0.18856866563107699</v>
          </cell>
          <cell r="I924">
            <v>7.6244269790178596E-6</v>
          </cell>
          <cell r="J924">
            <v>4.2704927595564303E-7</v>
          </cell>
        </row>
        <row r="925">
          <cell r="A925" t="str">
            <v>SCOM-SHLFOBR</v>
          </cell>
          <cell r="B925" t="str">
            <v>VAR_cap</v>
          </cell>
          <cell r="C925" t="str">
            <v>-</v>
          </cell>
          <cell r="H925">
            <v>0.59940668324022872</v>
          </cell>
          <cell r="I925">
            <v>0.18857604711550832</v>
          </cell>
          <cell r="J925">
            <v>2.4369521245094797E-2</v>
          </cell>
        </row>
        <row r="926">
          <cell r="A926" t="str">
            <v>RHNM-SHPLTBR</v>
          </cell>
          <cell r="B926" t="str">
            <v>VAR_fout</v>
          </cell>
          <cell r="C926" t="str">
            <v>RHNM-SHPLT</v>
          </cell>
        </row>
        <row r="927">
          <cell r="A927" t="str">
            <v>RHNM-SHPLTBR</v>
          </cell>
          <cell r="B927" t="str">
            <v>VAR_fin</v>
          </cell>
          <cell r="C927" t="str">
            <v>RPLT</v>
          </cell>
        </row>
        <row r="928">
          <cell r="A928" t="str">
            <v>RHNM-SHPLTBR</v>
          </cell>
          <cell r="B928" t="str">
            <v>VAR_fin</v>
          </cell>
          <cell r="C928" t="str">
            <v>RHNMPLTBRC</v>
          </cell>
        </row>
        <row r="929">
          <cell r="A929" t="str">
            <v>RHNM-SHPLTBR</v>
          </cell>
          <cell r="B929" t="str">
            <v>VAR_ncap</v>
          </cell>
          <cell r="C929" t="str">
            <v>-</v>
          </cell>
          <cell r="H929">
            <v>1.74558100711756E-7</v>
          </cell>
          <cell r="I929">
            <v>1.8088709323153899E-7</v>
          </cell>
          <cell r="J929">
            <v>1.6337608974309901E-7</v>
          </cell>
        </row>
        <row r="930">
          <cell r="A930" t="str">
            <v>RHNM-SHPLTBR</v>
          </cell>
          <cell r="B930" t="str">
            <v>VAR_cap</v>
          </cell>
          <cell r="C930" t="str">
            <v>-</v>
          </cell>
          <cell r="H930">
            <v>2.6040714308102862E-6</v>
          </cell>
          <cell r="I930">
            <v>-7.7885061794737605E-7</v>
          </cell>
          <cell r="J930">
            <v>-6.0312210838941105E-7</v>
          </cell>
        </row>
        <row r="931">
          <cell r="A931" t="str">
            <v>D-RHES_NKEV_GAS_ELC_CHP</v>
          </cell>
          <cell r="B931" t="str">
            <v>VAR_fout</v>
          </cell>
          <cell r="C931" t="str">
            <v>RHES_ELC</v>
          </cell>
          <cell r="H931">
            <v>4.6026022896861812E-3</v>
          </cell>
          <cell r="I931">
            <v>3.2171432639636201E-3</v>
          </cell>
          <cell r="J931">
            <v>1.478137183198224E-3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ELC5</v>
          </cell>
          <cell r="H932">
            <v>1.4464506453749592E-3</v>
          </cell>
          <cell r="I932">
            <v>1.065268579646859E-3</v>
          </cell>
          <cell r="J932">
            <v>5.6772072162091501E-4</v>
          </cell>
        </row>
        <row r="933">
          <cell r="A933" t="str">
            <v>D-RHES_NKEV_GAS_ELC_CHP</v>
          </cell>
          <cell r="B933" t="str">
            <v>VAR_fin</v>
          </cell>
          <cell r="C933" t="str">
            <v>RHES_NKEV_GAS_ELC_CHP</v>
          </cell>
          <cell r="H933">
            <v>6.0490529350611388E-3</v>
          </cell>
          <cell r="I933">
            <v>4.2824118436104747E-3</v>
          </cell>
          <cell r="J933">
            <v>2.0458579048191414E-3</v>
          </cell>
        </row>
        <row r="934">
          <cell r="A934" t="str">
            <v>SCOM-SHSTG-SOL</v>
          </cell>
          <cell r="B934" t="str">
            <v>VAR_fout</v>
          </cell>
          <cell r="C934" t="str">
            <v>SCOM-SHASOL</v>
          </cell>
          <cell r="H934">
            <v>2.6149573304427413E-5</v>
          </cell>
          <cell r="I934">
            <v>2.193531136796991E-5</v>
          </cell>
          <cell r="J934">
            <v>1.5511074065667812E-5</v>
          </cell>
        </row>
        <row r="935">
          <cell r="A935" t="str">
            <v>SCOM-SHSTG-SOL</v>
          </cell>
          <cell r="B935" t="str">
            <v>VAR_fin</v>
          </cell>
          <cell r="C935" t="str">
            <v>SCOM-SHASOL</v>
          </cell>
          <cell r="H935">
            <v>2.0708623854131246E-5</v>
          </cell>
          <cell r="I935">
            <v>1.6852804395019615E-5</v>
          </cell>
          <cell r="J935">
            <v>8.5745282888804026E-6</v>
          </cell>
        </row>
        <row r="936">
          <cell r="A936" t="str">
            <v>SCOM-SHSTG-SOL</v>
          </cell>
          <cell r="B936" t="str">
            <v>VAR_ncap</v>
          </cell>
          <cell r="C936" t="str">
            <v>-</v>
          </cell>
          <cell r="H936">
            <v>2.1793360764107799E-2</v>
          </cell>
          <cell r="I936">
            <v>1.4116014703441201E-2</v>
          </cell>
          <cell r="J936">
            <v>2.43289314457177E-2</v>
          </cell>
        </row>
        <row r="937">
          <cell r="A937" t="str">
            <v>SCOM-SHSTG-SOL</v>
          </cell>
          <cell r="B937" t="str">
            <v>VAR_cap</v>
          </cell>
          <cell r="C937" t="str">
            <v>-</v>
          </cell>
          <cell r="H937">
            <v>3.2725740166494301E-2</v>
          </cell>
          <cell r="I937">
            <v>3.89140130311885E-2</v>
          </cell>
          <cell r="J937">
            <v>4.3791871577542198E-2</v>
          </cell>
        </row>
        <row r="938">
          <cell r="A938" t="str">
            <v>RHNM-SHELCBRA</v>
          </cell>
          <cell r="B938" t="str">
            <v>VAR_fout</v>
          </cell>
          <cell r="C938" t="str">
            <v>RHNM-SHELCB</v>
          </cell>
          <cell r="H938">
            <v>2.2037414363796659E-3</v>
          </cell>
          <cell r="I938">
            <v>2.1099272618679376E-3</v>
          </cell>
          <cell r="J938">
            <v>1.3376874909492161E-3</v>
          </cell>
        </row>
        <row r="939">
          <cell r="A939" t="str">
            <v>RHNM-SHELCBRA</v>
          </cell>
          <cell r="B939" t="str">
            <v>VAR_fin</v>
          </cell>
          <cell r="C939" t="str">
            <v>RHNM-SHAELCB</v>
          </cell>
          <cell r="H939">
            <v>2.2037414363796659E-3</v>
          </cell>
          <cell r="I939">
            <v>2.1099272618679376E-3</v>
          </cell>
          <cell r="J939">
            <v>1.3376874909492161E-3</v>
          </cell>
        </row>
        <row r="940">
          <cell r="A940" t="str">
            <v>RHNM-SHELCBRA</v>
          </cell>
          <cell r="B940" t="str">
            <v>VAR_ncap</v>
          </cell>
          <cell r="C940" t="str">
            <v>-</v>
          </cell>
          <cell r="H940">
            <v>1.1724336117272601E-3</v>
          </cell>
        </row>
        <row r="941">
          <cell r="A941" t="str">
            <v>RHNM-SHELCBRA</v>
          </cell>
          <cell r="B941" t="str">
            <v>VAR_cap</v>
          </cell>
          <cell r="C941" t="str">
            <v>-</v>
          </cell>
          <cell r="H941">
            <v>7.2637646598295372E-3</v>
          </cell>
          <cell r="I941">
            <v>1.1033974819797765E-3</v>
          </cell>
          <cell r="J941">
            <v>4.6574353592486993E-4</v>
          </cell>
        </row>
        <row r="942">
          <cell r="A942" t="str">
            <v>RHNM-SHSTG-SOL</v>
          </cell>
          <cell r="B942" t="str">
            <v>VAR_fout</v>
          </cell>
          <cell r="C942" t="str">
            <v>AUX_RHNM-SHSTG-SOL_OUT</v>
          </cell>
          <cell r="H942">
            <v>1.1176496569384283E-4</v>
          </cell>
          <cell r="I942">
            <v>1.4569771570679431E-4</v>
          </cell>
          <cell r="J942">
            <v>1.4710886024662791E-4</v>
          </cell>
        </row>
        <row r="943">
          <cell r="A943" t="str">
            <v>RHNM-SHSTG-SOL</v>
          </cell>
          <cell r="B943" t="str">
            <v>VAR_fout</v>
          </cell>
          <cell r="C943" t="str">
            <v>RHNM-SHASOL</v>
          </cell>
          <cell r="H943">
            <v>1.1165331238146141E-4</v>
          </cell>
          <cell r="I943">
            <v>1.4555216354325098E-4</v>
          </cell>
          <cell r="J943">
            <v>1.4696189834827969E-4</v>
          </cell>
        </row>
        <row r="944">
          <cell r="A944" t="str">
            <v>RHNM-SHSTG-SOL</v>
          </cell>
          <cell r="B944" t="str">
            <v>VAR_fin</v>
          </cell>
          <cell r="C944" t="str">
            <v>RHNM-SHASOL</v>
          </cell>
          <cell r="H944">
            <v>1.1026093660435556E-4</v>
          </cell>
          <cell r="I944">
            <v>1.4750688811479773E-4</v>
          </cell>
          <cell r="J944">
            <v>1.5120768172088378E-4</v>
          </cell>
        </row>
        <row r="945">
          <cell r="A945" t="str">
            <v>RHNM-SHSTG-SOL</v>
          </cell>
          <cell r="B945" t="str">
            <v>VAR_ncap</v>
          </cell>
          <cell r="C945" t="str">
            <v>-</v>
          </cell>
          <cell r="H945">
            <v>1.72317841142358E-6</v>
          </cell>
          <cell r="I945">
            <v>3.5261056730243197E-5</v>
          </cell>
          <cell r="J945">
            <v>2.9120969340084301E-5</v>
          </cell>
        </row>
        <row r="946">
          <cell r="A946" t="str">
            <v>RHNM-SHSTG-SOL</v>
          </cell>
          <cell r="B946" t="str">
            <v>VAR_cap</v>
          </cell>
          <cell r="C946" t="str">
            <v>-</v>
          </cell>
          <cell r="H946">
            <v>3.07705045785779E-4</v>
          </cell>
          <cell r="I946">
            <v>8.0861539915090999E-5</v>
          </cell>
          <cell r="J946">
            <v>5.5439995547848399E-5</v>
          </cell>
        </row>
        <row r="947">
          <cell r="A947" t="str">
            <v>RHNS-SHELCHP</v>
          </cell>
          <cell r="B947" t="str">
            <v>VAR_fout</v>
          </cell>
          <cell r="C947" t="str">
            <v>RHNS-SHAELCH</v>
          </cell>
          <cell r="H947">
            <v>2.2201687226958615</v>
          </cell>
          <cell r="I947">
            <v>2.568533917075734</v>
          </cell>
          <cell r="J947">
            <v>2.9940717800262759</v>
          </cell>
        </row>
        <row r="948">
          <cell r="A948" t="str">
            <v>RHNS-SHELCHP</v>
          </cell>
          <cell r="B948" t="str">
            <v>VAR_fin</v>
          </cell>
          <cell r="C948" t="str">
            <v>RHNS_ELC</v>
          </cell>
          <cell r="H948">
            <v>0.59488093670912878</v>
          </cell>
          <cell r="I948">
            <v>0.66447703529863933</v>
          </cell>
          <cell r="J948">
            <v>0.70516322003675758</v>
          </cell>
        </row>
        <row r="949">
          <cell r="A949" t="str">
            <v>RHNS-SHELCHP</v>
          </cell>
          <cell r="B949" t="str">
            <v>VAR_fin</v>
          </cell>
          <cell r="C949" t="str">
            <v>RHNSELCHPC</v>
          </cell>
          <cell r="H949">
            <v>2.2201687226958615</v>
          </cell>
          <cell r="I949">
            <v>2.568533917075734</v>
          </cell>
          <cell r="J949">
            <v>2.9940717800262759</v>
          </cell>
        </row>
        <row r="950">
          <cell r="A950" t="str">
            <v>RHNS-SHELCHP</v>
          </cell>
          <cell r="B950" t="str">
            <v>VAR_ncap</v>
          </cell>
          <cell r="C950" t="str">
            <v>-</v>
          </cell>
          <cell r="H950">
            <v>3.5243669271815797E-2</v>
          </cell>
          <cell r="I950">
            <v>0.105868470203105</v>
          </cell>
          <cell r="J950">
            <v>0.12638996717020701</v>
          </cell>
        </row>
        <row r="951">
          <cell r="A951" t="str">
            <v>RHNS-SHELCHP</v>
          </cell>
          <cell r="B951" t="str">
            <v>VAR_cap</v>
          </cell>
          <cell r="C951" t="str">
            <v>-</v>
          </cell>
          <cell r="H951">
            <v>0.1618533069285078</v>
          </cell>
          <cell r="I951">
            <v>0.18778179954601204</v>
          </cell>
          <cell r="J951">
            <v>0.21812995766211118</v>
          </cell>
        </row>
        <row r="952">
          <cell r="A952" t="str">
            <v>SCOM-SHBIOBR</v>
          </cell>
          <cell r="B952" t="str">
            <v>VAR_fout</v>
          </cell>
          <cell r="C952" t="str">
            <v>SCOM-SHBIO</v>
          </cell>
        </row>
        <row r="953">
          <cell r="A953" t="str">
            <v>SCOM-SHBIOBR</v>
          </cell>
          <cell r="B953" t="str">
            <v>VAR_fin</v>
          </cell>
          <cell r="C953" t="str">
            <v>SBIO</v>
          </cell>
        </row>
        <row r="954">
          <cell r="A954" t="str">
            <v>SCOM-SHBIOBR</v>
          </cell>
          <cell r="B954" t="str">
            <v>VAR_ncap</v>
          </cell>
          <cell r="C954" t="str">
            <v>-</v>
          </cell>
          <cell r="H954">
            <v>6.0886725303975103E-5</v>
          </cell>
          <cell r="I954">
            <v>6.9556686699404204E-5</v>
          </cell>
          <cell r="J954">
            <v>3.3386533918526302E-5</v>
          </cell>
        </row>
        <row r="955">
          <cell r="A955" t="str">
            <v>SCOM-SHBIOBR</v>
          </cell>
          <cell r="B955" t="str">
            <v>VAR_cap</v>
          </cell>
          <cell r="C955" t="str">
            <v>-</v>
          </cell>
          <cell r="H955">
            <v>2.7363818003304119E-2</v>
          </cell>
          <cell r="I955">
            <v>1.2928979779440485E-4</v>
          </cell>
          <cell r="J955">
            <v>1.0781734680005105E-4</v>
          </cell>
        </row>
        <row r="956">
          <cell r="A956" t="str">
            <v>RHES-SHDEM</v>
          </cell>
          <cell r="B956" t="str">
            <v>VAR_fout</v>
          </cell>
          <cell r="C956" t="str">
            <v>RHES-SHD</v>
          </cell>
          <cell r="H956">
            <v>52.240665800230332</v>
          </cell>
          <cell r="I956">
            <v>50.492580823238107</v>
          </cell>
          <cell r="J956">
            <v>48.150470321027335</v>
          </cell>
        </row>
        <row r="957">
          <cell r="A957" t="str">
            <v>RHES-SHDEM</v>
          </cell>
          <cell r="B957" t="str">
            <v>VAR_fin</v>
          </cell>
          <cell r="C957" t="str">
            <v>RHES-SHPLT</v>
          </cell>
          <cell r="H957">
            <v>1.0614770254619233E-2</v>
          </cell>
          <cell r="I957">
            <v>7.8944904033585311E-3</v>
          </cell>
          <cell r="J957">
            <v>3.4570178767707642E-3</v>
          </cell>
        </row>
        <row r="958">
          <cell r="A958" t="str">
            <v>RHES-SHDEM</v>
          </cell>
          <cell r="B958" t="str">
            <v>VAR_fin</v>
          </cell>
          <cell r="C958" t="str">
            <v>RHES-SHLTHC-NGA</v>
          </cell>
          <cell r="I958">
            <v>5.3159067462320467E-7</v>
          </cell>
          <cell r="J958">
            <v>3.4854816707899255E-7</v>
          </cell>
        </row>
        <row r="959">
          <cell r="A959" t="str">
            <v>RHES-SHDEM</v>
          </cell>
          <cell r="B959" t="str">
            <v>VAR_fin</v>
          </cell>
          <cell r="C959" t="str">
            <v>RHES-SHSOL</v>
          </cell>
          <cell r="H959">
            <v>3.017430182283623E-2</v>
          </cell>
          <cell r="I959">
            <v>3.0662628853459863E-2</v>
          </cell>
          <cell r="J959">
            <v>2.9435359506560722E-2</v>
          </cell>
        </row>
        <row r="960">
          <cell r="A960" t="str">
            <v>RHES-SHDEM</v>
          </cell>
          <cell r="B960" t="str">
            <v>VAR_fin</v>
          </cell>
          <cell r="C960" t="str">
            <v>RHES-SHLTHC-WOD</v>
          </cell>
          <cell r="H960">
            <v>8.1854710210748536E-7</v>
          </cell>
          <cell r="I960">
            <v>1.6465436508141311E-7</v>
          </cell>
          <cell r="J960">
            <v>2.3634280802196762E-6</v>
          </cell>
        </row>
        <row r="961">
          <cell r="A961" t="str">
            <v>RHES-SHDEM</v>
          </cell>
          <cell r="B961" t="str">
            <v>VAR_fin</v>
          </cell>
          <cell r="C961" t="str">
            <v>RHES-SHNGA</v>
          </cell>
          <cell r="H961">
            <v>3.9965257717483751</v>
          </cell>
          <cell r="I961">
            <v>1.5704588527212748</v>
          </cell>
          <cell r="J961">
            <v>0.69240674909730315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RHES-SHNGAH</v>
          </cell>
          <cell r="H962">
            <v>1.4259903903550408</v>
          </cell>
          <cell r="I962">
            <v>1.3138183045286052</v>
          </cell>
          <cell r="J962">
            <v>1.017164716292553</v>
          </cell>
        </row>
        <row r="963">
          <cell r="A963" t="str">
            <v>RHES-SHDEM</v>
          </cell>
          <cell r="B963" t="str">
            <v>VAR_fin</v>
          </cell>
          <cell r="C963" t="str">
            <v>RHES-SHCOA</v>
          </cell>
          <cell r="H963">
            <v>7.4855844961629711E-7</v>
          </cell>
          <cell r="I963">
            <v>1.9832503773343921E-6</v>
          </cell>
          <cell r="J963">
            <v>3.6704828714488399E-8</v>
          </cell>
        </row>
        <row r="964">
          <cell r="A964" t="str">
            <v>RHES-SHDEM</v>
          </cell>
          <cell r="B964" t="str">
            <v>VAR_fin</v>
          </cell>
          <cell r="C964" t="str">
            <v>RHES-SHLFO</v>
          </cell>
          <cell r="H964">
            <v>3.4378441948411349</v>
          </cell>
          <cell r="I964">
            <v>0.80594025729620178</v>
          </cell>
          <cell r="J964">
            <v>0.1005168251808565</v>
          </cell>
        </row>
        <row r="965">
          <cell r="A965" t="str">
            <v>RHES-SHDEM</v>
          </cell>
          <cell r="B965" t="str">
            <v>VAR_fin</v>
          </cell>
          <cell r="C965" t="str">
            <v>RHES-SHCON</v>
          </cell>
          <cell r="H965">
            <v>7.7511800564785789</v>
          </cell>
          <cell r="I965">
            <v>9.8149416407965759</v>
          </cell>
          <cell r="J965">
            <v>14.611815822725362</v>
          </cell>
        </row>
        <row r="966">
          <cell r="A966" t="str">
            <v>RHES-SHDEM</v>
          </cell>
          <cell r="B966" t="str">
            <v>VAR_fin</v>
          </cell>
          <cell r="C966" t="str">
            <v>RHES-SHWOD</v>
          </cell>
          <cell r="H966">
            <v>2.866062395373052</v>
          </cell>
          <cell r="I966">
            <v>2.0471368571119224</v>
          </cell>
          <cell r="J966">
            <v>0.87451877834822189</v>
          </cell>
        </row>
        <row r="967">
          <cell r="A967" t="str">
            <v>RHES-SHDEM</v>
          </cell>
          <cell r="B967" t="str">
            <v>VAR_fin</v>
          </cell>
          <cell r="C967" t="str">
            <v>RHES-SHLTHD</v>
          </cell>
          <cell r="H967">
            <v>3.4887123774047835</v>
          </cell>
          <cell r="I967">
            <v>3.690395401385004</v>
          </cell>
          <cell r="J967">
            <v>3.129081203801455</v>
          </cell>
        </row>
        <row r="968">
          <cell r="A968" t="str">
            <v>RHES-SHDEM</v>
          </cell>
          <cell r="B968" t="str">
            <v>VAR_fin</v>
          </cell>
          <cell r="C968" t="str">
            <v>RHES-SHELCB</v>
          </cell>
          <cell r="H968">
            <v>5.9356168531814564E-3</v>
          </cell>
          <cell r="I968">
            <v>1.9661704257073862E-3</v>
          </cell>
          <cell r="J968">
            <v>5.6782089226413348E-4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RHES-SHELCH</v>
          </cell>
          <cell r="H969">
            <v>29.228328522345471</v>
          </cell>
          <cell r="I969">
            <v>31.209873111574389</v>
          </cell>
          <cell r="J969">
            <v>27.69192528131417</v>
          </cell>
        </row>
        <row r="970">
          <cell r="A970" t="str">
            <v>RHES-SHDEM</v>
          </cell>
          <cell r="B970" t="str">
            <v>VAR_fin</v>
          </cell>
          <cell r="C970" t="str">
            <v>RHES-SHNST</v>
          </cell>
          <cell r="H970">
            <v>3.0851023331220822E-6</v>
          </cell>
          <cell r="I970">
            <v>7.8730991389455534E-7</v>
          </cell>
          <cell r="J970">
            <v>2.2401450612086723E-6</v>
          </cell>
        </row>
        <row r="971">
          <cell r="A971" t="str">
            <v>D-RHEM_LTH_CHPNGA</v>
          </cell>
          <cell r="B971" t="str">
            <v>VAR_fout</v>
          </cell>
          <cell r="C971" t="str">
            <v>RHSA_LTH</v>
          </cell>
          <cell r="H971">
            <v>1.9576902427705403</v>
          </cell>
          <cell r="I971">
            <v>2.2607513075577748</v>
          </cell>
          <cell r="J971">
            <v>1.8718579534011064E-2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RHEM_LTH_CHPNGA_ON</v>
          </cell>
          <cell r="H972">
            <v>5.7910517076077098E-2</v>
          </cell>
          <cell r="I972">
            <v>2.663363344688573E-2</v>
          </cell>
          <cell r="J972">
            <v>2.1757527393924899E-3</v>
          </cell>
        </row>
        <row r="973">
          <cell r="A973" t="str">
            <v>D-RHEM_LTH_CHPNGA</v>
          </cell>
          <cell r="B973" t="str">
            <v>VAR_fout</v>
          </cell>
          <cell r="C973" t="str">
            <v>LTH</v>
          </cell>
          <cell r="H973">
            <v>3.5303906009362144E-3</v>
          </cell>
          <cell r="I973">
            <v>5.5271339878437825E-3</v>
          </cell>
          <cell r="J973">
            <v>3.9118974789982729E-5</v>
          </cell>
        </row>
        <row r="974">
          <cell r="A974" t="str">
            <v>D-RHEM_LTH_CHPNGA</v>
          </cell>
          <cell r="B974" t="str">
            <v>VAR_fin</v>
          </cell>
          <cell r="C974" t="str">
            <v>RHEM_LTH_CHPNGA</v>
          </cell>
          <cell r="H974">
            <v>2.0191311504475515</v>
          </cell>
          <cell r="I974">
            <v>2.2929120749925058</v>
          </cell>
          <cell r="J974">
            <v>2.0933451248193534E-2</v>
          </cell>
        </row>
        <row r="975">
          <cell r="A975" t="str">
            <v>RHEM-SHLTHCHPNGA</v>
          </cell>
          <cell r="B975" t="str">
            <v>VAR_fout</v>
          </cell>
          <cell r="C975" t="str">
            <v>RHEM-SHLTHC-NGA</v>
          </cell>
        </row>
        <row r="976">
          <cell r="A976" t="str">
            <v>RHEM-SHLTHCHPNGA</v>
          </cell>
          <cell r="B976" t="str">
            <v>VAR_fin</v>
          </cell>
          <cell r="C976" t="str">
            <v>RHEM_LTH_CHPNGA_ON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RHEMLTHCHPC</v>
          </cell>
        </row>
        <row r="978">
          <cell r="A978" t="str">
            <v>RHEM-SHLTHCHPNGA</v>
          </cell>
          <cell r="B978" t="str">
            <v>VAR_ncap</v>
          </cell>
          <cell r="C978" t="str">
            <v>-</v>
          </cell>
          <cell r="H978">
            <v>4.7571885618419699E-2</v>
          </cell>
          <cell r="I978">
            <v>1.8973373468088799E-2</v>
          </cell>
          <cell r="J978">
            <v>5.6546543436595295E-4</v>
          </cell>
        </row>
        <row r="979">
          <cell r="A979" t="str">
            <v>RHEM-SHLTHCHPNGA</v>
          </cell>
          <cell r="B979" t="str">
            <v>VAR_cap</v>
          </cell>
          <cell r="C979" t="str">
            <v>-</v>
          </cell>
          <cell r="H979">
            <v>9.0408744886321682E-2</v>
          </cell>
          <cell r="I979">
            <v>6.2557642390306201E-2</v>
          </cell>
          <cell r="J979">
            <v>1.6102250236825974E-3</v>
          </cell>
        </row>
        <row r="980">
          <cell r="A980" t="str">
            <v>D-RHES_SOLELC</v>
          </cell>
          <cell r="B980" t="str">
            <v>VAR_fout</v>
          </cell>
          <cell r="C980" t="str">
            <v>RHES_ELC</v>
          </cell>
          <cell r="H980">
            <v>4.6089979128978378</v>
          </cell>
          <cell r="I980">
            <v>4.8928969690073103</v>
          </cell>
          <cell r="J980">
            <v>5.5134694715277544</v>
          </cell>
        </row>
        <row r="981">
          <cell r="A981" t="str">
            <v>D-RHES_SOLELC</v>
          </cell>
          <cell r="B981" t="str">
            <v>VAR_fout</v>
          </cell>
          <cell r="C981" t="str">
            <v>ELC5</v>
          </cell>
          <cell r="H981">
            <v>1.6377990075572262E-3</v>
          </cell>
          <cell r="I981">
            <v>1.2582671053880297E-3</v>
          </cell>
          <cell r="J981">
            <v>7.6469013973497614E-4</v>
          </cell>
        </row>
        <row r="982">
          <cell r="A982" t="str">
            <v>D-RHES_SOLELC</v>
          </cell>
          <cell r="B982" t="str">
            <v>VAR_fin</v>
          </cell>
          <cell r="C982" t="str">
            <v>RHES_SOL_ELC</v>
          </cell>
          <cell r="H982">
            <v>4.6106357119053927</v>
          </cell>
          <cell r="I982">
            <v>4.8941552361127014</v>
          </cell>
          <cell r="J982">
            <v>5.5142341616674919</v>
          </cell>
        </row>
        <row r="983">
          <cell r="A983" t="str">
            <v>RHNM-SHCONBR1</v>
          </cell>
          <cell r="B983" t="str">
            <v>VAR_ncap</v>
          </cell>
          <cell r="C983" t="str">
            <v>-</v>
          </cell>
          <cell r="H983">
            <v>1.7657658932926701</v>
          </cell>
        </row>
        <row r="984">
          <cell r="A984" t="str">
            <v>RHNM-SHCONBR1</v>
          </cell>
          <cell r="B984" t="str">
            <v>VAR_cap</v>
          </cell>
          <cell r="C984" t="str">
            <v>-</v>
          </cell>
          <cell r="H984">
            <v>4.4492565762110416</v>
          </cell>
          <cell r="I984">
            <v>2.5742028664090526</v>
          </cell>
          <cell r="J984">
            <v>1.1556103396650315</v>
          </cell>
        </row>
        <row r="985">
          <cell r="A985" t="str">
            <v>ITOT-SWHHFOBR</v>
          </cell>
          <cell r="B985" t="str">
            <v>VAR_fout</v>
          </cell>
          <cell r="C985" t="str">
            <v>ITOT-SWH</v>
          </cell>
          <cell r="H985">
            <v>9.5772956658665936E-4</v>
          </cell>
          <cell r="I985">
            <v>4.8880820370291711E-5</v>
          </cell>
        </row>
        <row r="986">
          <cell r="A986" t="str">
            <v>ITOT-SWHHFOBR</v>
          </cell>
          <cell r="B986" t="str">
            <v>VAR_fout</v>
          </cell>
          <cell r="C986" t="str">
            <v>CO2_I</v>
          </cell>
          <cell r="H986">
            <v>0.105642656104823</v>
          </cell>
          <cell r="I986">
            <v>5.3359180131312602E-3</v>
          </cell>
        </row>
        <row r="987">
          <cell r="A987" t="str">
            <v>ITOT-SWHHFOBR</v>
          </cell>
          <cell r="B987" t="str">
            <v>VAR_fin</v>
          </cell>
          <cell r="C987" t="str">
            <v>IHFO</v>
          </cell>
          <cell r="H987">
            <v>1.3719825468158778E-3</v>
          </cell>
          <cell r="I987">
            <v>6.9297636534172198E-5</v>
          </cell>
        </row>
        <row r="988">
          <cell r="A988" t="str">
            <v>ITOT-SWHHFOBR</v>
          </cell>
          <cell r="B988" t="str">
            <v>VAR_ncap</v>
          </cell>
          <cell r="C988" t="str">
            <v>-</v>
          </cell>
          <cell r="H988">
            <v>7.1313299591149198E-5</v>
          </cell>
          <cell r="I988">
            <v>8.1001174928738493E-6</v>
          </cell>
          <cell r="J988">
            <v>1.35083834462826E-6</v>
          </cell>
        </row>
        <row r="989">
          <cell r="A989" t="str">
            <v>ITOT-SWHHFOBR</v>
          </cell>
          <cell r="B989" t="str">
            <v>VAR_cap</v>
          </cell>
          <cell r="C989" t="str">
            <v>-</v>
          </cell>
          <cell r="H989">
            <v>9.0357177916666753E-5</v>
          </cell>
          <cell r="I989">
            <v>4.533931300031903E-6</v>
          </cell>
          <cell r="J989">
            <v>-2.3408778183073973E-6</v>
          </cell>
        </row>
        <row r="990">
          <cell r="A990" t="str">
            <v>RHNM-SHCONBR2</v>
          </cell>
          <cell r="B990" t="str">
            <v>VAR_ncap</v>
          </cell>
          <cell r="C990" t="str">
            <v>-</v>
          </cell>
          <cell r="H990">
            <v>1.7657658932928899</v>
          </cell>
        </row>
        <row r="991">
          <cell r="A991" t="str">
            <v>RHNM-SHCONBR2</v>
          </cell>
          <cell r="B991" t="str">
            <v>VAR_cap</v>
          </cell>
          <cell r="C991" t="str">
            <v>-</v>
          </cell>
          <cell r="H991">
            <v>4.4492565762109848</v>
          </cell>
          <cell r="I991">
            <v>2.5742028664100189</v>
          </cell>
          <cell r="J991">
            <v>1.1556103396640083</v>
          </cell>
        </row>
        <row r="992">
          <cell r="A992" t="str">
            <v>RHSA-WHSTG-ELCHP</v>
          </cell>
          <cell r="B992" t="str">
            <v>VAR_fout</v>
          </cell>
          <cell r="C992" t="str">
            <v>AUX_RHSA-WHSTG-ELCHP_OUT</v>
          </cell>
          <cell r="H992">
            <v>1.9156306926674416</v>
          </cell>
          <cell r="I992">
            <v>2.6889160653179185</v>
          </cell>
          <cell r="J992">
            <v>2.9450226419813226</v>
          </cell>
        </row>
        <row r="993">
          <cell r="A993" t="str">
            <v>RHSA-WHSTG-ELCHP</v>
          </cell>
          <cell r="B993" t="str">
            <v>VAR_fout</v>
          </cell>
          <cell r="C993" t="str">
            <v>RHSA-WHAELCH</v>
          </cell>
          <cell r="H993">
            <v>1.91371697569175</v>
          </cell>
          <cell r="I993">
            <v>2.686229835482437</v>
          </cell>
          <cell r="J993">
            <v>2.9420805614199015</v>
          </cell>
        </row>
        <row r="994">
          <cell r="A994" t="str">
            <v>RHSA-WHSTG-ELCHP</v>
          </cell>
          <cell r="B994" t="str">
            <v>VAR_fin</v>
          </cell>
          <cell r="C994" t="str">
            <v>RHSA-WHAELCH</v>
          </cell>
          <cell r="H994">
            <v>1.9137271404154563</v>
          </cell>
          <cell r="I994">
            <v>2.6862404856446602</v>
          </cell>
          <cell r="J994">
            <v>2.9420898353109322</v>
          </cell>
        </row>
        <row r="995">
          <cell r="A995" t="str">
            <v>RHSA-WHSTG-ELCHP</v>
          </cell>
          <cell r="B995" t="str">
            <v>VAR_ncap</v>
          </cell>
          <cell r="C995" t="str">
            <v>-</v>
          </cell>
          <cell r="H995">
            <v>8.1784227730982095E-2</v>
          </cell>
          <cell r="I995">
            <v>0.10040107151974199</v>
          </cell>
          <cell r="J995">
            <v>0.14579333698767999</v>
          </cell>
        </row>
        <row r="996">
          <cell r="A996" t="str">
            <v>RHSA-WHSTG-ELCHP</v>
          </cell>
          <cell r="B996" t="str">
            <v>VAR_cap</v>
          </cell>
          <cell r="C996" t="str">
            <v>-</v>
          </cell>
          <cell r="H996">
            <v>0.18340177373538247</v>
          </cell>
          <cell r="I996">
            <v>0.2287698793087484</v>
          </cell>
          <cell r="J996">
            <v>0.2531660624600946</v>
          </cell>
        </row>
        <row r="997">
          <cell r="A997" t="str">
            <v>RHNM-SHCONBR3</v>
          </cell>
          <cell r="B997" t="str">
            <v>VAR_ncap</v>
          </cell>
          <cell r="C997" t="str">
            <v>-</v>
          </cell>
          <cell r="H997">
            <v>1.7657658932926701</v>
          </cell>
        </row>
        <row r="998">
          <cell r="A998" t="str">
            <v>RHNM-SHCONBR3</v>
          </cell>
          <cell r="B998" t="str">
            <v>VAR_cap</v>
          </cell>
          <cell r="C998" t="str">
            <v>-</v>
          </cell>
          <cell r="H998">
            <v>4.4492565762110416</v>
          </cell>
          <cell r="I998">
            <v>2.5742028664090526</v>
          </cell>
          <cell r="J998">
            <v>1.1556103396650315</v>
          </cell>
        </row>
        <row r="999">
          <cell r="A999" t="str">
            <v>RES-ELCSPECADV</v>
          </cell>
          <cell r="B999" t="str">
            <v>VAR_fout</v>
          </cell>
          <cell r="C999" t="str">
            <v>RHSA-ELS</v>
          </cell>
          <cell r="H999">
            <v>20.073415491210184</v>
          </cell>
          <cell r="I999">
            <v>29.400509573685923</v>
          </cell>
          <cell r="J999">
            <v>46.69744185749979</v>
          </cell>
        </row>
        <row r="1000">
          <cell r="A1000" t="str">
            <v>RES-ELCSPECADV</v>
          </cell>
          <cell r="B1000" t="str">
            <v>VAR_fin</v>
          </cell>
          <cell r="C1000" t="str">
            <v>RHSA_ELC</v>
          </cell>
          <cell r="H1000">
            <v>13.382276994140124</v>
          </cell>
          <cell r="I1000">
            <v>19.600339715790614</v>
          </cell>
          <cell r="J1000">
            <v>31.131627904999867</v>
          </cell>
        </row>
        <row r="1001">
          <cell r="A1001" t="str">
            <v>RES-ELCSPECADV</v>
          </cell>
          <cell r="B1001" t="str">
            <v>VAR_ncap</v>
          </cell>
          <cell r="C1001" t="str">
            <v>-</v>
          </cell>
          <cell r="H1001">
            <v>0.96385941809937203</v>
          </cell>
          <cell r="I1001">
            <v>0.98586763072639605</v>
          </cell>
          <cell r="J1001">
            <v>2.2302588648764199</v>
          </cell>
        </row>
        <row r="1002">
          <cell r="A1002" t="str">
            <v>RES-ELCSPECADV</v>
          </cell>
          <cell r="B1002" t="str">
            <v>VAR_cap</v>
          </cell>
          <cell r="C1002" t="str">
            <v>-</v>
          </cell>
          <cell r="H1002">
            <v>2.1217455992702678</v>
          </cell>
          <cell r="I1002">
            <v>3.1076131547935466</v>
          </cell>
          <cell r="J1002">
            <v>4.9358869030571171</v>
          </cell>
        </row>
        <row r="1003">
          <cell r="A1003" t="str">
            <v>ITOT-SWHSTG-ELCHP</v>
          </cell>
          <cell r="B1003" t="str">
            <v>VAR_fout</v>
          </cell>
          <cell r="C1003" t="str">
            <v>ITOT-SWHAELCH</v>
          </cell>
          <cell r="H1003">
            <v>2.0898384921982827E-3</v>
          </cell>
          <cell r="I1003">
            <v>2.3419968050796265E-3</v>
          </cell>
          <cell r="J1003">
            <v>3.2536456788470635E-3</v>
          </cell>
        </row>
        <row r="1004">
          <cell r="A1004" t="str">
            <v>ITOT-SWHSTG-ELCHP</v>
          </cell>
          <cell r="B1004" t="str">
            <v>VAR_fin</v>
          </cell>
          <cell r="C1004" t="str">
            <v>ITOT-SWHAELCH</v>
          </cell>
          <cell r="H1004">
            <v>2.5571828460251855E-3</v>
          </cell>
          <cell r="I1004">
            <v>2.7962478091571015E-3</v>
          </cell>
          <cell r="J1004">
            <v>3.6582917489369035E-3</v>
          </cell>
        </row>
        <row r="1005">
          <cell r="A1005" t="str">
            <v>ITOT-SWHSTG-ELCHP</v>
          </cell>
          <cell r="B1005" t="str">
            <v>VAR_ncap</v>
          </cell>
          <cell r="C1005" t="str">
            <v>-</v>
          </cell>
          <cell r="H1005">
            <v>6.5005433107777802E-2</v>
          </cell>
          <cell r="I1005">
            <v>4.0987040920945197E-2</v>
          </cell>
          <cell r="J1005">
            <v>8.8464586725124805E-2</v>
          </cell>
        </row>
        <row r="1006">
          <cell r="A1006" t="str">
            <v>ITOT-SWHSTG-ELCHP</v>
          </cell>
          <cell r="B1006" t="str">
            <v>VAR_cap</v>
          </cell>
          <cell r="C1006" t="str">
            <v>-</v>
          </cell>
          <cell r="H1006">
            <v>9.7330264447038975E-2</v>
          </cell>
          <cell r="I1006">
            <v>0.12486349616612227</v>
          </cell>
          <cell r="J1006">
            <v>0.14561588706221854</v>
          </cell>
        </row>
        <row r="1007">
          <cell r="A1007" t="str">
            <v>D-RHNS_LTH_CHPWOD</v>
          </cell>
          <cell r="B1007" t="str">
            <v>VAR_fout</v>
          </cell>
          <cell r="C1007" t="str">
            <v>RHNS_LTH_CHPWOD_ON</v>
          </cell>
          <cell r="J1007">
            <v>8.2064516149764699E-6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RHSA_LTH</v>
          </cell>
          <cell r="H1008">
            <v>2.764772515441812E-3</v>
          </cell>
          <cell r="I1008">
            <v>3.5949663650575556E-3</v>
          </cell>
          <cell r="J1008">
            <v>4.66486773524632E-3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LTH</v>
          </cell>
          <cell r="H1009">
            <v>1.2377343834433281E-6</v>
          </cell>
          <cell r="I1009">
            <v>4.5530537442031892E-6</v>
          </cell>
          <cell r="J1009">
            <v>8.4656862111124091E-6</v>
          </cell>
        </row>
        <row r="1010">
          <cell r="A1010" t="str">
            <v>D-RHNS_LTH_CHPWOD</v>
          </cell>
          <cell r="B1010" t="str">
            <v>VAR_fin</v>
          </cell>
          <cell r="C1010" t="str">
            <v>RHNS_LTH_CHPWOD</v>
          </cell>
          <cell r="H1010">
            <v>2.7675140328659877E-3</v>
          </cell>
          <cell r="I1010">
            <v>3.5998762670101381E-3</v>
          </cell>
          <cell r="J1010">
            <v>4.682118997242685E-3</v>
          </cell>
        </row>
        <row r="1011">
          <cell r="A1011" t="str">
            <v>RHNM-SHCONBR4</v>
          </cell>
          <cell r="B1011" t="str">
            <v>VAR_ncap</v>
          </cell>
          <cell r="C1011" t="str">
            <v>-</v>
          </cell>
          <cell r="H1011">
            <v>1.7657658932928899</v>
          </cell>
        </row>
        <row r="1012">
          <cell r="A1012" t="str">
            <v>RHNM-SHCONBR4</v>
          </cell>
          <cell r="B1012" t="str">
            <v>VAR_cap</v>
          </cell>
          <cell r="C1012" t="str">
            <v>-</v>
          </cell>
          <cell r="H1012">
            <v>4.4492565762109848</v>
          </cell>
          <cell r="I1012">
            <v>2.5742028664100189</v>
          </cell>
          <cell r="J1012">
            <v>1.1556103396640083</v>
          </cell>
        </row>
        <row r="1013">
          <cell r="A1013" t="str">
            <v>D-SBIO</v>
          </cell>
          <cell r="B1013" t="str">
            <v>VAR_fout</v>
          </cell>
          <cell r="C1013" t="str">
            <v>SBIO</v>
          </cell>
          <cell r="H1013">
            <v>2.9941317879640867</v>
          </cell>
          <cell r="I1013">
            <v>2.954349470459591</v>
          </cell>
          <cell r="J1013">
            <v>2.8715335767205152</v>
          </cell>
        </row>
        <row r="1014">
          <cell r="A1014" t="str">
            <v>D-SBIO</v>
          </cell>
          <cell r="B1014" t="str">
            <v>VAR_fin</v>
          </cell>
          <cell r="C1014" t="str">
            <v>BIO</v>
          </cell>
          <cell r="H1014">
            <v>2.9941317879640867</v>
          </cell>
          <cell r="I1014">
            <v>2.954349470459591</v>
          </cell>
          <cell r="J1014">
            <v>2.8715335767205152</v>
          </cell>
        </row>
        <row r="1015">
          <cell r="A1015" t="str">
            <v>RHEM-SHDEM</v>
          </cell>
          <cell r="B1015" t="str">
            <v>VAR_fout</v>
          </cell>
          <cell r="C1015" t="str">
            <v>RHEM-SHD</v>
          </cell>
          <cell r="H1015">
            <v>59.935781844877276</v>
          </cell>
          <cell r="I1015">
            <v>57.0197896241596</v>
          </cell>
          <cell r="J1015">
            <v>53.241862855165344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RHEM-SHNST</v>
          </cell>
          <cell r="H1016">
            <v>5.6468235738841946E-6</v>
          </cell>
          <cell r="I1016">
            <v>1.0700031803016361E-6</v>
          </cell>
          <cell r="J1016">
            <v>4.9526175285731295E-6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RHEM-SHPLT</v>
          </cell>
          <cell r="H1017">
            <v>0.1011566718932007</v>
          </cell>
          <cell r="I1017">
            <v>7.2351103390459207E-2</v>
          </cell>
          <cell r="J1017">
            <v>2.4233307978444779E-2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RHEM-SHNGAH</v>
          </cell>
          <cell r="H1018">
            <v>4.3811244054450009</v>
          </cell>
          <cell r="I1018">
            <v>5.0648820264856713</v>
          </cell>
          <cell r="J1018">
            <v>3.9792467562838407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RHEM-SHLTHC-WOD</v>
          </cell>
          <cell r="H1019">
            <v>1.4692949274054872E-7</v>
          </cell>
          <cell r="I1019">
            <v>1.7093750495290645E-6</v>
          </cell>
          <cell r="J1019">
            <v>6.7946672568760505E-7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RHEM-SHSOL</v>
          </cell>
          <cell r="H1020">
            <v>1.6449677551202149E-2</v>
          </cell>
          <cell r="I1020">
            <v>1.6391787768151745E-2</v>
          </cell>
          <cell r="J1020">
            <v>1.4814477582203778E-2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RHEM-SHLTHD</v>
          </cell>
          <cell r="H1021">
            <v>7.3721089236327275</v>
          </cell>
          <cell r="I1021">
            <v>7.7423013029382179</v>
          </cell>
          <cell r="J1021">
            <v>6.3224142562952315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RHEM-SHNGA</v>
          </cell>
          <cell r="H1022">
            <v>7.2397038683803183</v>
          </cell>
          <cell r="I1022">
            <v>1.9038875349278619</v>
          </cell>
          <cell r="J1022">
            <v>0.66483416980697185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RHEM-SHELCB</v>
          </cell>
          <cell r="H1023">
            <v>4.2941577977723671E-3</v>
          </cell>
          <cell r="I1023">
            <v>3.4891654025760617E-3</v>
          </cell>
          <cell r="J1023">
            <v>1.9436604647346E-3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RHEM-SHELCH</v>
          </cell>
          <cell r="H1024">
            <v>22.391727656254968</v>
          </cell>
          <cell r="I1024">
            <v>26.539569141934724</v>
          </cell>
          <cell r="J1024">
            <v>23.45768094403326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RHEM-SHLFO</v>
          </cell>
          <cell r="H1025">
            <v>6.0008643134005446</v>
          </cell>
          <cell r="I1025">
            <v>1.5979662442218983</v>
          </cell>
          <cell r="J1025">
            <v>0.18186509756713842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RHEM-SHCON</v>
          </cell>
          <cell r="H1026">
            <v>9.6398964399282168</v>
          </cell>
          <cell r="I1026">
            <v>12.149886063885955</v>
          </cell>
          <cell r="J1026">
            <v>17.886228934300629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RHEM-SHWOD</v>
          </cell>
          <cell r="H1027">
            <v>2.7891630839207511</v>
          </cell>
          <cell r="I1027">
            <v>1.9295900285311536</v>
          </cell>
          <cell r="J1027">
            <v>0.70904553416398808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RHEM-SHLTHC-NGA</v>
          </cell>
          <cell r="I1028">
            <v>1.2157947598646258E-6</v>
          </cell>
          <cell r="J1028">
            <v>4.1425322564166297E-7</v>
          </cell>
        </row>
        <row r="1029">
          <cell r="A1029" t="str">
            <v>ITOT-SWHH2BR</v>
          </cell>
          <cell r="B1029" t="str">
            <v>VAR_fout</v>
          </cell>
          <cell r="C1029" t="str">
            <v>ITOT-SWH</v>
          </cell>
          <cell r="H1029">
            <v>2.6933322422853547</v>
          </cell>
          <cell r="I1029">
            <v>6.7999883130037109</v>
          </cell>
          <cell r="J1029">
            <v>6.7999579461727313</v>
          </cell>
        </row>
        <row r="1030">
          <cell r="A1030" t="str">
            <v>ITOT-SWHH2BR</v>
          </cell>
          <cell r="B1030" t="str">
            <v>VAR_fin</v>
          </cell>
          <cell r="C1030" t="str">
            <v>IH2</v>
          </cell>
          <cell r="H1030">
            <v>3.3384351175124851</v>
          </cell>
          <cell r="I1030">
            <v>8.4103473825374753</v>
          </cell>
          <cell r="J1030">
            <v>8.3738212610301623</v>
          </cell>
        </row>
        <row r="1031">
          <cell r="A1031" t="str">
            <v>ITOT-SWHH2BR</v>
          </cell>
          <cell r="B1031" t="str">
            <v>VAR_ncap</v>
          </cell>
          <cell r="C1031" t="str">
            <v>-</v>
          </cell>
          <cell r="H1031">
            <v>0.213525740042776</v>
          </cell>
          <cell r="I1031">
            <v>0.35977802144464599</v>
          </cell>
          <cell r="J1031">
            <v>0.21742974200114201</v>
          </cell>
        </row>
        <row r="1032">
          <cell r="A1032" t="str">
            <v>ITOT-SWHH2BR</v>
          </cell>
          <cell r="B1032" t="str">
            <v>VAR_cap</v>
          </cell>
          <cell r="C1032" t="str">
            <v>-</v>
          </cell>
          <cell r="H1032">
            <v>0.213525740042776</v>
          </cell>
          <cell r="I1032">
            <v>0.57329590787394746</v>
          </cell>
          <cell r="J1032">
            <v>0.56883324370599142</v>
          </cell>
        </row>
        <row r="1033">
          <cell r="A1033" t="str">
            <v>RHNS-SHSTG-ELC</v>
          </cell>
          <cell r="B1033" t="str">
            <v>VAR_fout</v>
          </cell>
          <cell r="C1033" t="str">
            <v>RHNS-SHAELCB</v>
          </cell>
          <cell r="H1033">
            <v>1.5426526967613746E-3</v>
          </cell>
          <cell r="I1033">
            <v>1.3744823316819159E-3</v>
          </cell>
          <cell r="J1033">
            <v>6.2670079284377826E-4</v>
          </cell>
        </row>
        <row r="1034">
          <cell r="A1034" t="str">
            <v>RHNS-SHSTG-ELC</v>
          </cell>
          <cell r="B1034" t="str">
            <v>VAR_fout</v>
          </cell>
          <cell r="C1034" t="str">
            <v>AUX_RHNS-SHSTG-ELC_OUT</v>
          </cell>
          <cell r="H1034">
            <v>1.5441953494581362E-3</v>
          </cell>
          <cell r="I1034">
            <v>1.3758568140135978E-3</v>
          </cell>
          <cell r="J1034">
            <v>6.2732749363662171E-4</v>
          </cell>
        </row>
        <row r="1035">
          <cell r="A1035" t="str">
            <v>RHNS-SHSTG-ELC</v>
          </cell>
          <cell r="B1035" t="str">
            <v>VAR_fin</v>
          </cell>
          <cell r="C1035" t="str">
            <v>RHNS-SHAELCB</v>
          </cell>
          <cell r="H1035">
            <v>1.542660440151093E-3</v>
          </cell>
          <cell r="I1035">
            <v>1.3754458929515223E-3</v>
          </cell>
          <cell r="J1035">
            <v>6.2744161428552377E-4</v>
          </cell>
        </row>
        <row r="1036">
          <cell r="A1036" t="str">
            <v>RHNS-SHSTG-ELC</v>
          </cell>
          <cell r="B1036" t="str">
            <v>VAR_ncap</v>
          </cell>
          <cell r="C1036" t="str">
            <v>-</v>
          </cell>
          <cell r="H1036">
            <v>2.4849122809495199E-4</v>
          </cell>
          <cell r="I1036">
            <v>7.79618086741889E-5</v>
          </cell>
          <cell r="J1036">
            <v>3.7225906312455697E-5</v>
          </cell>
        </row>
        <row r="1037">
          <cell r="A1037" t="str">
            <v>RHNS-SHSTG-ELC</v>
          </cell>
          <cell r="B1037" t="str">
            <v>VAR_cap</v>
          </cell>
          <cell r="C1037" t="str">
            <v>-</v>
          </cell>
          <cell r="H1037">
            <v>7.9233525604353937E-4</v>
          </cell>
          <cell r="I1037">
            <v>3.2276909177497909E-4</v>
          </cell>
          <cell r="J1037">
            <v>1.3667504281163239E-4</v>
          </cell>
        </row>
        <row r="1038">
          <cell r="A1038" t="str">
            <v>RHES-SHCOABR</v>
          </cell>
          <cell r="B1038" t="str">
            <v>VAR_fout</v>
          </cell>
          <cell r="C1038" t="str">
            <v>CO2_R</v>
          </cell>
        </row>
        <row r="1039">
          <cell r="A1039" t="str">
            <v>RHES-SHCOABR</v>
          </cell>
          <cell r="B1039" t="str">
            <v>VAR_fout</v>
          </cell>
          <cell r="C1039" t="str">
            <v>RHES-SHCOA</v>
          </cell>
        </row>
        <row r="1040">
          <cell r="A1040" t="str">
            <v>RHES-SHCOABR</v>
          </cell>
          <cell r="B1040" t="str">
            <v>VAR_fin</v>
          </cell>
          <cell r="C1040" t="str">
            <v>RCOA</v>
          </cell>
        </row>
        <row r="1041">
          <cell r="A1041" t="str">
            <v>RHES-SHCOABR</v>
          </cell>
          <cell r="B1041" t="str">
            <v>VAR_cap</v>
          </cell>
          <cell r="C1041" t="str">
            <v>-</v>
          </cell>
          <cell r="H1041">
            <v>4.8045740659845987E-8</v>
          </cell>
        </row>
        <row r="1042">
          <cell r="A1042" t="str">
            <v>D-INGA</v>
          </cell>
          <cell r="B1042" t="str">
            <v>VAR_fout</v>
          </cell>
          <cell r="C1042" t="str">
            <v>CO2</v>
          </cell>
          <cell r="H1042">
            <v>578.75885307667102</v>
          </cell>
          <cell r="I1042">
            <v>135.29366610810001</v>
          </cell>
          <cell r="J1042">
            <v>22.955005918126101</v>
          </cell>
        </row>
        <row r="1043">
          <cell r="A1043" t="str">
            <v>D-INGA</v>
          </cell>
          <cell r="B1043" t="str">
            <v>VAR_fout</v>
          </cell>
          <cell r="C1043" t="str">
            <v>IH2</v>
          </cell>
          <cell r="H1043">
            <v>0.31678053938393574</v>
          </cell>
          <cell r="I1043">
            <v>0.12622103739740048</v>
          </cell>
          <cell r="J1043">
            <v>6.1674226136008869E-2</v>
          </cell>
        </row>
        <row r="1044">
          <cell r="A1044" t="str">
            <v>D-INGA</v>
          </cell>
          <cell r="B1044" t="str">
            <v>VAR_fout</v>
          </cell>
          <cell r="C1044" t="str">
            <v>INGA</v>
          </cell>
          <cell r="H1044">
            <v>11.906001922532596</v>
          </cell>
          <cell r="I1044">
            <v>4.0687536752034328</v>
          </cell>
          <cell r="J1044">
            <v>2.0833910182730375</v>
          </cell>
        </row>
        <row r="1045">
          <cell r="A1045" t="str">
            <v>D-INGA</v>
          </cell>
          <cell r="B1045" t="str">
            <v>VAR_fin</v>
          </cell>
          <cell r="C1045" t="str">
            <v>NGA</v>
          </cell>
          <cell r="H1045">
            <v>10.261681792139544</v>
          </cell>
          <cell r="I1045">
            <v>2.3988238671648987</v>
          </cell>
          <cell r="J1045">
            <v>0.40700365103060498</v>
          </cell>
        </row>
        <row r="1046">
          <cell r="A1046" t="str">
            <v>D-INGA</v>
          </cell>
          <cell r="B1046" t="str">
            <v>VAR_fin</v>
          </cell>
          <cell r="C1046" t="str">
            <v>BNGA</v>
          </cell>
          <cell r="H1046">
            <v>1.6835664068710607</v>
          </cell>
          <cell r="I1046">
            <v>1.683567343195095</v>
          </cell>
          <cell r="J1046">
            <v>1.6835900111729574</v>
          </cell>
        </row>
        <row r="1047">
          <cell r="A1047" t="str">
            <v>D-INGA</v>
          </cell>
          <cell r="B1047" t="str">
            <v>VAR_fin</v>
          </cell>
          <cell r="C1047" t="str">
            <v>H2</v>
          </cell>
          <cell r="H1047">
            <v>0.31677700588690511</v>
          </cell>
          <cell r="I1047">
            <v>0.12622014003639412</v>
          </cell>
          <cell r="J1047">
            <v>6.1674226136044327E-2</v>
          </cell>
        </row>
        <row r="1048">
          <cell r="A1048" t="str">
            <v>D-INGA</v>
          </cell>
          <cell r="B1048" t="str">
            <v>VAR_ncap</v>
          </cell>
          <cell r="C1048" t="str">
            <v>-</v>
          </cell>
          <cell r="H1048">
            <v>2.0464576365880499E-6</v>
          </cell>
          <cell r="I1048">
            <v>2.8903747992373099E-6</v>
          </cell>
          <cell r="J1048">
            <v>5.3290725352718497E-6</v>
          </cell>
        </row>
        <row r="1049">
          <cell r="A1049" t="str">
            <v>D-INGA</v>
          </cell>
          <cell r="B1049" t="str">
            <v>VAR_cap</v>
          </cell>
          <cell r="C1049" t="str">
            <v>-</v>
          </cell>
          <cell r="H1049">
            <v>1.9844902699054068</v>
          </cell>
          <cell r="I1049">
            <v>1.9844931602802061</v>
          </cell>
          <cell r="J1049">
            <v>1.0954745565325612</v>
          </cell>
        </row>
        <row r="1050">
          <cell r="A1050" t="str">
            <v>RHEM-SHNGAHP</v>
          </cell>
          <cell r="B1050" t="str">
            <v>VAR_fout</v>
          </cell>
          <cell r="C1050" t="str">
            <v>CO2_R</v>
          </cell>
          <cell r="H1050">
            <v>123.98226735949901</v>
          </cell>
          <cell r="I1050">
            <v>141.24462047400499</v>
          </cell>
          <cell r="J1050">
            <v>105.495946168356</v>
          </cell>
        </row>
        <row r="1051">
          <cell r="A1051" t="str">
            <v>RHEM-SHNGAHP</v>
          </cell>
          <cell r="B1051" t="str">
            <v>VAR_fout</v>
          </cell>
          <cell r="C1051" t="str">
            <v>RHEM-SHANGAH</v>
          </cell>
          <cell r="H1051">
            <v>4.381135929480549</v>
          </cell>
          <cell r="I1051">
            <v>5.0648864960004421</v>
          </cell>
          <cell r="J1051">
            <v>3.9792588382295873</v>
          </cell>
        </row>
        <row r="1052">
          <cell r="A1052" t="str">
            <v>RHEM-SHNGAHP</v>
          </cell>
          <cell r="B1052" t="str">
            <v>VAR_fin</v>
          </cell>
          <cell r="C1052" t="str">
            <v>RHEMELCHPC</v>
          </cell>
          <cell r="H1052">
            <v>4.381135929480549</v>
          </cell>
          <cell r="I1052">
            <v>5.0648864960004421</v>
          </cell>
          <cell r="J1052">
            <v>3.9792588382295873</v>
          </cell>
        </row>
        <row r="1053">
          <cell r="A1053" t="str">
            <v>RHEM-SHNGAHP</v>
          </cell>
          <cell r="B1053" t="str">
            <v>VAR_fin</v>
          </cell>
          <cell r="C1053" t="str">
            <v>RNGA</v>
          </cell>
          <cell r="H1053">
            <v>2.1982671517641701</v>
          </cell>
          <cell r="I1053">
            <v>2.5043372424468964</v>
          </cell>
          <cell r="J1053">
            <v>1.8704954994389409</v>
          </cell>
        </row>
        <row r="1054">
          <cell r="A1054" t="str">
            <v>RHEM-SHNGAHP</v>
          </cell>
          <cell r="B1054" t="str">
            <v>VAR_ncap</v>
          </cell>
          <cell r="C1054" t="str">
            <v>-</v>
          </cell>
          <cell r="H1054">
            <v>4.8140591995515E-2</v>
          </cell>
          <cell r="I1054">
            <v>0.207747080852063</v>
          </cell>
          <cell r="J1054">
            <v>0.109878935338574</v>
          </cell>
        </row>
        <row r="1055">
          <cell r="A1055" t="str">
            <v>RHEM-SHNGAHP</v>
          </cell>
          <cell r="B1055" t="str">
            <v>VAR_cap</v>
          </cell>
          <cell r="C1055" t="str">
            <v>-</v>
          </cell>
          <cell r="H1055">
            <v>0.30941303767351297</v>
          </cell>
          <cell r="I1055">
            <v>0.3594991759658932</v>
          </cell>
          <cell r="J1055">
            <v>0.2810109568067683</v>
          </cell>
        </row>
        <row r="1056">
          <cell r="A1056" t="str">
            <v>D-SPLT</v>
          </cell>
          <cell r="B1056" t="str">
            <v>VAR_fout</v>
          </cell>
          <cell r="C1056" t="str">
            <v>SPLT</v>
          </cell>
          <cell r="H1056">
            <v>0.19825624704017128</v>
          </cell>
          <cell r="I1056">
            <v>0.12674220132963812</v>
          </cell>
          <cell r="J1056">
            <v>4.025252698485942E-2</v>
          </cell>
        </row>
        <row r="1057">
          <cell r="A1057" t="str">
            <v>D-SPLT</v>
          </cell>
          <cell r="B1057" t="str">
            <v>VAR_fin</v>
          </cell>
          <cell r="C1057" t="str">
            <v>PLT</v>
          </cell>
          <cell r="H1057">
            <v>0.19825624704017128</v>
          </cell>
          <cell r="I1057">
            <v>0.12674220132963812</v>
          </cell>
          <cell r="J1057">
            <v>4.025252698485942E-2</v>
          </cell>
        </row>
        <row r="1058">
          <cell r="A1058" t="str">
            <v>RHES-SHCONBR</v>
          </cell>
          <cell r="B1058" t="str">
            <v>VAR_fout</v>
          </cell>
          <cell r="C1058" t="str">
            <v>RHES-SHCON</v>
          </cell>
          <cell r="H1058">
            <v>2.2295108124999064E-4</v>
          </cell>
          <cell r="I1058">
            <v>2.3267693342804422E-4</v>
          </cell>
          <cell r="J1058">
            <v>2.6095607674043406E-4</v>
          </cell>
        </row>
        <row r="1059">
          <cell r="A1059" t="str">
            <v>RHES-SHCONBR</v>
          </cell>
          <cell r="B1059" t="str">
            <v>VAR_fin</v>
          </cell>
          <cell r="C1059" t="str">
            <v>CON</v>
          </cell>
          <cell r="H1059">
            <v>2.2295108124999064E-4</v>
          </cell>
          <cell r="I1059">
            <v>2.3267693342804422E-4</v>
          </cell>
          <cell r="J1059">
            <v>2.6095607674043406E-4</v>
          </cell>
        </row>
        <row r="1060">
          <cell r="A1060" t="str">
            <v>RHES-SHCONBR</v>
          </cell>
          <cell r="B1060" t="str">
            <v>VAR_ncap</v>
          </cell>
          <cell r="C1060" t="str">
            <v>-</v>
          </cell>
          <cell r="H1060">
            <v>5.59019746197173E-6</v>
          </cell>
          <cell r="I1060">
            <v>1.9787912898792198E-6</v>
          </cell>
          <cell r="J1060">
            <v>2.53327414512976E-6</v>
          </cell>
        </row>
        <row r="1061">
          <cell r="A1061" t="str">
            <v>RHES-SHCONBR</v>
          </cell>
          <cell r="B1061" t="str">
            <v>VAR_cap</v>
          </cell>
          <cell r="C1061" t="str">
            <v>-</v>
          </cell>
          <cell r="H1061">
            <v>1.4295924964266136E-5</v>
          </cell>
          <cell r="I1061">
            <v>1.6244684183671637E-5</v>
          </cell>
          <cell r="J1061">
            <v>1.8906539218072301E-5</v>
          </cell>
        </row>
        <row r="1062">
          <cell r="A1062" t="str">
            <v>RHSA-WHSOLBR</v>
          </cell>
          <cell r="B1062" t="str">
            <v>VAR_fout</v>
          </cell>
          <cell r="C1062" t="str">
            <v>RHSA-WHASOL</v>
          </cell>
          <cell r="H1062">
            <v>1.7315489747450989</v>
          </cell>
          <cell r="I1062">
            <v>2.0217937509910064</v>
          </cell>
          <cell r="J1062">
            <v>2.2765938624807207</v>
          </cell>
        </row>
        <row r="1063">
          <cell r="A1063" t="str">
            <v>RHSA-WHSOLBR</v>
          </cell>
          <cell r="B1063" t="str">
            <v>VAR_fin</v>
          </cell>
          <cell r="C1063" t="str">
            <v>SOL</v>
          </cell>
          <cell r="H1063">
            <v>1.7315489747450989</v>
          </cell>
          <cell r="I1063">
            <v>2.0217937509910064</v>
          </cell>
          <cell r="J1063">
            <v>2.2765938624807207</v>
          </cell>
        </row>
        <row r="1064">
          <cell r="A1064" t="str">
            <v>RHSA-WHSOLBR</v>
          </cell>
          <cell r="B1064" t="str">
            <v>VAR_fin</v>
          </cell>
          <cell r="C1064" t="str">
            <v>RHSASOLBRC</v>
          </cell>
          <cell r="H1064">
            <v>1.7315489747450989</v>
          </cell>
          <cell r="I1064">
            <v>2.0217937509910064</v>
          </cell>
          <cell r="J1064">
            <v>2.2765938624807207</v>
          </cell>
        </row>
        <row r="1065">
          <cell r="A1065" t="str">
            <v>RHSA-WHSOLBR</v>
          </cell>
          <cell r="B1065" t="str">
            <v>VAR_ncap</v>
          </cell>
          <cell r="C1065" t="str">
            <v>-</v>
          </cell>
          <cell r="H1065">
            <v>0.30620723264387101</v>
          </cell>
          <cell r="I1065">
            <v>0.21599789421353999</v>
          </cell>
          <cell r="J1065">
            <v>0.35002597929555301</v>
          </cell>
        </row>
        <row r="1066">
          <cell r="A1066" t="str">
            <v>RHSA-WHSOLBR</v>
          </cell>
          <cell r="B1066" t="str">
            <v>VAR_cap</v>
          </cell>
          <cell r="C1066" t="str">
            <v>-</v>
          </cell>
          <cell r="H1066">
            <v>0.45762865382686146</v>
          </cell>
          <cell r="I1066">
            <v>0.5520942845206307</v>
          </cell>
          <cell r="J1066">
            <v>0.63630642809912363</v>
          </cell>
        </row>
        <row r="1067">
          <cell r="A1067" t="str">
            <v>SCOM-SHCONBR</v>
          </cell>
          <cell r="B1067" t="str">
            <v>VAR_ncap</v>
          </cell>
          <cell r="C1067" t="str">
            <v>-</v>
          </cell>
          <cell r="H1067">
            <v>4.5551105515260998E-7</v>
          </cell>
          <cell r="I1067">
            <v>1.3345670823089499E-7</v>
          </cell>
          <cell r="J1067">
            <v>1.69794039445483E-7</v>
          </cell>
        </row>
        <row r="1068">
          <cell r="A1068" t="str">
            <v>SCOM-SHCONBR</v>
          </cell>
          <cell r="B1068" t="str">
            <v>VAR_cap</v>
          </cell>
          <cell r="C1068" t="str">
            <v>-</v>
          </cell>
          <cell r="H1068">
            <v>4.9194717553963149E-7</v>
          </cell>
          <cell r="I1068">
            <v>6.0829810997335773E-7</v>
          </cell>
          <cell r="J1068">
            <v>8.6392498030408005E-7</v>
          </cell>
        </row>
        <row r="1069">
          <cell r="A1069" t="str">
            <v>RHNM-SHNGABR</v>
          </cell>
          <cell r="B1069" t="str">
            <v>VAR_fout</v>
          </cell>
          <cell r="C1069" t="str">
            <v>CO2_R</v>
          </cell>
          <cell r="H1069">
            <v>0.86942336162459599</v>
          </cell>
        </row>
        <row r="1070">
          <cell r="A1070" t="str">
            <v>RHNM-SHNGABR</v>
          </cell>
          <cell r="B1070" t="str">
            <v>VAR_fout</v>
          </cell>
          <cell r="C1070" t="str">
            <v>RHNM-SHNGA</v>
          </cell>
          <cell r="H1070">
            <v>1.479911513849071E-2</v>
          </cell>
        </row>
        <row r="1071">
          <cell r="A1071" t="str">
            <v>RHNM-SHNGABR</v>
          </cell>
          <cell r="B1071" t="str">
            <v>VAR_fin</v>
          </cell>
          <cell r="C1071" t="str">
            <v>RNGA</v>
          </cell>
          <cell r="H1071">
            <v>1.5415307830223345E-2</v>
          </cell>
        </row>
        <row r="1072">
          <cell r="A1072" t="str">
            <v>RHNM-SHNGABR</v>
          </cell>
          <cell r="B1072" t="str">
            <v>VAR_ncap</v>
          </cell>
          <cell r="C1072" t="str">
            <v>-</v>
          </cell>
          <cell r="H1072">
            <v>8.4029370171702297E-7</v>
          </cell>
          <cell r="I1072">
            <v>8.7125488040849598E-7</v>
          </cell>
          <cell r="J1072">
            <v>6.0003091104393695E-7</v>
          </cell>
        </row>
        <row r="1073">
          <cell r="A1073" t="str">
            <v>RHNM-SHNGABR</v>
          </cell>
          <cell r="B1073" t="str">
            <v>VAR_cap</v>
          </cell>
          <cell r="C1073" t="str">
            <v>-</v>
          </cell>
          <cell r="H1073">
            <v>3.489242212331399E-3</v>
          </cell>
          <cell r="I1073">
            <v>9.7744356885729011E-7</v>
          </cell>
          <cell r="J1073">
            <v>4.1992160810995994E-7</v>
          </cell>
        </row>
        <row r="1074">
          <cell r="A1074" t="str">
            <v>RHES-SHSOLBR</v>
          </cell>
          <cell r="B1074" t="str">
            <v>VAR_fout</v>
          </cell>
          <cell r="C1074" t="str">
            <v>RHES-SHASOL</v>
          </cell>
          <cell r="H1074">
            <v>3.0165890873051968E-2</v>
          </cell>
          <cell r="I1074">
            <v>3.0655671907010164E-2</v>
          </cell>
          <cell r="J1074">
            <v>2.9432198103842809E-2</v>
          </cell>
        </row>
        <row r="1075">
          <cell r="A1075" t="str">
            <v>RHES-SHSOLBR</v>
          </cell>
          <cell r="B1075" t="str">
            <v>VAR_fin</v>
          </cell>
          <cell r="C1075" t="str">
            <v>SOL</v>
          </cell>
          <cell r="H1075">
            <v>3.0165890873051968E-2</v>
          </cell>
          <cell r="I1075">
            <v>3.0655671907010164E-2</v>
          </cell>
          <cell r="J1075">
            <v>2.9432198103842809E-2</v>
          </cell>
        </row>
        <row r="1076">
          <cell r="A1076" t="str">
            <v>RHES-SHSOLBR</v>
          </cell>
          <cell r="B1076" t="str">
            <v>VAR_ncap</v>
          </cell>
          <cell r="C1076" t="str">
            <v>-</v>
          </cell>
          <cell r="H1076">
            <v>2.1262270287162801E-6</v>
          </cell>
          <cell r="I1076">
            <v>4.5259157352985401E-3</v>
          </cell>
          <cell r="J1076">
            <v>1.02438644879364E-3</v>
          </cell>
        </row>
        <row r="1077">
          <cell r="A1077" t="str">
            <v>RHES-SHSOLBR</v>
          </cell>
          <cell r="B1077" t="str">
            <v>VAR_cap</v>
          </cell>
          <cell r="C1077" t="str">
            <v>-</v>
          </cell>
          <cell r="H1077">
            <v>1.8517495277657992E-2</v>
          </cell>
          <cell r="I1077">
            <v>4.5280575233638196E-3</v>
          </cell>
          <cell r="J1077">
            <v>4.3096712491601259E-3</v>
          </cell>
        </row>
        <row r="1078">
          <cell r="A1078" t="str">
            <v>SCOM-SHSOLBR</v>
          </cell>
          <cell r="B1078" t="str">
            <v>VAR_fout</v>
          </cell>
          <cell r="C1078" t="str">
            <v>SCOM-SHASOL</v>
          </cell>
          <cell r="H1078">
            <v>0.95698520669389797</v>
          </cell>
          <cell r="I1078">
            <v>1.1346639421122209</v>
          </cell>
          <cell r="J1078">
            <v>1.2448581985197693</v>
          </cell>
        </row>
        <row r="1079">
          <cell r="A1079" t="str">
            <v>SCOM-SHSOLBR</v>
          </cell>
          <cell r="B1079" t="str">
            <v>VAR_fin</v>
          </cell>
          <cell r="C1079" t="str">
            <v>SOL</v>
          </cell>
          <cell r="H1079">
            <v>0.95698520669389797</v>
          </cell>
          <cell r="I1079">
            <v>1.1346639421122209</v>
          </cell>
          <cell r="J1079">
            <v>1.2448581985197693</v>
          </cell>
        </row>
        <row r="1080">
          <cell r="A1080" t="str">
            <v>SCOM-SHSOLBR</v>
          </cell>
          <cell r="B1080" t="str">
            <v>VAR_ncap</v>
          </cell>
          <cell r="C1080" t="str">
            <v>-</v>
          </cell>
          <cell r="H1080">
            <v>9.22698671218979E-2</v>
          </cell>
          <cell r="I1080">
            <v>6.0343311482437698E-2</v>
          </cell>
          <cell r="J1080">
            <v>0.10328917962999901</v>
          </cell>
        </row>
        <row r="1081">
          <cell r="A1081" t="str">
            <v>SCOM-SHSOLBR</v>
          </cell>
          <cell r="B1081" t="str">
            <v>VAR_cap</v>
          </cell>
          <cell r="C1081" t="str">
            <v>-</v>
          </cell>
          <cell r="H1081">
            <v>0.13907709151225697</v>
          </cell>
          <cell r="I1081">
            <v>0.16537920303294118</v>
          </cell>
          <cell r="J1081">
            <v>0.18611150821829242</v>
          </cell>
        </row>
        <row r="1082">
          <cell r="A1082" t="str">
            <v>RHEM-SHSTG-ELCHP</v>
          </cell>
          <cell r="B1082" t="str">
            <v>VAR_fout</v>
          </cell>
          <cell r="C1082" t="str">
            <v>RHEM-SHAELCH</v>
          </cell>
          <cell r="H1082">
            <v>3.0344288811512525</v>
          </cell>
          <cell r="I1082">
            <v>4.6908396121765001</v>
          </cell>
          <cell r="J1082">
            <v>4.0065181305806536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AUX_RHEM-SHSTG-ELCHP_OUT</v>
          </cell>
          <cell r="H1083">
            <v>3.0374633100324018</v>
          </cell>
          <cell r="I1083">
            <v>4.6955304517886756</v>
          </cell>
          <cell r="J1083">
            <v>4.0105246487112334</v>
          </cell>
        </row>
        <row r="1084">
          <cell r="A1084" t="str">
            <v>RHEM-SHSTG-ELCHP</v>
          </cell>
          <cell r="B1084" t="str">
            <v>VAR_fin</v>
          </cell>
          <cell r="C1084" t="str">
            <v>RHEM-SHAELCH</v>
          </cell>
          <cell r="H1084">
            <v>3.0344463787606402</v>
          </cell>
          <cell r="I1084">
            <v>4.690853001564669</v>
          </cell>
          <cell r="J1084">
            <v>4.0065289647162938</v>
          </cell>
        </row>
        <row r="1085">
          <cell r="A1085" t="str">
            <v>RHEM-SHSTG-ELCHP</v>
          </cell>
          <cell r="B1085" t="str">
            <v>VAR_ncap</v>
          </cell>
          <cell r="C1085" t="str">
            <v>-</v>
          </cell>
          <cell r="H1085">
            <v>0.19727476119808701</v>
          </cell>
          <cell r="I1085">
            <v>0.15914194765512299</v>
          </cell>
          <cell r="J1085">
            <v>0.19091190548738601</v>
          </cell>
        </row>
        <row r="1086">
          <cell r="A1086" t="str">
            <v>RHEM-SHSTG-ELCHP</v>
          </cell>
          <cell r="B1086" t="str">
            <v>VAR_cap</v>
          </cell>
          <cell r="C1086" t="str">
            <v>-</v>
          </cell>
          <cell r="H1086">
            <v>0.37204943211386254</v>
          </cell>
          <cell r="I1086">
            <v>0.44132247491054405</v>
          </cell>
          <cell r="J1086">
            <v>0.38975312739763524</v>
          </cell>
        </row>
        <row r="1087">
          <cell r="A1087" t="str">
            <v>ITOT-SWHELCBR</v>
          </cell>
          <cell r="B1087" t="str">
            <v>VAR_fout</v>
          </cell>
          <cell r="C1087" t="str">
            <v>ITOT-SWHAELC</v>
          </cell>
          <cell r="H1087">
            <v>13.157338605202938</v>
          </cell>
          <cell r="I1087">
            <v>13.15733995954842</v>
          </cell>
          <cell r="J1087">
            <v>13.15733895199423</v>
          </cell>
        </row>
        <row r="1088">
          <cell r="A1088" t="str">
            <v>ITOT-SWHELCBR</v>
          </cell>
          <cell r="B1088" t="str">
            <v>VAR_fin</v>
          </cell>
          <cell r="C1088" t="str">
            <v>ITOT_ELC</v>
          </cell>
          <cell r="H1088">
            <v>15.55300815205497</v>
          </cell>
          <cell r="I1088">
            <v>15.532494700007749</v>
          </cell>
          <cell r="J1088">
            <v>15.491625341665262</v>
          </cell>
        </row>
        <row r="1089">
          <cell r="A1089" t="str">
            <v>ITOT-SWHELCBR</v>
          </cell>
          <cell r="B1089" t="str">
            <v>VAR_ncap</v>
          </cell>
          <cell r="C1089" t="str">
            <v>-</v>
          </cell>
          <cell r="H1089">
            <v>0.77462645738305003</v>
          </cell>
          <cell r="I1089">
            <v>0.25725808669713701</v>
          </cell>
          <cell r="J1089">
            <v>0.57802188861168802</v>
          </cell>
        </row>
        <row r="1090">
          <cell r="A1090" t="str">
            <v>ITOT-SWHELCBR</v>
          </cell>
          <cell r="B1090" t="str">
            <v>VAR_cap</v>
          </cell>
          <cell r="C1090" t="str">
            <v>-</v>
          </cell>
          <cell r="H1090">
            <v>1.0308194670153352</v>
          </cell>
          <cell r="I1090">
            <v>1.032824869945872</v>
          </cell>
          <cell r="J1090">
            <v>1.0923604905956041</v>
          </cell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I4">
            <v>1.7450530628790475</v>
          </cell>
          <cell r="J4">
            <v>-430067.28706042928</v>
          </cell>
          <cell r="K4">
            <v>-63.800536645688233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  <cell r="K5">
            <v>2196.3259520775382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  <cell r="K6">
            <v>0.44931628152396957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  <cell r="K7">
            <v>2095.6179116622393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  <cell r="K8">
            <v>291.8257439722413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  <cell r="K9">
            <v>0.25225847199927043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  <cell r="K10">
            <v>383.67304349649214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  <cell r="K11">
            <v>9.9807354573803568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  <cell r="K12">
            <v>1016.157014374494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  <cell r="K13">
            <v>1.9133756580692579E-2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  <cell r="K14">
            <v>5994.2297389200048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I15">
            <v>1.7450530628790475</v>
          </cell>
          <cell r="J15">
            <v>-430067.28706042928</v>
          </cell>
          <cell r="K15">
            <v>-57.648210368844595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  <cell r="J16">
            <v>-430067.28706042928</v>
          </cell>
          <cell r="K16">
            <v>-63.800536645688233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I17">
            <v>9.1436076886814597</v>
          </cell>
          <cell r="J17">
            <v>4.7408612074357501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I18">
            <v>19.6108856153147</v>
          </cell>
          <cell r="J18">
            <v>23.1706152550762</v>
          </cell>
          <cell r="K18">
            <v>24.828969474152402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I19">
            <v>9.1748248545591604E-2</v>
          </cell>
          <cell r="J19">
            <v>9.3491108689797597E-2</v>
          </cell>
          <cell r="K19">
            <v>6.2334037356052599E-2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I20">
            <v>1.2262675938751699</v>
          </cell>
          <cell r="J20">
            <v>0.77689343300725699</v>
          </cell>
          <cell r="K20">
            <v>0.31692308028407301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I21">
            <v>0.58733405996265597</v>
          </cell>
          <cell r="J21">
            <v>0.64697065398105202</v>
          </cell>
          <cell r="K21">
            <v>0.44825178079646899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I22">
            <v>433.072894079261</v>
          </cell>
          <cell r="J22">
            <v>113.88846617095101</v>
          </cell>
          <cell r="K22">
            <v>39.769321761610797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I23">
            <v>62.950818696585102</v>
          </cell>
          <cell r="J23">
            <v>73.840842363107299</v>
          </cell>
          <cell r="K23">
            <v>63.388469608684197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I24">
            <v>507.45422631259203</v>
          </cell>
          <cell r="J24">
            <v>135.12885436255499</v>
          </cell>
          <cell r="K24">
            <v>15.378524658600501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I25">
            <v>42.241330152928697</v>
          </cell>
          <cell r="J25">
            <v>37.180266193320101</v>
          </cell>
          <cell r="K25">
            <v>26.877463747360999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I26">
            <v>2.62185262418825</v>
          </cell>
          <cell r="J26">
            <v>2.6882848539720601</v>
          </cell>
          <cell r="K26">
            <v>1.8621461811804501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I27">
            <v>2.9773595886491999</v>
          </cell>
          <cell r="J27">
            <v>2.1879889329453199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I28">
            <v>8.9359888812742802E-2</v>
          </cell>
          <cell r="J28">
            <v>9.2655993957536806E-2</v>
          </cell>
          <cell r="K28">
            <v>6.2805395081884804E-2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I29">
            <v>210.49655098360299</v>
          </cell>
          <cell r="J29">
            <v>231.12476589381899</v>
          </cell>
          <cell r="K29">
            <v>1.6134270321441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I30">
            <v>24.525098157586399</v>
          </cell>
          <cell r="J30">
            <v>28.512000523890499</v>
          </cell>
          <cell r="K30">
            <v>29.078798306456999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I31">
            <v>245.77428382554899</v>
          </cell>
          <cell r="J31">
            <v>96.5782180447966</v>
          </cell>
          <cell r="K31">
            <v>41.709435429429597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I32">
            <v>181.26880426070699</v>
          </cell>
          <cell r="J32">
            <v>78.555473459620401</v>
          </cell>
          <cell r="K32">
            <v>33.897210339192803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I33">
            <v>168.236795329383</v>
          </cell>
          <cell r="J33">
            <v>59.542563523838297</v>
          </cell>
          <cell r="K33">
            <v>3.5928216938052699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I34">
            <v>292.98345351628097</v>
          </cell>
          <cell r="J34">
            <v>68.810520859321997</v>
          </cell>
          <cell r="K34">
            <v>8.5678572759581506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I35">
            <v>0.89048572492653699</v>
          </cell>
          <cell r="J35">
            <v>0.78214282362738896</v>
          </cell>
          <cell r="K35">
            <v>0.28628720461552398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I36">
            <v>0.58768444740674397</v>
          </cell>
          <cell r="J36">
            <v>0.64763621392847603</v>
          </cell>
          <cell r="K36">
            <v>0.44886034531239399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I37">
            <v>200.71469746315199</v>
          </cell>
          <cell r="J37">
            <v>221.977875406923</v>
          </cell>
          <cell r="K37">
            <v>1.6570335436341099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I39">
            <v>123.98226735949901</v>
          </cell>
          <cell r="J39">
            <v>141.24462047400499</v>
          </cell>
          <cell r="K39">
            <v>105.495946168356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I40">
            <v>0.86942336162459599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I41">
            <v>2532.39722897912</v>
          </cell>
          <cell r="J41">
            <v>1322.21200775277</v>
          </cell>
          <cell r="K41">
            <v>399.34288706401298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I42">
            <v>131.28979506093199</v>
          </cell>
          <cell r="J42">
            <v>150.013789465689</v>
          </cell>
          <cell r="K42">
            <v>120.55702906951799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I43">
            <v>5.9180844370665797</v>
          </cell>
          <cell r="J43">
            <v>2.9981799109352498</v>
          </cell>
          <cell r="K43">
            <v>0.112112036064468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I44">
            <v>407.54439164364197</v>
          </cell>
          <cell r="J44">
            <v>125.42900943819301</v>
          </cell>
          <cell r="K44">
            <v>49.862387479748698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I45">
            <v>0.32536569272466798</v>
          </cell>
          <cell r="J45">
            <v>0.445622356616729</v>
          </cell>
          <cell r="K45">
            <v>0.19066458759333099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I46">
            <v>631.20251297046195</v>
          </cell>
          <cell r="J46">
            <v>202.36729848338999</v>
          </cell>
          <cell r="K46">
            <v>12.8757033685498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I47">
            <v>1176.28014980483</v>
          </cell>
          <cell r="J47">
            <v>481.25389965482498</v>
          </cell>
          <cell r="K47">
            <v>183.597896541474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I49">
            <v>0.15467533998264671</v>
          </cell>
          <cell r="J49">
            <v>0.1502031000799936</v>
          </cell>
          <cell r="K49">
            <v>0.14090456474149649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I50">
            <v>0.17830910283513379</v>
          </cell>
          <cell r="J50">
            <v>9.2537219194840106E-2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I51">
            <v>1.6605603973109839</v>
          </cell>
          <cell r="J51">
            <v>0.57537811369292613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I52">
            <v>15.741666489596261</v>
          </cell>
          <cell r="J52">
            <v>0.82229400558871424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I53">
            <v>2.1580769723307007</v>
          </cell>
          <cell r="J53">
            <v>0.27803242055465904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I54">
            <v>269.57622407275761</v>
          </cell>
          <cell r="J54">
            <v>184.14115103131189</v>
          </cell>
          <cell r="K54">
            <v>112.28363148080282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I57">
            <v>7.7201202442524494E-3</v>
          </cell>
          <cell r="J57">
            <v>4.0125758850983358E-3</v>
          </cell>
          <cell r="K57">
            <v>1.04430166276545E-3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I58">
            <v>1.550992035764825E-2</v>
          </cell>
          <cell r="J58">
            <v>9.8078669835987235E-3</v>
          </cell>
          <cell r="K58">
            <v>2.54714577267044E-3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I59">
            <v>0.88119573255108996</v>
          </cell>
          <cell r="J59">
            <v>0.42235702359250943</v>
          </cell>
          <cell r="K59">
            <v>0.13143144588938821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I60">
            <v>2.2332714624367471E-2</v>
          </cell>
          <cell r="J60">
            <v>1.376358024000233E-2</v>
          </cell>
          <cell r="K60">
            <v>3.5860551905717302E-3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I61">
            <v>1.7244845076499454E-2</v>
          </cell>
          <cell r="J61">
            <v>1.1984796515691884E-2</v>
          </cell>
          <cell r="K61">
            <v>3.1293819055006702E-3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I62">
            <v>0.1705769257183172</v>
          </cell>
          <cell r="J62">
            <v>5.4321159410709252E-2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I63">
            <v>0.18195284262777989</v>
          </cell>
          <cell r="J63">
            <v>6.0682645743730876E-2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I64">
            <v>0.1377125535434166</v>
          </cell>
          <cell r="J64">
            <v>4.4058099104903943E-2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I65">
            <v>0.2337195489025114</v>
          </cell>
          <cell r="J65">
            <v>8.0375052806316793E-2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I66">
            <v>0.15778822634905298</v>
          </cell>
          <cell r="J66">
            <v>5.3922344988961979E-2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I67">
            <v>0.33737891996149039</v>
          </cell>
          <cell r="J67">
            <v>0.12145798619392109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I68">
            <v>0.2129506942633522</v>
          </cell>
          <cell r="J68">
            <v>7.8838638465426256E-2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I69">
            <v>0.54565478107227738</v>
          </cell>
          <cell r="J69">
            <v>5.5988706376478339</v>
          </cell>
          <cell r="K69">
            <v>6.9367242609318494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I70">
            <v>9.6503418297680693E-2</v>
          </cell>
          <cell r="J70">
            <v>2.9886834779067461E-2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I71">
            <v>7.770314512891332</v>
          </cell>
          <cell r="J71">
            <v>1.757351550443004</v>
          </cell>
          <cell r="K71">
            <v>0.22554017397777248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I72">
            <v>9.5244911243056407</v>
          </cell>
          <cell r="J72">
            <v>6.2126173156439597</v>
          </cell>
          <cell r="K72">
            <v>1.10345580286176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I73">
            <v>9.2767485526045503E-3</v>
          </cell>
          <cell r="J73">
            <v>1.4128232604180641E-2</v>
          </cell>
          <cell r="K73">
            <v>2.7114147095089322E-3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12.402880647795399</v>
          </cell>
          <cell r="J75">
            <v>4.3446904754682301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67.953870167982885</v>
          </cell>
          <cell r="J76">
            <v>37.88247086021822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967.32475512139399</v>
          </cell>
          <cell r="J77">
            <v>560.21444135645004</v>
          </cell>
          <cell r="K77">
            <v>149.71963354927101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0.78495228761740465</v>
          </cell>
          <cell r="J78">
            <v>4.427188446804807E-2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1.9555431236283147</v>
          </cell>
          <cell r="J79">
            <v>0.93136497724533329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4.019207590487313</v>
          </cell>
          <cell r="J81">
            <v>3.9860427045620126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1.100618326995686E-2</v>
          </cell>
          <cell r="J84">
            <v>9.9843863012961699E-3</v>
          </cell>
          <cell r="K84">
            <v>9.1388643148067796E-3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I87">
            <v>1.93377636080348E-5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I97">
            <v>97.433976668338261</v>
          </cell>
          <cell r="J97">
            <v>56.51622081747869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I98">
            <v>61.93862294545702</v>
          </cell>
          <cell r="J98">
            <v>8.7897296300316974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I99">
            <v>12.765310797313518</v>
          </cell>
          <cell r="J99">
            <v>0.53186302106573646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I100">
            <v>0.27231504362208564</v>
          </cell>
          <cell r="J100">
            <v>0.1153673199357638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I101">
            <v>119.83627160420919</v>
          </cell>
          <cell r="J101">
            <v>16.338225214132191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I102">
            <v>1.7650299411950452</v>
          </cell>
          <cell r="J102">
            <v>0.12064205938743812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I103">
            <v>1218.3336472678243</v>
          </cell>
          <cell r="J103">
            <v>593.97208523297593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I104">
            <v>10.110231046570023</v>
          </cell>
          <cell r="J104">
            <v>0.11584706729669469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I105">
            <v>5.8012516694449561</v>
          </cell>
          <cell r="J105">
            <v>6.6162780601545429E-2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I107">
            <v>0.1492767981159181</v>
          </cell>
          <cell r="J107">
            <v>0.39648861252776546</v>
          </cell>
          <cell r="K107">
            <v>18.781003233137934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I108">
            <v>0.13925209933083799</v>
          </cell>
          <cell r="J108">
            <v>0.16834630942230477</v>
          </cell>
          <cell r="K108">
            <v>8.1357166159003805E-2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I109">
            <v>44.588527073319753</v>
          </cell>
          <cell r="J109">
            <v>50.762480581215186</v>
          </cell>
          <cell r="K109">
            <v>2.8434829290963632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I110">
            <v>63.928133430823472</v>
          </cell>
          <cell r="J110">
            <v>32.569620192402823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I111">
            <v>8.2621386747991112E-3</v>
          </cell>
          <cell r="J111">
            <v>1.141771873604638E-2</v>
          </cell>
          <cell r="K111">
            <v>1.860953118102894E-3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I112">
            <v>4.32287607763382E-2</v>
          </cell>
          <cell r="J112">
            <v>4.3820449653167101E-2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255.43669169900875</v>
          </cell>
          <cell r="J113">
            <v>109.60180610249118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54.13229767318893</v>
          </cell>
          <cell r="J114">
            <v>115.00592485783903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14.196942890195285</v>
          </cell>
          <cell r="J115">
            <v>0.10783818195963807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271.55780450393019</v>
          </cell>
          <cell r="J116">
            <v>116.15198449527526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1.2980875965801193</v>
          </cell>
          <cell r="J117">
            <v>0.11629802259612076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0.62372223816875494</v>
          </cell>
          <cell r="J118">
            <v>0.11019024454015655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1.0501406243669817</v>
          </cell>
          <cell r="J119">
            <v>0.11789642311043055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1080.658856860628</v>
          </cell>
          <cell r="J120">
            <v>1125.8211106010399</v>
          </cell>
          <cell r="K120">
            <v>141.0647506756286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0.1872578728810167</v>
          </cell>
          <cell r="J121">
            <v>0.23986526961292198</v>
          </cell>
          <cell r="K121">
            <v>5.2102963661477694E-2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0.18159398787298292</v>
          </cell>
          <cell r="J122">
            <v>9.6073892357273899E-2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2.163832118578104</v>
          </cell>
          <cell r="J123">
            <v>1.444849363893284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182.75164840831209</v>
          </cell>
          <cell r="J124">
            <v>55.277220167180417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0.94256884618903269</v>
          </cell>
          <cell r="J126">
            <v>0.33238846815473189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I130">
            <v>8.7496326796495101E-5</v>
          </cell>
          <cell r="J130">
            <v>5.98866643884426E-5</v>
          </cell>
          <cell r="K130">
            <v>5.07334661983268E-5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I135">
            <v>5052.21472911008</v>
          </cell>
          <cell r="J135">
            <v>3247.3652329648899</v>
          </cell>
          <cell r="K135">
            <v>556.47652076181305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  <cell r="K136">
            <v>-2196.32595207754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I137">
            <v>7951.5256278555698</v>
          </cell>
          <cell r="J137">
            <v>7134.1151658811896</v>
          </cell>
          <cell r="K137">
            <v>3912.72614377335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I138">
            <v>0.100265029628471</v>
          </cell>
          <cell r="J138">
            <v>5.6028281226809104E-3</v>
          </cell>
          <cell r="K138">
            <v>4.90344005488908E-2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  <cell r="K139">
            <v>-0.44931628152397002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K140">
            <v>-2095.6179116622402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I141">
            <v>331.495211789211</v>
          </cell>
          <cell r="J141">
            <v>91.096990710693206</v>
          </cell>
          <cell r="K141">
            <v>40.292493183502899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293.74727205731898</v>
          </cell>
          <cell r="J142">
            <v>138.323829613497</v>
          </cell>
          <cell r="K142">
            <v>9.811176134157829E-4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K143">
            <v>-291.82574397224198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K144">
            <v>-0.25225847199926998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2819.7888937820499</v>
          </cell>
          <cell r="J145">
            <v>2168.9681236951401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2085.5356826710899</v>
          </cell>
          <cell r="J146">
            <v>2077.4139617716501</v>
          </cell>
          <cell r="K146">
            <v>2063.7565421501299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0.88397320553938097</v>
          </cell>
          <cell r="J147">
            <v>0.140882222068273</v>
          </cell>
          <cell r="K147">
            <v>3.3175483511097302E-2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0.182341616340328</v>
          </cell>
          <cell r="J148">
            <v>0.16171535771954501</v>
          </cell>
          <cell r="K148">
            <v>0.102281145023862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514.25938270755103</v>
          </cell>
          <cell r="J149">
            <v>279.24260985258798</v>
          </cell>
          <cell r="K149">
            <v>169.415550488995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-3649.7301554177202</v>
          </cell>
          <cell r="J150">
            <v>-3483.9730685982399</v>
          </cell>
          <cell r="K150">
            <v>-3912.7260207746999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1499.9281634574299</v>
          </cell>
          <cell r="J151">
            <v>1054.61325930831</v>
          </cell>
          <cell r="K151">
            <v>370.55916293596999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0.107436978858319</v>
          </cell>
          <cell r="J152">
            <v>5.4265476835198096E-3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641.88137680690397</v>
          </cell>
          <cell r="J153">
            <v>205.75232543009301</v>
          </cell>
          <cell r="K153">
            <v>8.0469813581632104E-4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K155">
            <v>-383.67304349649203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997.41135244237398</v>
          </cell>
          <cell r="J156">
            <v>274.95075211347103</v>
          </cell>
          <cell r="K156">
            <v>9.8146414737589603E-4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1861.6305649380199</v>
          </cell>
          <cell r="J157">
            <v>607.37628935055602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K158">
            <v>-9.9807354573803604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K159">
            <v>-1016.15701437449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1001.7552588892</v>
          </cell>
          <cell r="J160">
            <v>996.69824761299003</v>
          </cell>
          <cell r="K160">
            <v>986.58524753883103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I161">
            <v>100.545273715698</v>
          </cell>
          <cell r="J161">
            <v>24.664672310434199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I162">
            <v>578.75885307667102</v>
          </cell>
          <cell r="J162">
            <v>135.29366610810001</v>
          </cell>
          <cell r="K162">
            <v>22.955005918126101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  <cell r="K163">
            <v>-1.91337565806926E-2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I164">
            <v>2240.4532650405599</v>
          </cell>
          <cell r="J164">
            <v>2266.0985955903702</v>
          </cell>
          <cell r="K164">
            <v>2340.5630854210799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I165">
            <v>19270.260040642301</v>
          </cell>
          <cell r="J165">
            <v>13970.949047706399</v>
          </cell>
          <cell r="K165">
            <v>9.9660549116604405E-4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I166">
            <v>-8.0278744217505596E-2</v>
          </cell>
          <cell r="J166">
            <v>-0.139255364369789</v>
          </cell>
          <cell r="K166">
            <v>-0.47323516394032999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  <cell r="K167">
            <v>5994.2297389200048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  <cell r="K168">
            <v>5994.2297389200048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  <cell r="J169">
            <v>-430009.68593782821</v>
          </cell>
          <cell r="K169">
            <v>2.3064642323888029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I170">
            <v>3960.0047687027732</v>
          </cell>
          <cell r="J170">
            <v>3347.7407344820467</v>
          </cell>
          <cell r="K170">
            <v>3073.3468111252455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I171">
            <v>2497.3395158998037</v>
          </cell>
          <cell r="J171">
            <v>1329.5640114217781</v>
          </cell>
          <cell r="K171">
            <v>370.56014440011683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I172">
            <v>4780.66945017949</v>
          </cell>
          <cell r="J172">
            <v>2800.8083261064571</v>
          </cell>
          <cell r="K172">
            <v>0.10228114502386193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I173">
            <v>2572.8324500353106</v>
          </cell>
          <cell r="J173">
            <v>2357.33646852313</v>
          </cell>
          <cell r="K173">
            <v>2380.8887540880924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I174">
            <v>1156.1407595144547</v>
          </cell>
          <cell r="J174">
            <v>484.99493528268135</v>
          </cell>
          <cell r="K174">
            <v>169.4163551871309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I175">
            <v>2572.8324500353106</v>
          </cell>
          <cell r="J175">
            <v>2357.33646852313</v>
          </cell>
          <cell r="K175">
            <v>-1921.491335029086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I176">
            <v>3960.0003221014235</v>
          </cell>
          <cell r="J176">
            <v>3347.8720346069385</v>
          </cell>
          <cell r="K176">
            <v>1381.4286650764095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I177">
            <v>21499.819716468559</v>
          </cell>
          <cell r="J177">
            <v>16025.652978946158</v>
          </cell>
          <cell r="K177">
            <v>5454.251675992934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7.2433722643527399E-3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K180">
            <v>5994.2297389200203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3.61101728338824E-4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I182">
            <v>2085.5356826710913</v>
          </cell>
          <cell r="J182">
            <v>2077.4139617716523</v>
          </cell>
          <cell r="K182">
            <v>2063.756542150129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I183">
            <v>2085.5356826710913</v>
          </cell>
          <cell r="J183">
            <v>2077.4139617716523</v>
          </cell>
          <cell r="K183">
            <v>2063.756542150129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K184">
            <v>2325.44606582918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  <cell r="J185">
            <v>7.9771572192967894E-3</v>
          </cell>
          <cell r="K185">
            <v>0.53425844753097096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  <cell r="K186">
            <v>2354.6268670362301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I187">
            <v>392.53886110457302</v>
          </cell>
          <cell r="J187">
            <v>154.091674203624</v>
          </cell>
          <cell r="K187">
            <v>3.0683539815913902E-2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I188">
            <v>2535.9329016307502</v>
          </cell>
          <cell r="J188">
            <v>2541.4889348893198</v>
          </cell>
          <cell r="K188">
            <v>0.490908898903893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I189">
            <v>1.14627338967049</v>
          </cell>
          <cell r="J189">
            <v>0.14208552073908101</v>
          </cell>
          <cell r="K189">
            <v>31.0489996014973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I190">
            <v>1944.97484473807</v>
          </cell>
          <cell r="J190">
            <v>1990.70907087712</v>
          </cell>
          <cell r="K190">
            <v>0.567845227663619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  <cell r="J191">
            <v>0.119675354758532</v>
          </cell>
          <cell r="K191">
            <v>0.464615246434679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I192">
            <v>2.7470085605345002E-2</v>
          </cell>
          <cell r="J192">
            <v>3.6835900438863798E-3</v>
          </cell>
          <cell r="K192">
            <v>7.2805152006459801E-4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  <cell r="J193">
            <v>5.0807589393972397E-2</v>
          </cell>
          <cell r="K193">
            <v>83.883143119658499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0.32847781062125903</v>
          </cell>
          <cell r="J194">
            <v>6.7772295948618E-2</v>
          </cell>
          <cell r="K194">
            <v>1.91669792776019E-2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I195">
            <v>0.47759125887340698</v>
          </cell>
          <cell r="J195">
            <v>0.102374840594096</v>
          </cell>
          <cell r="K195">
            <v>3.6409817261745099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0.51401464095148997</v>
          </cell>
          <cell r="J196">
            <v>6.8716897983486194E-2</v>
          </cell>
          <cell r="K196">
            <v>1.3958436606865099E-2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4875.94043465912</v>
          </cell>
          <cell r="J197">
            <v>4686.8527732167504</v>
          </cell>
          <cell r="K197">
            <v>4800.7682221404903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3.0959079479663698</v>
          </cell>
          <cell r="J198">
            <v>1.24896575995493</v>
          </cell>
          <cell r="K198">
            <v>0.452147139959511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668.07625702534403</v>
          </cell>
          <cell r="J199">
            <v>228.074706823631</v>
          </cell>
          <cell r="K199">
            <v>116.399281271671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K200">
            <v>402.54701628198802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331.99984434002801</v>
          </cell>
          <cell r="J201">
            <v>225.04339166246601</v>
          </cell>
          <cell r="K201">
            <v>78.605261325255995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5.4986437175722604E-3</v>
          </cell>
          <cell r="K202">
            <v>0.306644219412124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0.15551329294570401</v>
          </cell>
          <cell r="J203">
            <v>9.4331261642748299E-2</v>
          </cell>
          <cell r="K203">
            <v>0.17491210928026199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0.100265029628471</v>
          </cell>
          <cell r="J204">
            <v>5.6028281226809104E-3</v>
          </cell>
          <cell r="K204">
            <v>4.90344005488908E-2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47.5138437756166</v>
          </cell>
          <cell r="J205">
            <v>1.6438418976806299</v>
          </cell>
          <cell r="K205">
            <v>12.0698000065375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999.46579471158395</v>
          </cell>
          <cell r="J206">
            <v>994.82447229832098</v>
          </cell>
          <cell r="K206">
            <v>583.68662700906896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0.17249659453374599</v>
          </cell>
          <cell r="J207">
            <v>6.0920385694447403E-2</v>
          </cell>
          <cell r="K207">
            <v>0.17590052143552701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2.2950269242983601</v>
          </cell>
          <cell r="J208">
            <v>1.8805696802042999</v>
          </cell>
          <cell r="K208">
            <v>0.36958789514465401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0.105642656104823</v>
          </cell>
          <cell r="J209">
            <v>5.3359180131312602E-3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2052.9805922980499</v>
          </cell>
          <cell r="J210">
            <v>1452.8876371594499</v>
          </cell>
          <cell r="K210">
            <v>1194.8362121803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8.1641702614851596E-7</v>
          </cell>
          <cell r="J4">
            <v>5.8076784726438E-7</v>
          </cell>
          <cell r="K4">
            <v>4.4955144348904002E-7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2.9007104002940702E-4</v>
          </cell>
          <cell r="K5">
            <v>3.31266956588276E-6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1.23830445251909E-5</v>
          </cell>
          <cell r="J6">
            <v>0.62408118145938496</v>
          </cell>
          <cell r="K6">
            <v>1.4815081927868501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1.82453978874794E-6</v>
          </cell>
          <cell r="J7">
            <v>1.0058797288121099E-6</v>
          </cell>
          <cell r="K7">
            <v>7.1315003271585996E-7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1.8290388015855399E-6</v>
          </cell>
          <cell r="J8">
            <v>2.4375380754199002E-6</v>
          </cell>
          <cell r="K8">
            <v>4.2247967392577503E-6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1.5743039764166999E-6</v>
          </cell>
          <cell r="K9">
            <v>3.14818355566204E-4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0.14474880624193001</v>
          </cell>
          <cell r="J10">
            <v>6.0145520793316601E-2</v>
          </cell>
          <cell r="K10">
            <v>0.17057746399958501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I11">
            <v>1.8679746370232401E-2</v>
          </cell>
          <cell r="J11">
            <v>1.1569575991020599E-2</v>
          </cell>
          <cell r="K11">
            <v>7.5993467782426799E-2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I12">
            <v>3.09512640211397E-7</v>
          </cell>
          <cell r="J12">
            <v>3.6467258249025599E-7</v>
          </cell>
          <cell r="K12">
            <v>7.0741506849840299E-7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I13">
            <v>2.2346645626624399E-6</v>
          </cell>
          <cell r="J13">
            <v>1.26166846370275E-6</v>
          </cell>
          <cell r="K13">
            <v>9.7137071986642101E-7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I14">
            <v>1.5666749792031801E-7</v>
          </cell>
          <cell r="J14">
            <v>2.51908509410176E-7</v>
          </cell>
          <cell r="K14">
            <v>3.7453205932866499E-7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I15">
            <v>5.9250056713257102E-7</v>
          </cell>
          <cell r="J15">
            <v>6.8336408438968496E-7</v>
          </cell>
          <cell r="K15">
            <v>1.4143384746932501E-6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I16">
            <v>1.14001558446398E-5</v>
          </cell>
          <cell r="J16">
            <v>0.14445533498976601</v>
          </cell>
          <cell r="K16">
            <v>9.9159278589604993E-2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I17">
            <v>1.9651130799630999E-7</v>
          </cell>
          <cell r="J17">
            <v>2.67940592083724E-7</v>
          </cell>
          <cell r="K17">
            <v>4.7836046878745499E-7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I18">
            <v>0.12508980943450199</v>
          </cell>
          <cell r="J18">
            <v>0.35259992546915497</v>
          </cell>
          <cell r="K18">
            <v>0.63137710379550105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I19">
            <v>6.2102209999602498E-6</v>
          </cell>
          <cell r="J19">
            <v>1.5687744084318399E-2</v>
          </cell>
          <cell r="K19">
            <v>1.79498766401089E-2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I20">
            <v>2.0464576365880499E-6</v>
          </cell>
          <cell r="J20">
            <v>2.8903747992373099E-6</v>
          </cell>
          <cell r="K20">
            <v>5.3290725352718497E-6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I21">
            <v>2.3881305743763399E-6</v>
          </cell>
          <cell r="J21">
            <v>1.3629090809916101E-6</v>
          </cell>
          <cell r="K21">
            <v>1.0558431912653401E-6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  <cell r="J22">
            <v>1.86513937072677E-5</v>
          </cell>
          <cell r="K22">
            <v>2.8327414846858298E-3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I23">
            <v>1.1029759263204319E-6</v>
          </cell>
          <cell r="J23">
            <v>1.1197523020852281E-6</v>
          </cell>
          <cell r="K23">
            <v>8.3361285247631985E-7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  <cell r="J24">
            <v>2.9007104002940702E-4</v>
          </cell>
          <cell r="K24">
            <v>2.9330839982930654E-4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I25">
            <v>1.6145142812416687E-5</v>
          </cell>
          <cell r="J25">
            <v>0.62409686687991062</v>
          </cell>
          <cell r="K25">
            <v>2.1055993396117354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I26">
            <v>2.7764873347760762E-6</v>
          </cell>
          <cell r="J26">
            <v>2.9782020597708903E-6</v>
          </cell>
          <cell r="K26">
            <v>2.1582679141304198E-6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I27">
            <v>1.0275214416568759</v>
          </cell>
          <cell r="J27">
            <v>1.0275238791949513</v>
          </cell>
          <cell r="K27">
            <v>0.72469279076547044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  <cell r="J28">
            <v>1.5743039764166999E-6</v>
          </cell>
          <cell r="K28">
            <v>3.1639265954262101E-4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I29">
            <v>0.28890228625333714</v>
          </cell>
          <cell r="J29">
            <v>0.31763735956092792</v>
          </cell>
          <cell r="K29">
            <v>0.37191040996270947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I30">
            <v>0.1437642089809256</v>
          </cell>
          <cell r="J30">
            <v>9.2706818970667446E-2</v>
          </cell>
          <cell r="K30">
            <v>0.10370867599923782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I31">
            <v>0.95961897424318732</v>
          </cell>
          <cell r="J31">
            <v>0.95961933891576978</v>
          </cell>
          <cell r="K31">
            <v>0.48125570268478229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I32">
            <v>2.8428511497676347E-6</v>
          </cell>
          <cell r="J32">
            <v>2.9230885898516798E-6</v>
          </cell>
          <cell r="K32">
            <v>2.0703549923216103E-6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I33">
            <v>2.5283729915159198E-7</v>
          </cell>
          <cell r="J33">
            <v>5.0474580856176904E-7</v>
          </cell>
          <cell r="K33">
            <v>8.7927786789043403E-7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I34">
            <v>2.2350548935677566</v>
          </cell>
          <cell r="J34">
            <v>2.235055576931841</v>
          </cell>
          <cell r="K34">
            <v>1.1208952921340354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I35">
            <v>0.16240985086458962</v>
          </cell>
          <cell r="J35">
            <v>0.21997733682148768</v>
          </cell>
          <cell r="K35">
            <v>0.24362234413749295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I36">
            <v>3.097241240847405</v>
          </cell>
          <cell r="J36">
            <v>3.0972415087879974</v>
          </cell>
          <cell r="K36">
            <v>1.553284227788766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I37">
            <v>0.12551427729226819</v>
          </cell>
          <cell r="J37">
            <v>0.47785197149878372</v>
          </cell>
          <cell r="K37">
            <v>1.0836609526665035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I38">
            <v>-1.0075233207972045E-7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I39">
            <v>5.4667084060526588E-2</v>
          </cell>
          <cell r="J39">
            <v>4.3894475091882906E-2</v>
          </cell>
          <cell r="K39">
            <v>3.3641036088496244E-2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I41">
            <v>1.9844902699054068</v>
          </cell>
          <cell r="J41">
            <v>1.9844931602802061</v>
          </cell>
          <cell r="K41">
            <v>1.0954745565325612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I42">
            <v>3.0588498607938209E-6</v>
          </cell>
          <cell r="J42">
            <v>3.1480145718942997E-6</v>
          </cell>
          <cell r="K42">
            <v>2.2480322423268901E-6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  <cell r="J43">
            <v>1.86513937072677E-5</v>
          </cell>
          <cell r="K43">
            <v>2.8413530864609751E-3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I44">
            <v>0.15294793529086143</v>
          </cell>
          <cell r="J44">
            <v>0.16816086980561304</v>
          </cell>
          <cell r="K44">
            <v>0.19689374643977575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I45">
            <v>6.0079296304164345</v>
          </cell>
          <cell r="J45">
            <v>15.78945617349174</v>
          </cell>
          <cell r="K45">
            <v>16.051330542274766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  <cell r="K46">
            <v>1.9133756580692579E-2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I47">
            <v>13.149152494005754</v>
          </cell>
          <cell r="J47">
            <v>14.468242341260803</v>
          </cell>
          <cell r="K47">
            <v>16.938583392045764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  <cell r="J48">
            <v>1.1228493424427553E-2</v>
          </cell>
          <cell r="K48">
            <v>1.1363856484485967E-2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I49">
            <v>13.149152494005754</v>
          </cell>
          <cell r="J49">
            <v>14.457030207002576</v>
          </cell>
          <cell r="K49">
            <v>16.927236658208116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I50">
            <v>1.9213853204133617E-3</v>
          </cell>
          <cell r="J50">
            <v>5.7465111413043429E-4</v>
          </cell>
          <cell r="K50">
            <v>1.8883074682066112E-3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I51">
            <v>5.8775746771136665</v>
          </cell>
          <cell r="J51">
            <v>1.615194870756973</v>
          </cell>
          <cell r="K51">
            <v>0.71440590750891675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I52">
            <v>3.2330073819207108E-3</v>
          </cell>
          <cell r="J52">
            <v>2.8672935765876833E-3</v>
          </cell>
          <cell r="K52">
            <v>1.8134954791464892E-3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I53">
            <v>9.1180741614813918</v>
          </cell>
          <cell r="J53">
            <v>4.9511101037692979</v>
          </cell>
          <cell r="K53">
            <v>3.0038218171807665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I54">
            <v>26.594470983287753</v>
          </cell>
          <cell r="J54">
            <v>18.698816654402602</v>
          </cell>
          <cell r="K54">
            <v>6.5701979243966226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I55">
            <v>10.261681792139544</v>
          </cell>
          <cell r="J55">
            <v>2.3988238671648987</v>
          </cell>
          <cell r="K55">
            <v>0.40700365103060498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I56">
            <v>331.495211789211</v>
          </cell>
          <cell r="J56">
            <v>91.096990710693206</v>
          </cell>
          <cell r="K56">
            <v>40.292493183502899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I57">
            <v>293.74727205731898</v>
          </cell>
          <cell r="J57">
            <v>138.323829613497</v>
          </cell>
          <cell r="K57">
            <v>9.811176134157829E-4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I58">
            <v>0.182341616340328</v>
          </cell>
          <cell r="J58">
            <v>0.16171535771954501</v>
          </cell>
          <cell r="K58">
            <v>0.102281145023862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I59">
            <v>514.25938270755103</v>
          </cell>
          <cell r="J59">
            <v>279.24260985258798</v>
          </cell>
          <cell r="K59">
            <v>169.415550488995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I60">
            <v>1499.9281634574299</v>
          </cell>
          <cell r="J60">
            <v>1054.61325930831</v>
          </cell>
          <cell r="K60">
            <v>370.55916293596999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I61">
            <v>641.88137680690397</v>
          </cell>
          <cell r="J61">
            <v>205.75232543009301</v>
          </cell>
          <cell r="K61">
            <v>8.0469813581632104E-4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I62">
            <v>997.41135244237398</v>
          </cell>
          <cell r="J62">
            <v>274.95075211347103</v>
          </cell>
          <cell r="K62">
            <v>9.8146414737589603E-4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I63">
            <v>1861.6305649380199</v>
          </cell>
          <cell r="J63">
            <v>607.37628935055602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I64">
            <v>578.75885307667102</v>
          </cell>
          <cell r="J64">
            <v>135.29366610810001</v>
          </cell>
          <cell r="K64">
            <v>22.955005918126101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  <cell r="K65">
            <v>-1.91337565806926E-2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I66">
            <v>6.9887117265540626</v>
          </cell>
          <cell r="J66">
            <v>2.7396145378282739</v>
          </cell>
          <cell r="K66">
            <v>2.1204155728437977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I67">
            <v>5.1494222067070901</v>
          </cell>
          <cell r="J67">
            <v>3.0757806203822162</v>
          </cell>
          <cell r="K67">
            <v>1.2302804092840933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  <cell r="K68">
            <v>1.2195417309136519E-4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  <cell r="K69">
            <v>1.2195417309136519E-4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  <cell r="J70">
            <v>8.4923739416467164E-2</v>
          </cell>
          <cell r="K70">
            <v>4.1230673053165932E-2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I71">
            <v>1.7828875899695513</v>
          </cell>
          <cell r="J71">
            <v>1.1886199087143801</v>
          </cell>
          <cell r="K71">
            <v>5.9106232002635499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I72">
            <v>2.1329563191487426</v>
          </cell>
          <cell r="J72">
            <v>2.1344799179612721</v>
          </cell>
          <cell r="K72">
            <v>1.9289730346089486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I73">
            <v>4.3991232585803424</v>
          </cell>
          <cell r="J73">
            <v>2.8367668161103174</v>
          </cell>
          <cell r="K73">
            <v>3.1734540780524338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I74">
            <v>1.1334691055771056</v>
          </cell>
          <cell r="J74">
            <v>1.1334698366562614</v>
          </cell>
          <cell r="K74">
            <v>1.4129356610786272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I75">
            <v>9.250473570898345E-4</v>
          </cell>
          <cell r="J75">
            <v>7.843801736810976E-4</v>
          </cell>
          <cell r="K75">
            <v>1.0667020847730192E-3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I76">
            <v>0.57732515176898958</v>
          </cell>
          <cell r="J76">
            <v>9.5267336816410812E-3</v>
          </cell>
          <cell r="K76">
            <v>3.3470753599028687E-2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I77">
            <v>1.0040302014700064</v>
          </cell>
          <cell r="J77">
            <v>9.7220034423800544E-3</v>
          </cell>
          <cell r="K77">
            <v>4.3428784009998903E-2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I78">
            <v>1.6835664068710607</v>
          </cell>
          <cell r="J78">
            <v>1.683567343195095</v>
          </cell>
          <cell r="K78">
            <v>1.6835900111729574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I79">
            <v>3.9857160387696022</v>
          </cell>
          <cell r="J79">
            <v>1.8768497912279065</v>
          </cell>
          <cell r="K79">
            <v>1.3312314971720271E-5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I80">
            <v>8.7093809607449639</v>
          </cell>
          <cell r="J80">
            <v>2.7917547548180863</v>
          </cell>
          <cell r="K80">
            <v>1.0918563579597301E-5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I81">
            <v>13.533396912379565</v>
          </cell>
          <cell r="J81">
            <v>3.7306750625979843</v>
          </cell>
          <cell r="K81">
            <v>1.3317016925046069E-5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I82">
            <v>12.540440276752715</v>
          </cell>
          <cell r="J82">
            <v>16.986408861248215</v>
          </cell>
          <cell r="K82">
            <v>18.812397175117351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I83">
            <v>4.1124464210516324E-3</v>
          </cell>
          <cell r="J83">
            <v>3.6008604513782533E-3</v>
          </cell>
          <cell r="K83">
            <v>2.8975046396760313E-3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I84">
            <v>1.3644354978977011</v>
          </cell>
          <cell r="J84">
            <v>1.2084310662280251</v>
          </cell>
          <cell r="K84">
            <v>0.97699569205279246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I85">
            <v>25.22534640837425</v>
          </cell>
          <cell r="J85">
            <v>8.2300310210102552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I86">
            <v>3.2436108601664548</v>
          </cell>
          <cell r="J86">
            <v>3.2436109908881878</v>
          </cell>
          <cell r="K86">
            <v>3.2436106880120739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I87">
            <v>9.664477028214554</v>
          </cell>
          <cell r="J87">
            <v>4.9447759832694116</v>
          </cell>
          <cell r="K87">
            <v>3.0269697043341846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I88">
            <v>2.7345685190832088E-5</v>
          </cell>
          <cell r="J88">
            <v>8.0258219696025427E-5</v>
          </cell>
          <cell r="K88">
            <v>2.821398162151347E-5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I89">
            <v>1.2906735335580123E-4</v>
          </cell>
          <cell r="J89">
            <v>1.6608888477212482</v>
          </cell>
          <cell r="K89">
            <v>6.6403498094776117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I90">
            <v>2.1288318028860218E-5</v>
          </cell>
          <cell r="J90">
            <v>3.3471006327739993E-5</v>
          </cell>
          <cell r="K90">
            <v>2.6259578654490234E-5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I91">
            <v>2.6201771594185848E-5</v>
          </cell>
          <cell r="J91">
            <v>7.2688386751728549E-5</v>
          </cell>
          <cell r="K91">
            <v>2.6409019388605902E-5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I92">
            <v>5.4231578541922793E-5</v>
          </cell>
          <cell r="J92">
            <v>1.6607024301084736</v>
          </cell>
          <cell r="K92">
            <v>6.6402689268979564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I93">
            <v>2.9378855326839929E-5</v>
          </cell>
          <cell r="J93">
            <v>8.1737344827713564E-5</v>
          </cell>
          <cell r="K93">
            <v>1.6737224067908534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I94">
            <v>1.2778889159431109E-4</v>
          </cell>
          <cell r="J94">
            <v>1.6442811643484465</v>
          </cell>
          <cell r="K94">
            <v>6.5739633700194418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I95">
            <v>4.8699078538272879E-5</v>
          </cell>
          <cell r="J95">
            <v>1.6440472748147685</v>
          </cell>
          <cell r="K95">
            <v>2.8338872349434343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I96">
            <v>3.0271034259627601E-5</v>
          </cell>
          <cell r="J96">
            <v>7.6180776193591205E-5</v>
          </cell>
          <cell r="K96">
            <v>2.0662868012295106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I97">
            <v>1.9439923469570464E-5</v>
          </cell>
          <cell r="J97">
            <v>7.5971412658025407E-5</v>
          </cell>
          <cell r="K97">
            <v>6.6927055666888381E-5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I98">
            <v>3.364440593033204</v>
          </cell>
          <cell r="J98">
            <v>8.8420954571553683</v>
          </cell>
          <cell r="K98">
            <v>8.9887353531115188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I99">
            <v>2.7345685190832088E-5</v>
          </cell>
          <cell r="J99">
            <v>8.0258219696025427E-5</v>
          </cell>
          <cell r="K99">
            <v>2.821398162151347E-5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I100">
            <v>1.2906735335580123E-4</v>
          </cell>
          <cell r="J100">
            <v>1.6608888477212482</v>
          </cell>
          <cell r="K100">
            <v>6.6403498094776117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I101">
            <v>2.1288318028860218E-5</v>
          </cell>
          <cell r="J101">
            <v>3.3471006327739993E-5</v>
          </cell>
          <cell r="K101">
            <v>2.6259578654490234E-5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I102">
            <v>2.6201771594185848E-5</v>
          </cell>
          <cell r="J102">
            <v>7.2688386751728549E-5</v>
          </cell>
          <cell r="K102">
            <v>2.6409019388605902E-5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I103">
            <v>5.4231578541922793E-5</v>
          </cell>
          <cell r="J103">
            <v>1.6607024301084736</v>
          </cell>
          <cell r="K103">
            <v>6.6402689268979564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  <cell r="J104">
            <v>8.4915611815391756E-2</v>
          </cell>
          <cell r="K104">
            <v>4.122295978126523E-2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I105">
            <v>4.7012421880457641E-5</v>
          </cell>
          <cell r="J105">
            <v>3.4170529439267384E-5</v>
          </cell>
          <cell r="K105">
            <v>3.8832886980270858E-5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I106">
            <v>2.4696460024725172E-3</v>
          </cell>
          <cell r="J106">
            <v>1.7814012666015314E-3</v>
          </cell>
          <cell r="K106">
            <v>3.4342399120386754E-3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I107">
            <v>3.9834418826092894E-3</v>
          </cell>
          <cell r="J107">
            <v>7.6109283320196621E-3</v>
          </cell>
          <cell r="K107">
            <v>8.854848243972693E-3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  <cell r="I108">
            <v>0.31677700588690511</v>
          </cell>
          <cell r="J108">
            <v>0.12622014003639412</v>
          </cell>
          <cell r="K108">
            <v>6.1674226136044327E-2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I109">
            <v>2.9378855326839929E-5</v>
          </cell>
          <cell r="J109">
            <v>8.1737344827713564E-5</v>
          </cell>
          <cell r="K109">
            <v>1.6737224067908534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I110">
            <v>1.2778889159431115E-4</v>
          </cell>
          <cell r="J110">
            <v>1.6442811643484465</v>
          </cell>
          <cell r="K110">
            <v>6.5739633700194444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I111">
            <v>4.8699078538272893E-5</v>
          </cell>
          <cell r="J111">
            <v>1.6440472748147685</v>
          </cell>
          <cell r="K111">
            <v>2.8338872349434356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I112">
            <v>3.0271034259627611E-5</v>
          </cell>
          <cell r="J112">
            <v>7.6180776193591205E-5</v>
          </cell>
          <cell r="K112">
            <v>2.0662868012295106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I113">
            <v>1.9439923469570464E-5</v>
          </cell>
          <cell r="J113">
            <v>7.5971412658025407E-5</v>
          </cell>
          <cell r="K113">
            <v>6.6927055666888381E-5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I114">
            <v>27.510552799450032</v>
          </cell>
          <cell r="J114">
            <v>18.648868477514469</v>
          </cell>
          <cell r="K114">
            <v>6.5921012816932008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I115">
            <v>1.3644354978977011</v>
          </cell>
          <cell r="J115">
            <v>1.2084310662280251</v>
          </cell>
          <cell r="K115">
            <v>0.97699569205279246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I117">
            <v>1.3644354978977011</v>
          </cell>
          <cell r="J117">
            <v>1.2084310662280251</v>
          </cell>
          <cell r="K117">
            <v>0.97699569205279246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I119">
            <v>4.2691980219550123</v>
          </cell>
          <cell r="J119">
            <v>4.272399906689067</v>
          </cell>
          <cell r="K119">
            <v>9.5235917877825003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I121">
            <v>1.2511682384072358</v>
          </cell>
          <cell r="J121">
            <v>1.2511724458969888</v>
          </cell>
          <cell r="K121">
            <v>1.2511733130682072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I122">
            <v>5.7059203939117595E-4</v>
          </cell>
          <cell r="J122">
            <v>7.0836471484059011E-4</v>
          </cell>
          <cell r="K122">
            <v>0.17766307847044063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I123">
            <v>5.7197397050520651E-4</v>
          </cell>
          <cell r="J123">
            <v>7.1784618761501983E-4</v>
          </cell>
          <cell r="K123">
            <v>0.38000477678253675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I124">
            <v>3.0168972633463236</v>
          </cell>
          <cell r="J124">
            <v>3.0198119202179572</v>
          </cell>
          <cell r="K124">
            <v>7.7147755372397286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  <cell r="J125">
            <v>7.8599453970992893E-3</v>
          </cell>
          <cell r="K125">
            <v>7.9546995391401813E-3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I126">
            <v>7.6473967645430649</v>
          </cell>
          <cell r="J126">
            <v>8.4080434902806562</v>
          </cell>
          <cell r="K126">
            <v>9.8446873219887721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I127">
            <v>2.1329563191487426</v>
          </cell>
          <cell r="J127">
            <v>2.1344799179612721</v>
          </cell>
          <cell r="K127">
            <v>1.9289730346089486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I128">
            <v>4.3847693275359223</v>
          </cell>
          <cell r="J128">
            <v>5.9393037976392433</v>
          </cell>
          <cell r="K128">
            <v>6.5777612500410401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I129">
            <v>3.2436108601664548</v>
          </cell>
          <cell r="J129">
            <v>3.2436109908881878</v>
          </cell>
          <cell r="K129">
            <v>3.2436106880120739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I130">
            <v>6.9022944489254607</v>
          </cell>
          <cell r="J130">
            <v>8.7697165525993057</v>
          </cell>
          <cell r="K130">
            <v>8.7697096258322205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I131">
            <v>4.8201617418120408</v>
          </cell>
          <cell r="J131">
            <v>3.1082727338423317</v>
          </cell>
          <cell r="K131">
            <v>3.4771842108743654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I132">
            <v>2.9941317879640867</v>
          </cell>
          <cell r="J132">
            <v>2.954349470459591</v>
          </cell>
          <cell r="K132">
            <v>2.8715335767205152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I133">
            <v>16.8152433036073</v>
          </cell>
          <cell r="J133">
            <v>28.2266347507341</v>
          </cell>
          <cell r="K133">
            <v>55.702873398173402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I134">
            <v>6.9022944489254607</v>
          </cell>
          <cell r="J134">
            <v>8.7697165525993057</v>
          </cell>
          <cell r="K134">
            <v>8.7697096258322205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I135">
            <v>1.146125818234069</v>
          </cell>
          <cell r="J135">
            <v>1.0150820956315407</v>
          </cell>
          <cell r="K135">
            <v>0.82067638132434506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I136">
            <v>8.5644845721908069</v>
          </cell>
          <cell r="J136">
            <v>2.7458249455005492</v>
          </cell>
          <cell r="K136">
            <v>0.1747042519477591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I137">
            <v>1.4619367731199082</v>
          </cell>
          <cell r="J137">
            <v>3.6676105773945591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I139">
            <v>1.4619367731199082</v>
          </cell>
          <cell r="J139">
            <v>3.6676105773945591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I140">
            <v>26.295084072904888</v>
          </cell>
          <cell r="J140">
            <v>11.722792570891228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I141">
            <v>13.307935687085219</v>
          </cell>
          <cell r="J141">
            <v>3.6690741827719546</v>
          </cell>
          <cell r="K141">
            <v>0.37366392320786551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  <cell r="I142">
            <v>4.9954606805791585E-7</v>
          </cell>
          <cell r="J142">
            <v>1.2649744017876754E-6</v>
          </cell>
          <cell r="K142">
            <v>2.741318667818886E-6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I143">
            <v>4.8201617418120408</v>
          </cell>
          <cell r="J143">
            <v>3.1082727338423317</v>
          </cell>
          <cell r="K143">
            <v>3.4771842108743654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I144">
            <v>4.8201617418120408</v>
          </cell>
          <cell r="J144">
            <v>3.1082727338423317</v>
          </cell>
          <cell r="K144">
            <v>3.4771842108743654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I145">
            <v>2.4733500634544045E-3</v>
          </cell>
          <cell r="J145">
            <v>1.7865513712962385E-3</v>
          </cell>
          <cell r="K145">
            <v>3.4359264053284776E-3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I146">
            <v>3.9850166207491275E-3</v>
          </cell>
          <cell r="J146">
            <v>7.6122189261293143E-3</v>
          </cell>
          <cell r="K146">
            <v>8.8548482439720806E-3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  <cell r="K148">
            <v>7.4075605466818119E-5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I149">
            <v>1.9213853204133617E-3</v>
          </cell>
          <cell r="J149">
            <v>5.7465111413043429E-4</v>
          </cell>
          <cell r="K149">
            <v>1.8883074682066112E-3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  <cell r="I150">
            <v>0.31678053938393574</v>
          </cell>
          <cell r="J150">
            <v>0.12622103739740048</v>
          </cell>
          <cell r="K150">
            <v>6.1674226136008869E-2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  <cell r="K151">
            <v>6.0194523028616091E-5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  <cell r="I152">
            <v>4.9954606805791585E-7</v>
          </cell>
          <cell r="J152">
            <v>1.2649744017876754E-6</v>
          </cell>
          <cell r="K152">
            <v>2.741318667818886E-6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I153">
            <v>1.18967301001296</v>
          </cell>
          <cell r="J153">
            <v>1.7868134790761001</v>
          </cell>
          <cell r="K153">
            <v>1.6907793352003599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I154">
            <v>16.8152433036073</v>
          </cell>
          <cell r="J154">
            <v>28.2266347507341</v>
          </cell>
          <cell r="K154">
            <v>55.702873398173402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I155">
            <v>16.8152433036073</v>
          </cell>
          <cell r="J155">
            <v>28.2266347507341</v>
          </cell>
          <cell r="K155">
            <v>55.702873398173402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I156">
            <v>6.0079296304164345</v>
          </cell>
          <cell r="J156">
            <v>15.78945617349174</v>
          </cell>
          <cell r="K156">
            <v>16.051330542274766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I157">
            <v>6.0079296304164345</v>
          </cell>
          <cell r="J157">
            <v>15.78945617349174</v>
          </cell>
          <cell r="K157">
            <v>16.051313130556288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  <cell r="K160">
            <v>1.741171848843026E-5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I161">
            <v>2.9941317879640867</v>
          </cell>
          <cell r="J161">
            <v>2.954349470459591</v>
          </cell>
          <cell r="K161">
            <v>2.8715335767205152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I162">
            <v>11.906001922532596</v>
          </cell>
          <cell r="J162">
            <v>4.0687536752034328</v>
          </cell>
          <cell r="K162">
            <v>2.0833910182730375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I163">
            <v>13.149152494005754</v>
          </cell>
          <cell r="J163">
            <v>14.468242341260803</v>
          </cell>
          <cell r="K163">
            <v>16.938583392045764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  <cell r="I164">
            <v>4.9954606805791596E-7</v>
          </cell>
          <cell r="J164">
            <v>1.26497440178768E-6</v>
          </cell>
          <cell r="K164">
            <v>2.7413186678188898E-6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0.15467533998264671</v>
          </cell>
          <cell r="I8">
            <v>0.1502031000799936</v>
          </cell>
          <cell r="J8">
            <v>0.14090456474149649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3.1639297429495193E-4</v>
          </cell>
          <cell r="I9">
            <v>3.1528440851498262E-4</v>
          </cell>
          <cell r="J9">
            <v>3.2161057244161641E-4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2.7424705670681983E-3</v>
          </cell>
          <cell r="I10">
            <v>2.6631755333332203E-3</v>
          </cell>
          <cell r="J10">
            <v>2.4983078854875322E-3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5.1813397708314601E-6</v>
          </cell>
          <cell r="I11">
            <v>2.9143792758305102E-6</v>
          </cell>
          <cell r="J11">
            <v>5.9295377921740301E-6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6.4262274082750798E-6</v>
          </cell>
          <cell r="I12">
            <v>6.4408781181042588E-6</v>
          </cell>
          <cell r="J12">
            <v>6.4409782370188503E-6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2.3928317152354991E-3</v>
          </cell>
          <cell r="I13">
            <v>1.4589502009551359E-3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2.3928317152354991E-3</v>
          </cell>
          <cell r="I14">
            <v>1.4589502009551359E-3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1.68965199300118E-4</v>
          </cell>
          <cell r="I15">
            <v>3.0662602974848802E-5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3.441870273582046E-4</v>
          </cell>
          <cell r="I16">
            <v>2.1538849283823629E-4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7.7552722338775245E-4</v>
          </cell>
          <cell r="I17">
            <v>1.2795910257060079E-3</v>
          </cell>
          <cell r="J17">
            <v>2.3904660048477933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2.5634971973475824E-3</v>
          </cell>
          <cell r="I18">
            <v>4.0869406558606408E-3</v>
          </cell>
          <cell r="J18">
            <v>7.0429451980336903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1.23945143192679E-5</v>
          </cell>
          <cell r="I19">
            <v>1.7138668909272601E-5</v>
          </cell>
          <cell r="J19">
            <v>4.4967545858757202E-2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1.54712891205779E-5</v>
          </cell>
          <cell r="I20">
            <v>2.5603952504164899E-5</v>
          </cell>
          <cell r="J20">
            <v>4.4970553500392398E-2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1.9674193065806367E-2</v>
          </cell>
          <cell r="I21">
            <v>8.2839165487238065E-3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1.9674193065806367E-2</v>
          </cell>
          <cell r="I22">
            <v>8.2839165487238065E-3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9.3393603223073795E-4</v>
          </cell>
          <cell r="I23">
            <v>1.14918967915411E-5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1.9899175613793574E-3</v>
          </cell>
          <cell r="I24">
            <v>8.5313605772942096E-4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49.457704946218826</v>
          </cell>
          <cell r="I25">
            <v>60.123219196154935</v>
          </cell>
          <cell r="J25">
            <v>73.360052372507042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3.1261470001224398E-4</v>
          </cell>
          <cell r="I26">
            <v>0.22994990239916699</v>
          </cell>
          <cell r="J26">
            <v>0.56917837596268195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16.46090458720926</v>
          </cell>
          <cell r="I27">
            <v>9.7932579428519198</v>
          </cell>
          <cell r="J27">
            <v>25.567424981704352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4.7593156954999771E-3</v>
          </cell>
          <cell r="I28">
            <v>3.6818656488273077E-3</v>
          </cell>
          <cell r="J28">
            <v>2.2860200868173113E-3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2.0746882260144379E-2</v>
          </cell>
          <cell r="I29">
            <v>3.7567871792355129E-2</v>
          </cell>
          <cell r="J29">
            <v>0.10252588204447421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32.97162650847401</v>
          </cell>
          <cell r="I30">
            <v>50.518679295800595</v>
          </cell>
          <cell r="J30">
            <v>48.257021561239824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0.19406274727569492</v>
          </cell>
          <cell r="I31">
            <v>1.2822306462055698E-2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0.19406274727569492</v>
          </cell>
          <cell r="I32">
            <v>1.2822306462055698E-2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2.9978422588313797E-4</v>
          </cell>
          <cell r="I33">
            <v>2.1152559393271301E-5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1.3476865443884154E-2</v>
          </cell>
          <cell r="I34">
            <v>9.0655819099070027E-4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2.5016956817680278E-3</v>
          </cell>
          <cell r="I35">
            <v>1.5545988229225748E-3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2.5016956817680278E-3</v>
          </cell>
          <cell r="I36">
            <v>1.5545988229225748E-3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1.8741819824694901E-4</v>
          </cell>
          <cell r="I37">
            <v>3.1024386950881601E-5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3.6053892099620582E-4</v>
          </cell>
          <cell r="I38">
            <v>2.2993504634355208E-4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2.4303260314190417E-2</v>
          </cell>
          <cell r="I39">
            <v>3.8341908700659849E-3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2.4303260314190417E-2</v>
          </cell>
          <cell r="I40">
            <v>3.8341908700659849E-3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2.61373965480468E-4</v>
          </cell>
          <cell r="I41">
            <v>2.2086495351761401E-5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2.5925563953770464E-3</v>
          </cell>
          <cell r="I42">
            <v>3.6640101999819053E-4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2.6238495790227544E-2</v>
          </cell>
          <cell r="I43">
            <v>2.1518900438597117E-2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2.6238495790227544E-2</v>
          </cell>
          <cell r="I44">
            <v>2.1518900438597117E-2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2.56538054797994E-3</v>
          </cell>
          <cell r="I45">
            <v>1.11674860042288E-5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2.7037446511527239E-3</v>
          </cell>
          <cell r="I46">
            <v>2.2482652180613638E-3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0.24502563722589676</v>
          </cell>
          <cell r="J47">
            <v>0.26340107396293244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9.7093219886090889</v>
          </cell>
          <cell r="J48">
            <v>10.452588275482805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1.3344257343606301E-4</v>
          </cell>
          <cell r="I49">
            <v>1.33442483534853E-4</v>
          </cell>
          <cell r="J49">
            <v>1.2803435631472599E-3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2.4975341905924611E-3</v>
          </cell>
          <cell r="I50">
            <v>2.630976674127314E-3</v>
          </cell>
          <cell r="J50">
            <v>2.8282847595801699E-3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2.3023761844888404</v>
          </cell>
          <cell r="I51">
            <v>0.89655593911625953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2.3023761844888404</v>
          </cell>
          <cell r="I52">
            <v>0.89655593911625953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4.0524768762153699E-4</v>
          </cell>
          <cell r="I53">
            <v>2.0866052564515301E-5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0.15840046527482923</v>
          </cell>
          <cell r="I54">
            <v>6.1676704719646959E-2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1.0766997814574682E-2</v>
          </cell>
          <cell r="I55">
            <v>4.6872010160336685E-3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1.0766997814574682E-2</v>
          </cell>
          <cell r="I56">
            <v>4.6872010160336685E-3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3.3445764698149298E-4</v>
          </cell>
          <cell r="I57">
            <v>2.18721533237479E-5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1.0867099579560926E-3</v>
          </cell>
          <cell r="I58">
            <v>4.5068099726010426E-4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H59">
            <v>4.5602582238501503E-8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H60">
            <v>6.7262680038269493E-8</v>
          </cell>
          <cell r="I60">
            <v>1.25447649757609E-8</v>
          </cell>
          <cell r="J60">
            <v>8.0027349698626294E-9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H61">
            <v>1.7862637263397318E-3</v>
          </cell>
          <cell r="I61">
            <v>9.5328719250758922E-4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H62">
            <v>0.17830910283513379</v>
          </cell>
          <cell r="I62">
            <v>9.2537219194840106E-2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H63">
            <v>2.4161125045411083E-3</v>
          </cell>
          <cell r="I63">
            <v>1.2538918590086737E-3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  <cell r="H64">
            <v>-1.86660231488872E-8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H65">
            <v>1.6605603973109839</v>
          </cell>
          <cell r="I65">
            <v>0.57537811369292613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H66">
            <v>1.3880783127920855E-2</v>
          </cell>
          <cell r="I66">
            <v>4.9949703491640619E-3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H67">
            <v>2.2500818391747734E-2</v>
          </cell>
          <cell r="I67">
            <v>7.7964514050532022E-3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  <cell r="H68">
            <v>-2.0181762928279899E-8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2.572579758634386E-3</v>
          </cell>
          <cell r="I69">
            <v>2.6398858359663294E-3</v>
          </cell>
          <cell r="J69">
            <v>9.6183673720402166E-4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2.572579758634386E-3</v>
          </cell>
          <cell r="I70">
            <v>2.6398858359663294E-3</v>
          </cell>
          <cell r="J70">
            <v>9.6183673720402145E-4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2.5771698369248248E-3</v>
          </cell>
          <cell r="I71">
            <v>2.64073396489737E-3</v>
          </cell>
          <cell r="J71">
            <v>9.6269449678100408E-4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2.5771698369248248E-3</v>
          </cell>
          <cell r="I72">
            <v>2.64073396489737E-3</v>
          </cell>
          <cell r="J72">
            <v>9.6269449678100408E-4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1.5753753091104099E-2</v>
          </cell>
          <cell r="I73">
            <v>2.7495544457773399E-3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3.7942319121172068E-2</v>
          </cell>
          <cell r="I74">
            <v>2.5061456533907626E-2</v>
          </cell>
          <cell r="J74">
            <v>8.6451014166314885E-3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15.741666489596261</v>
          </cell>
          <cell r="I75">
            <v>0.82229400558871424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0.12320599187553367</v>
          </cell>
          <cell r="I76">
            <v>6.680041820951564E-3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0.21330171395116912</v>
          </cell>
          <cell r="I77">
            <v>1.1142195197679068E-2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H78">
            <v>-1.5789996132518701E-8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9.173482969483315E-3</v>
          </cell>
          <cell r="I79">
            <v>7.821251423087568E-3</v>
          </cell>
          <cell r="J79">
            <v>3.6623989323233425E-3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9.1734829694833115E-3</v>
          </cell>
          <cell r="I80">
            <v>7.821251423087568E-3</v>
          </cell>
          <cell r="J80">
            <v>3.6623989323233417E-3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9.1760159651848826E-3</v>
          </cell>
          <cell r="I81">
            <v>7.8227877988868277E-3</v>
          </cell>
          <cell r="J81">
            <v>3.6637338028557664E-3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9.1760159651848826E-3</v>
          </cell>
          <cell r="I82">
            <v>7.8227877988868277E-3</v>
          </cell>
          <cell r="J82">
            <v>3.6637338028557664E-3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4.5527827810849401E-2</v>
          </cell>
          <cell r="I83">
            <v>2.5969951335919599E-2</v>
          </cell>
          <cell r="J83">
            <v>1.1020720993007599E-2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0.16394876063255262</v>
          </cell>
          <cell r="I84">
            <v>0.11167863623960622</v>
          </cell>
          <cell r="J84">
            <v>4.9069672282177762E-2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2.1580769723307007</v>
          </cell>
          <cell r="I85">
            <v>0.27803242055465904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1.5982440667023173E-2</v>
          </cell>
          <cell r="I86">
            <v>2.1067918534092844E-3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2.9242235397434996E-2</v>
          </cell>
          <cell r="I87">
            <v>3.7673769722853553E-3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0.62202703859633945</v>
          </cell>
          <cell r="I88">
            <v>0.28965921770377484</v>
          </cell>
          <cell r="J88">
            <v>1.9242338408524857E-3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0.62202703859633934</v>
          </cell>
          <cell r="I89">
            <v>0.28965921770377484</v>
          </cell>
          <cell r="J89">
            <v>1.9242338408524855E-3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0.62209217548479312</v>
          </cell>
          <cell r="I90">
            <v>0.2896886301533112</v>
          </cell>
          <cell r="J90">
            <v>1.9252470005439969E-3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0.62209217548479312</v>
          </cell>
          <cell r="I91">
            <v>0.2896886301533112</v>
          </cell>
          <cell r="J91">
            <v>1.9252470005439969E-3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5.8897591259572703E-2</v>
          </cell>
          <cell r="I92">
            <v>3.5423528883457601E-3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20.856973724406672</v>
          </cell>
          <cell r="I93">
            <v>9.6615016845404771</v>
          </cell>
          <cell r="J93">
            <v>2.7416775126688456E-2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269.57622407275761</v>
          </cell>
          <cell r="I94">
            <v>184.14115103131189</v>
          </cell>
          <cell r="J94">
            <v>112.28363148080282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1.6945700927795402</v>
          </cell>
          <cell r="I95">
            <v>1.1575208031085207</v>
          </cell>
          <cell r="J95">
            <v>0.70582071720350859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3.6777111060403547</v>
          </cell>
          <cell r="I96">
            <v>2.5121575856931972</v>
          </cell>
          <cell r="J96">
            <v>1.5318367187012647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7.3505115467587506E-2</v>
          </cell>
          <cell r="I97">
            <v>6.3958679931031901E-5</v>
          </cell>
          <cell r="J97">
            <v>5.7333758080543702E-2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0.16813758272939466</v>
          </cell>
          <cell r="I98">
            <v>8.5899813806673594E-2</v>
          </cell>
          <cell r="J98">
            <v>7.0265127082923109E-2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I99">
            <v>3.8337235144987394E-5</v>
          </cell>
          <cell r="J99">
            <v>3.8258540925438439E-5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I100">
            <v>1.9065785444249031E-4</v>
          </cell>
          <cell r="J100">
            <v>1.765637338838E-4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3.1515245297330498E-7</v>
          </cell>
          <cell r="I101">
            <v>6.2481156394934802E-7</v>
          </cell>
          <cell r="J101">
            <v>7.0333717646701201E-7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2.9155663008431128E-7</v>
          </cell>
          <cell r="I102">
            <v>8.4005637478454896E-7</v>
          </cell>
          <cell r="J102">
            <v>8.12984505783605E-7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1.0561211932530488E-2</v>
          </cell>
          <cell r="I103">
            <v>5.5435324538718102E-3</v>
          </cell>
          <cell r="J103">
            <v>1.671562980849412E-3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1.0561211932530486E-2</v>
          </cell>
          <cell r="I104">
            <v>5.5435324538718102E-3</v>
          </cell>
          <cell r="J104">
            <v>1.671562980849412E-3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1.056521830446564E-2</v>
          </cell>
          <cell r="I105">
            <v>5.5445304934029797E-3</v>
          </cell>
          <cell r="J105">
            <v>1.6725508709282157E-3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1.056521830446564E-2</v>
          </cell>
          <cell r="I106">
            <v>5.5445304934029797E-3</v>
          </cell>
          <cell r="J106">
            <v>1.6725508709282157E-3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5.0489737348860697E-2</v>
          </cell>
          <cell r="I107">
            <v>3.91170623943057E-3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0.22133074584024373</v>
          </cell>
          <cell r="I108">
            <v>9.7442354635875555E-2</v>
          </cell>
          <cell r="J108">
            <v>2.4139154108323169E-2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3.3095893333089481E-2</v>
          </cell>
          <cell r="I113">
            <v>3.3878069241778642E-2</v>
          </cell>
          <cell r="J113">
            <v>3.6423003831382292E-2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1.9813116317298227</v>
          </cell>
          <cell r="I114">
            <v>2.0281372064422936</v>
          </cell>
          <cell r="J114">
            <v>2.1804917131971213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1.3426687959654799E-4</v>
          </cell>
          <cell r="I115">
            <v>7.2193759842570596E-5</v>
          </cell>
          <cell r="J115">
            <v>1.4958647391820699E-3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3.0553972818416937E-3</v>
          </cell>
          <cell r="I116">
            <v>3.1275910416842649E-3</v>
          </cell>
          <cell r="J116">
            <v>3.3625085564004103E-3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7.7201202442524494E-3</v>
          </cell>
          <cell r="I121">
            <v>4.0125758850983358E-3</v>
          </cell>
          <cell r="J121">
            <v>1.04430166276545E-3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8.2200252154327006E-5</v>
          </cell>
          <cell r="I122">
            <v>4.299258209463089E-5</v>
          </cell>
          <cell r="J122">
            <v>1.1319878496573678E-5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1.3688156461440495E-4</v>
          </cell>
          <cell r="I123">
            <v>7.1144962501743463E-5</v>
          </cell>
          <cell r="J123">
            <v>1.851598692846543E-5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5.9150678249216096E-6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1.0461674506773509E-5</v>
          </cell>
          <cell r="I125">
            <v>5.8021946997280439E-6</v>
          </cell>
          <cell r="J125">
            <v>1.47661571391362E-6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30.454128431318839</v>
          </cell>
          <cell r="I126">
            <v>36.820226240099608</v>
          </cell>
          <cell r="J126">
            <v>38.287587096737155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30.454128431318839</v>
          </cell>
          <cell r="I127">
            <v>36.820226240099608</v>
          </cell>
          <cell r="J127">
            <v>38.287587096737155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19.5446834679157</v>
          </cell>
          <cell r="I128">
            <v>11.970568872609901</v>
          </cell>
          <cell r="J128">
            <v>25.983505743100501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23.317046352314108</v>
          </cell>
          <cell r="I129">
            <v>33.575034802628799</v>
          </cell>
          <cell r="J129">
            <v>42.938245442944798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1.550992035764825E-2</v>
          </cell>
          <cell r="I130">
            <v>9.8078669835987235E-3</v>
          </cell>
          <cell r="J130">
            <v>2.54714577267044E-3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1.3264021638538433E-4</v>
          </cell>
          <cell r="I131">
            <v>8.4286775832566159E-5</v>
          </cell>
          <cell r="J131">
            <v>2.2099126079709816E-5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2.7499858790156384E-4</v>
          </cell>
          <cell r="I132">
            <v>1.7389835077302683E-4</v>
          </cell>
          <cell r="J132">
            <v>4.5162159089901435E-5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7.6990285905899704E-6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1.1190354719751896E-5</v>
          </cell>
          <cell r="I134">
            <v>7.3460666886631202E-6</v>
          </cell>
          <cell r="J134">
            <v>1.9219570992638701E-6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0.88119573255108996</v>
          </cell>
          <cell r="I135">
            <v>0.42235702359250943</v>
          </cell>
          <cell r="J135">
            <v>0.13143144588938821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4.1128219547020301E-3</v>
          </cell>
          <cell r="I136">
            <v>1.9712751380728689E-3</v>
          </cell>
          <cell r="J136">
            <v>6.1343253970055586E-4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1.2021769884735205E-2</v>
          </cell>
          <cell r="I137">
            <v>5.7620330640178559E-3</v>
          </cell>
          <cell r="J137">
            <v>1.7930620175905605E-3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1.2311631014273299E-4</v>
          </cell>
          <cell r="I138">
            <v>3.0517659285367598E-5</v>
          </cell>
          <cell r="J138">
            <v>1.9840907611027201E-5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3.808233307268615E-4</v>
          </cell>
          <cell r="I139">
            <v>1.7706891156469748E-4</v>
          </cell>
          <cell r="J139">
            <v>5.6731502605413752E-5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2.2332714624367471E-2</v>
          </cell>
          <cell r="I140">
            <v>1.376358024000233E-2</v>
          </cell>
          <cell r="J140">
            <v>3.5860551905717302E-3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1.8755029070039153E-4</v>
          </cell>
          <cell r="I141">
            <v>1.1389573451318888E-4</v>
          </cell>
          <cell r="J141">
            <v>2.9869436289815295E-5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3.9597011745332402E-4</v>
          </cell>
          <cell r="I142">
            <v>2.4403511063833896E-4</v>
          </cell>
          <cell r="J142">
            <v>6.3582538839924288E-5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9.2933477995950498E-6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1.4466461091162791E-5</v>
          </cell>
          <cell r="I144">
            <v>8.7545318746132112E-6</v>
          </cell>
          <cell r="J144">
            <v>2.3199570659071001E-6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1.7244845076499454E-2</v>
          </cell>
          <cell r="I145">
            <v>1.1984796515691884E-2</v>
          </cell>
          <cell r="J145">
            <v>3.1293819055006702E-3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1.440911846760663E-4</v>
          </cell>
          <cell r="I146">
            <v>9.9947340355752652E-5</v>
          </cell>
          <cell r="J146">
            <v>2.6306346439411313E-5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3.0575966447694033E-4</v>
          </cell>
          <cell r="I147">
            <v>2.1249639212219719E-4</v>
          </cell>
          <cell r="J147">
            <v>5.5485494778380723E-5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9.6309346272558606E-6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1.2922219901731708E-5</v>
          </cell>
          <cell r="I149">
            <v>9.0441490636009505E-6</v>
          </cell>
          <cell r="J149">
            <v>2.40423099636551E-6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0.1705769257183172</v>
          </cell>
          <cell r="I150">
            <v>5.4321159410709252E-2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1.3414271238802609E-3</v>
          </cell>
          <cell r="I151">
            <v>4.4254847360748729E-4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2.3113404568877657E-3</v>
          </cell>
          <cell r="I152">
            <v>7.3605907060581672E-4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1.92818084673859E-4</v>
          </cell>
          <cell r="I154">
            <v>6.4826655316978707E-5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3.1140487340042711E-2</v>
          </cell>
          <cell r="I155">
            <v>3.2006602244411902E-2</v>
          </cell>
          <cell r="J155">
            <v>3.3071687199031169E-2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0.45958965891661224</v>
          </cell>
          <cell r="I156">
            <v>0.47237229295618205</v>
          </cell>
          <cell r="J156">
            <v>0.48809144422268363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0.18195284262777989</v>
          </cell>
          <cell r="I157">
            <v>6.0682645743730876E-2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1.1638820420304672E-3</v>
          </cell>
          <cell r="I158">
            <v>4.0112895916434577E-4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2.4654856724631424E-3</v>
          </cell>
          <cell r="I159">
            <v>8.2225807240827748E-4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1.0809022234296501E-4</v>
          </cell>
          <cell r="I161">
            <v>3.78149517831033E-5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0.1377125535434166</v>
          </cell>
          <cell r="I162">
            <v>4.4058099104903943E-2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1.1601594055796402E-3</v>
          </cell>
          <cell r="I163">
            <v>3.8217645734526373E-4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1.8787524357901314E-3</v>
          </cell>
          <cell r="I164">
            <v>6.0106547209964434E-4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1.65487425356626E-4</v>
          </cell>
          <cell r="I166">
            <v>5.5648380112469E-5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0.2337195489025114</v>
          </cell>
          <cell r="I167">
            <v>8.0375052806316793E-2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1.3891271380008896E-3</v>
          </cell>
          <cell r="I168">
            <v>4.9479157470389793E-4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3.166931556944592E-3</v>
          </cell>
          <cell r="I169">
            <v>1.0890928564541579E-3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1.15204399445769E-4</v>
          </cell>
          <cell r="I171">
            <v>3.9597622822559599E-5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0.15778822634905298</v>
          </cell>
          <cell r="I172">
            <v>5.3922344988961979E-2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1.0807810279547276E-3</v>
          </cell>
          <cell r="I173">
            <v>3.7946463265552946E-4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2.1526361029884449E-3</v>
          </cell>
          <cell r="I174">
            <v>7.3563908579757191E-4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9.8970341828361294E-5</v>
          </cell>
          <cell r="I176">
            <v>3.5027850453959597E-5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0.33737891996149039</v>
          </cell>
          <cell r="I177">
            <v>0.12145798619392109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2.0376249184270757E-3</v>
          </cell>
          <cell r="I178">
            <v>7.5607176119695213E-4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4.5715300807790057E-3</v>
          </cell>
          <cell r="I179">
            <v>1.6457721706493421E-3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2.0661533245992401E-4</v>
          </cell>
          <cell r="I181">
            <v>7.5943233797531602E-5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0.2129506942633522</v>
          </cell>
          <cell r="I182">
            <v>7.8838638465426256E-2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1.3604075804159582E-3</v>
          </cell>
          <cell r="I183">
            <v>5.173319201951899E-4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2.9051936461576108E-3</v>
          </cell>
          <cell r="I184">
            <v>1.0755612341804405E-3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1.10243337027814E-4</v>
          </cell>
          <cell r="I186">
            <v>3.9707977356240601E-5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0.54565478107227738</v>
          </cell>
          <cell r="I187">
            <v>5.5988706376478339</v>
          </cell>
          <cell r="J187">
            <v>6.9367242609318494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1.4189063910931092E-3</v>
          </cell>
          <cell r="I188">
            <v>1.5569056302579383E-2</v>
          </cell>
          <cell r="J188">
            <v>2.0752840175238686E-2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7.4441307103994174E-3</v>
          </cell>
          <cell r="I189">
            <v>7.6382955493149149E-2</v>
          </cell>
          <cell r="J189">
            <v>9.4634710244636405E-2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2.4269161443966801E-5</v>
          </cell>
          <cell r="I190">
            <v>3.1331491631630297E-4</v>
          </cell>
          <cell r="J190">
            <v>4.2684229338231999E-4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3.2564207105515336E-5</v>
          </cell>
          <cell r="I191">
            <v>3.3853103374762155E-4</v>
          </cell>
          <cell r="J191">
            <v>5.8822567762847997E-4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9.6503418297680693E-2</v>
          </cell>
          <cell r="I192">
            <v>2.9886834779067461E-2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5.7738262294645254E-4</v>
          </cell>
          <cell r="I193">
            <v>1.8500837435341067E-4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1.316554137758262E-3</v>
          </cell>
          <cell r="I194">
            <v>4.077330802055595E-4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5.44593995182393E-5</v>
          </cell>
          <cell r="I196">
            <v>1.7065853472831101E-5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7.770314512891332</v>
          </cell>
          <cell r="I197">
            <v>1.757351550443004</v>
          </cell>
          <cell r="J197">
            <v>0.22554017397777248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1.3854498672322909E-2</v>
          </cell>
          <cell r="I198">
            <v>3.2625415330024194E-3</v>
          </cell>
          <cell r="J198">
            <v>4.4898321955035047E-4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0.10600701927546176</v>
          </cell>
          <cell r="I199">
            <v>2.3974782407135076E-2</v>
          </cell>
          <cell r="J199">
            <v>3.0769464389873448E-3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2.2620972871993801E-5</v>
          </cell>
          <cell r="I200">
            <v>8.9486379433943703E-6</v>
          </cell>
          <cell r="J200">
            <v>1.7534998876922399E-6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3.016030512600555E-4</v>
          </cell>
          <cell r="I201">
            <v>7.1031468423718357E-5</v>
          </cell>
          <cell r="J201">
            <v>1.0206739470763712E-5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2819.7888937820499</v>
          </cell>
          <cell r="I205">
            <v>2168.9681236951401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37.903806014775995</v>
          </cell>
          <cell r="I206">
            <v>29.155426207281145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38.469152711896932</v>
          </cell>
          <cell r="I207">
            <v>29.590288181379915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9.5244911243056407</v>
          </cell>
          <cell r="I208">
            <v>6.2126173156439597</v>
          </cell>
          <cell r="J208">
            <v>1.10345580286176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1.1746681020531642E-2</v>
          </cell>
          <cell r="I209">
            <v>8.1616974675034863E-3</v>
          </cell>
          <cell r="J209">
            <v>1.4894354323469719E-3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0.12993848737115471</v>
          </cell>
          <cell r="I210">
            <v>8.4756034319835791E-2</v>
          </cell>
          <cell r="J210">
            <v>1.5053967296886241E-2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8.4866139591293206E-5</v>
          </cell>
          <cell r="I211">
            <v>9.2561843249914404E-5</v>
          </cell>
          <cell r="J211">
            <v>7.9068223438669599E-7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2.5546417472967502E-4</v>
          </cell>
          <cell r="I212">
            <v>1.7742798284120799E-4</v>
          </cell>
          <cell r="J212">
            <v>3.2495080185301798E-5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1.3374995611924484E-2</v>
          </cell>
          <cell r="I213">
            <v>1.527958669613972E-2</v>
          </cell>
          <cell r="J213">
            <v>1.2120640832445049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1.3374995611924482E-2</v>
          </cell>
          <cell r="I214">
            <v>1.5279586696139717E-2</v>
          </cell>
          <cell r="J214">
            <v>1.2120640832445047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1.3395057239600168E-2</v>
          </cell>
          <cell r="I215">
            <v>1.5295603051633706E-2</v>
          </cell>
          <cell r="J215">
            <v>1.2121982613472895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1.3395057239600168E-2</v>
          </cell>
          <cell r="I216">
            <v>1.5295603051633706E-2</v>
          </cell>
          <cell r="J216">
            <v>1.2121982613472895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1.7424665624484501E-2</v>
          </cell>
          <cell r="I217">
            <v>1.1371363215932699E-2</v>
          </cell>
          <cell r="J217">
            <v>29.680273553919299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0.12174249512945158</v>
          </cell>
          <cell r="I218">
            <v>4.4985939635053665E-2</v>
          </cell>
          <cell r="J218">
            <v>25.341237733949715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H219">
            <v>9.2767485526045503E-3</v>
          </cell>
          <cell r="I219">
            <v>1.4128232604180641E-2</v>
          </cell>
          <cell r="J219">
            <v>2.7114147095089322E-3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H220">
            <v>7.9599278595020095E-6</v>
          </cell>
          <cell r="I220">
            <v>1.2592676067876765E-5</v>
          </cell>
          <cell r="J220">
            <v>2.6335145837133495E-6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H221">
            <v>1.2655864328246314E-4</v>
          </cell>
          <cell r="I221">
            <v>1.9274532884284632E-4</v>
          </cell>
          <cell r="J221">
            <v>3.6990650880067288E-5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H222">
            <v>1.81068827042897E-7</v>
          </cell>
          <cell r="I222">
            <v>1.9050843669363901E-7</v>
          </cell>
          <cell r="J222">
            <v>6.2070888953524501E-8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H223">
            <v>2.158628498252E-7</v>
          </cell>
          <cell r="I223">
            <v>3.1417596666936599E-7</v>
          </cell>
          <cell r="J223">
            <v>9.5502954717003606E-8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0.15233229255766001</v>
          </cell>
          <cell r="I228">
            <v>5.3361527807586101E-2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12.402880647795399</v>
          </cell>
          <cell r="I229">
            <v>4.3446904754682301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0.16806071338476186</v>
          </cell>
          <cell r="I230">
            <v>5.8871144654041183E-2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1.5549003168199101E-5</v>
          </cell>
          <cell r="I231">
            <v>4.46503277132551E-5</v>
          </cell>
          <cell r="J231">
            <v>2.2835709578986198E-6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0.15233456766036135</v>
          </cell>
          <cell r="I232">
            <v>5.3357433198857995E-2</v>
          </cell>
          <cell r="J232">
            <v>8.6406555617991936E-6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7.4889230136827551</v>
          </cell>
          <cell r="I233">
            <v>10.141996552294845</v>
          </cell>
          <cell r="J233">
            <v>10.587802350832062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7.4889230136827551</v>
          </cell>
          <cell r="I234">
            <v>10.141996552294845</v>
          </cell>
          <cell r="J234">
            <v>10.58780235083206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7.4896888157697248</v>
          </cell>
          <cell r="I235">
            <v>10.143025981217919</v>
          </cell>
          <cell r="J235">
            <v>10.588872732385964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7.4896888157697248</v>
          </cell>
          <cell r="I236">
            <v>10.143025981217919</v>
          </cell>
          <cell r="J236">
            <v>10.588872732385964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133.36474684304599</v>
          </cell>
          <cell r="I237">
            <v>110.66076449907101</v>
          </cell>
          <cell r="J237">
            <v>171.82895182802599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130.93200691928894</v>
          </cell>
          <cell r="I238">
            <v>212.8308199161479</v>
          </cell>
          <cell r="J238">
            <v>227.98288689256449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67.953870167982885</v>
          </cell>
          <cell r="I239">
            <v>37.88247086021822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1.8630576661090226</v>
          </cell>
          <cell r="I240">
            <v>1.0472279899477885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0.92078414861765412</v>
          </cell>
          <cell r="I241">
            <v>0.51331261328208999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0.42819523268542697</v>
          </cell>
          <cell r="I242">
            <v>1.9028666530513099E-4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0.75433426656139602</v>
          </cell>
          <cell r="I243">
            <v>0.47572662287294154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13.041989400800601</v>
          </cell>
          <cell r="I244">
            <v>7.55311054293169</v>
          </cell>
          <cell r="J244">
            <v>2.0186001273132801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967.32475512139399</v>
          </cell>
          <cell r="I245">
            <v>560.21444135645004</v>
          </cell>
          <cell r="J245">
            <v>149.71963354927101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13.196790656499289</v>
          </cell>
          <cell r="I246">
            <v>7.6427618193240283</v>
          </cell>
          <cell r="J246">
            <v>2.0425598028549814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1.4822418369951E-4</v>
          </cell>
          <cell r="I247">
            <v>2.9893016850277201</v>
          </cell>
          <cell r="J247">
            <v>4.1320107533803101E-6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13.041990318809333</v>
          </cell>
          <cell r="I248">
            <v>7.5531001932100583</v>
          </cell>
          <cell r="J248">
            <v>2.0185784443517232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11.209897819417709</v>
          </cell>
          <cell r="I249">
            <v>12.456984777981374</v>
          </cell>
          <cell r="J249">
            <v>10.951439560313212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11.209897819417707</v>
          </cell>
          <cell r="I250">
            <v>12.456984777981372</v>
          </cell>
          <cell r="J250">
            <v>10.951439560313212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11.211035504793934</v>
          </cell>
          <cell r="I251">
            <v>12.458245769517889</v>
          </cell>
          <cell r="J251">
            <v>10.952546292612409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11.211035504793934</v>
          </cell>
          <cell r="I252">
            <v>12.458245769517889</v>
          </cell>
          <cell r="J252">
            <v>10.952546292612409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122.10131531846901</v>
          </cell>
          <cell r="I253">
            <v>60.922435540372099</v>
          </cell>
          <cell r="J253">
            <v>125.162569146194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164.27807718576452</v>
          </cell>
          <cell r="I254">
            <v>175.80309704633427</v>
          </cell>
          <cell r="J254">
            <v>165.24161520602414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0.78495228761740465</v>
          </cell>
          <cell r="I255">
            <v>4.427188446804807E-2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1.1826386517057686E-2</v>
          </cell>
          <cell r="I256">
            <v>7.0471742470724474E-4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1.0636209859314421E-2</v>
          </cell>
          <cell r="I257">
            <v>5.9989003344238445E-4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1.3071455121249E-4</v>
          </cell>
          <cell r="I258">
            <v>5.6249930255873698E-5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5.4411589368680239E-3</v>
          </cell>
          <cell r="I259">
            <v>2.8112303566125681E-4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11.094617871134274</v>
          </cell>
          <cell r="I260">
            <v>13.896669710252446</v>
          </cell>
          <cell r="J260">
            <v>15.524266048000577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11.09461787113427</v>
          </cell>
          <cell r="I261">
            <v>13.896669710252443</v>
          </cell>
          <cell r="J261">
            <v>15.524266048000577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11.095743970051567</v>
          </cell>
          <cell r="I262">
            <v>13.89807301734283</v>
          </cell>
          <cell r="J262">
            <v>15.525830136557751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11.095743970051567</v>
          </cell>
          <cell r="I263">
            <v>13.89807301734283</v>
          </cell>
          <cell r="J263">
            <v>15.525830136557751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151.28958660002499</v>
          </cell>
          <cell r="I264">
            <v>99.1669938736879</v>
          </cell>
          <cell r="J264">
            <v>275.67590431522399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176.85444341267629</v>
          </cell>
          <cell r="I265">
            <v>195.79447702435331</v>
          </cell>
          <cell r="J265">
            <v>310.4949350942797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1.9555431236283147</v>
          </cell>
          <cell r="I266">
            <v>0.93136497724533329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1.9410528175438813E-2</v>
          </cell>
          <cell r="I267">
            <v>9.2614175105531649E-3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2.649787430390672E-2</v>
          </cell>
          <cell r="I268">
            <v>1.2620121642890692E-2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4.3863075818291698E-5</v>
          </cell>
          <cell r="I269">
            <v>2.25803147722978E-5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9.0754102745737447E-3</v>
          </cell>
          <cell r="I270">
            <v>4.3170036319250572E-3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4.019207590487313</v>
          </cell>
          <cell r="I275">
            <v>3.9860427045620126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3.6890623782477185E-2</v>
          </cell>
          <cell r="I276">
            <v>3.6588991828205124E-2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5.4460807459177717E-2</v>
          </cell>
          <cell r="I277">
            <v>5.4011418761002794E-2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2.0110442866245801E-5</v>
          </cell>
          <cell r="I278">
            <v>1.0275896202218499E-5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1.7513079113401716E-2</v>
          </cell>
          <cell r="I279">
            <v>1.7421556885420832E-2</v>
          </cell>
          <cell r="J279">
            <v>-8.6736173798840355E-19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6.0886197560205816E-4</v>
          </cell>
          <cell r="I284">
            <v>5.1055137919883264E-4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3.2649816200425641E-4</v>
          </cell>
          <cell r="I285">
            <v>2.6754822377507914E-4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5.7955914551515962E-3</v>
          </cell>
          <cell r="I286">
            <v>3.2936899130265088E-3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3.7340847715419934E-3</v>
          </cell>
          <cell r="I287">
            <v>2.066927512585701E-3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6.3720878927803497E-4</v>
          </cell>
          <cell r="I288">
            <v>5.4363120058942835E-4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3.4169241693675568E-4</v>
          </cell>
          <cell r="I289">
            <v>2.8486217593315925E-4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3.8185104274620588E-2</v>
          </cell>
          <cell r="I290">
            <v>3.9048512196511807E-2</v>
          </cell>
          <cell r="J290">
            <v>4.0347931071859175E-2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0.7561616857731851</v>
          </cell>
          <cell r="I291">
            <v>0.77325934733858914</v>
          </cell>
          <cell r="J291">
            <v>0.79899112903654423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7.0858956450648491E-2</v>
          </cell>
          <cell r="I292">
            <v>6.1462779439156916E-3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4.8375227271238892E-2</v>
          </cell>
          <cell r="I293">
            <v>4.1167848078294727E-3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7.7302476753047591E-3</v>
          </cell>
          <cell r="I294">
            <v>8.5583764836582137E-3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4.9747121605801525E-3</v>
          </cell>
          <cell r="I295">
            <v>5.3104096372709473E-3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8.3232761042176407E-3</v>
          </cell>
          <cell r="I300">
            <v>1.7316186354229958E-3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6.0041766655897161E-3</v>
          </cell>
          <cell r="I301">
            <v>1.2316411479506544E-3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0.84069816324368596</v>
          </cell>
          <cell r="I302">
            <v>0.42990833011092217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0.57194089369639156</v>
          </cell>
          <cell r="I303">
            <v>0.2794716779423404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3.6838093890436147E-3</v>
          </cell>
          <cell r="I304">
            <v>2.1164583202706549E-3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2.6752535174006109E-3</v>
          </cell>
          <cell r="I305">
            <v>1.5039279024480264E-3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1.100618326995686E-2</v>
          </cell>
          <cell r="I306">
            <v>9.9843863012961699E-3</v>
          </cell>
          <cell r="J306">
            <v>9.1388643148067796E-3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6.2559014458710103E-5</v>
          </cell>
          <cell r="I307">
            <v>5.6751132673677856E-5</v>
          </cell>
          <cell r="J307">
            <v>5.1945195785244169E-5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1.9514509343895124E-4</v>
          </cell>
          <cell r="I308">
            <v>1.7702812590950667E-4</v>
          </cell>
          <cell r="J308">
            <v>1.6203660132636146E-4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H309">
            <v>3.1063563486687902E-6</v>
          </cell>
          <cell r="I309">
            <v>1.73779171573499E-6</v>
          </cell>
          <cell r="J309">
            <v>2.9407370550848798E-6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4.9405405993493985E-6</v>
          </cell>
          <cell r="I310">
            <v>4.5011609996128172E-6</v>
          </cell>
          <cell r="J310">
            <v>4.2643814391407984E-6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2.8359619624093844</v>
          </cell>
          <cell r="I311">
            <v>3.7983899780503374</v>
          </cell>
          <cell r="J311">
            <v>4.6887446058799549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4.1622227263165064</v>
          </cell>
          <cell r="I312">
            <v>5.5747380605282446</v>
          </cell>
          <cell r="J312">
            <v>6.8814742987269719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0.170939424446865</v>
          </cell>
          <cell r="I313">
            <v>0.19253157103910501</v>
          </cell>
          <cell r="J313">
            <v>0.30666868983533502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0.24495745715480025</v>
          </cell>
          <cell r="I314">
            <v>0.37641456902801246</v>
          </cell>
          <cell r="J314">
            <v>0.43322219686072994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6.3381109575436273E-2</v>
          </cell>
          <cell r="I315">
            <v>4.9249962219540561E-2</v>
          </cell>
          <cell r="J315">
            <v>4.2381256018969408E-2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0.13629414456549985</v>
          </cell>
          <cell r="I316">
            <v>0.10442660256313527</v>
          </cell>
          <cell r="J316">
            <v>8.0542864810025566E-2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1.0425069933392499E-3</v>
          </cell>
          <cell r="I317">
            <v>2.6506710986380501E-5</v>
          </cell>
          <cell r="J317">
            <v>7.2992263658394998E-4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1.3784259655898502E-3</v>
          </cell>
          <cell r="I318">
            <v>1.0704447437091011E-3</v>
          </cell>
          <cell r="J318">
            <v>9.2609582402237978E-4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4.3648937423531604E-2</v>
          </cell>
          <cell r="I319">
            <v>5.4279890294841683E-2</v>
          </cell>
          <cell r="J319">
            <v>5.5562350840128928E-2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0.13012569736992993</v>
          </cell>
          <cell r="I320">
            <v>0.1555804376233493</v>
          </cell>
          <cell r="J320">
            <v>0.14655649645295174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6.31329898506201E-4</v>
          </cell>
          <cell r="I321">
            <v>5.4214385271436898E-4</v>
          </cell>
          <cell r="J321">
            <v>8.2515523175796996E-4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9.4908496243023685E-4</v>
          </cell>
          <cell r="I322">
            <v>1.1796610337108889E-3</v>
          </cell>
          <cell r="J322">
            <v>1.2078276095533339E-3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5.5172438153761776E-4</v>
          </cell>
          <cell r="I323">
            <v>4.1437518196990571E-3</v>
          </cell>
          <cell r="J323">
            <v>1.048891308212372E-2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2.4616233581284679E-3</v>
          </cell>
          <cell r="I324">
            <v>1.7416475066810891E-2</v>
          </cell>
          <cell r="J324">
            <v>4.0483560628722118E-2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8.6974694150687798E-6</v>
          </cell>
          <cell r="I325">
            <v>8.1451605767454105E-5</v>
          </cell>
          <cell r="J325">
            <v>2.0016291980113899E-4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1.223484732591548E-5</v>
          </cell>
          <cell r="I326">
            <v>9.0138274760531408E-5</v>
          </cell>
          <cell r="J326">
            <v>2.2806182535793599E-4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2.9272935000954831E-5</v>
          </cell>
          <cell r="I327">
            <v>4.873997719663828E-5</v>
          </cell>
          <cell r="J327">
            <v>1.7175621453798484E-5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1.9405464935514123E-4</v>
          </cell>
          <cell r="I328">
            <v>3.0970768225413301E-4</v>
          </cell>
          <cell r="J328">
            <v>1.0055868233041418E-4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6.6469519628890802E-7</v>
          </cell>
          <cell r="I329">
            <v>7.72578730844238E-7</v>
          </cell>
          <cell r="J329">
            <v>3.2586825325685502E-7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7.8546614655510098E-7</v>
          </cell>
          <cell r="I330">
            <v>1.1283662163719435E-6</v>
          </cell>
          <cell r="J330">
            <v>4.6144704118521202E-7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1.2075691709182129E-2</v>
          </cell>
          <cell r="I331">
            <v>3.9976449056103591E-3</v>
          </cell>
          <cell r="J331">
            <v>2.4475545558807199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6.6243061953386879E-3</v>
          </cell>
          <cell r="I332">
            <v>2.120583067540675E-3</v>
          </cell>
          <cell r="J332">
            <v>1.1117660844079615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2.3457365113505301E-4</v>
          </cell>
          <cell r="I333">
            <v>1.5744095426903801E-4</v>
          </cell>
          <cell r="J333">
            <v>0.43566564440537098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1.8004985029219916E-3</v>
          </cell>
          <cell r="I334">
            <v>5.9967394600760873E-4</v>
          </cell>
          <cell r="J334">
            <v>0.37196462927286483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0.182341616340328</v>
          </cell>
          <cell r="I335">
            <v>0.16171535771954501</v>
          </cell>
          <cell r="J335">
            <v>0.102281145023862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4.1124464210516324E-3</v>
          </cell>
          <cell r="I336">
            <v>3.6008604513782533E-3</v>
          </cell>
          <cell r="J336">
            <v>2.8975046396760313E-3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3.2330073819207108E-3</v>
          </cell>
          <cell r="I337">
            <v>2.8672935765876833E-3</v>
          </cell>
          <cell r="J337">
            <v>1.8134954791464892E-3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9.250473570898345E-4</v>
          </cell>
          <cell r="I338">
            <v>7.843801736810976E-4</v>
          </cell>
          <cell r="J338">
            <v>1.0667020847730192E-3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4.7012421880457641E-5</v>
          </cell>
          <cell r="I339">
            <v>3.4170529439267384E-5</v>
          </cell>
          <cell r="J339">
            <v>3.8832886980270858E-5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3.09512640211397E-7</v>
          </cell>
          <cell r="I340">
            <v>3.6467258249025599E-7</v>
          </cell>
          <cell r="J340">
            <v>7.0741506849840299E-7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0.95961897424318732</v>
          </cell>
          <cell r="I341">
            <v>0.95961933891576978</v>
          </cell>
          <cell r="J341">
            <v>0.48125570268478229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11.539727340320869</v>
          </cell>
          <cell r="I342">
            <v>16.004422146283837</v>
          </cell>
          <cell r="J342">
            <v>18.046967517011304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7.4875201194562475</v>
          </cell>
          <cell r="I343">
            <v>10.138012069613154</v>
          </cell>
          <cell r="J343">
            <v>10.515058164453926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1.00932125834666</v>
          </cell>
          <cell r="I344">
            <v>0.86251408738811497</v>
          </cell>
          <cell r="J344">
            <v>1.42404271232877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0.99217369345018258</v>
          </cell>
          <cell r="I345">
            <v>1.6880327700022211</v>
          </cell>
          <cell r="J345">
            <v>1.9035107667397753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15.571354361263515</v>
          </cell>
          <cell r="I349">
            <v>17.716840746097652</v>
          </cell>
          <cell r="J349">
            <v>17.076906433227656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11.208507899851513</v>
          </cell>
          <cell r="I350">
            <v>12.45300154431677</v>
          </cell>
          <cell r="J350">
            <v>10.879070162184192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0.80102700060532395</v>
          </cell>
          <cell r="I351">
            <v>0.411403621348781</v>
          </cell>
          <cell r="J351">
            <v>0.89771718204397299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1.0707098833645647</v>
          </cell>
          <cell r="I352">
            <v>1.2181929735543013</v>
          </cell>
          <cell r="J352">
            <v>1.1741846791476565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14.958945087333758</v>
          </cell>
          <cell r="I353">
            <v>19.23882796896407</v>
          </cell>
          <cell r="J353">
            <v>23.574583958786622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11.093208113115832</v>
          </cell>
          <cell r="I354">
            <v>13.892689582576256</v>
          </cell>
          <cell r="J354">
            <v>15.45322743529422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1.0117354094623201</v>
          </cell>
          <cell r="I355">
            <v>0.68103848123427702</v>
          </cell>
          <cell r="J355">
            <v>2.0006684503589498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1.1782630577450592</v>
          </cell>
          <cell r="I356">
            <v>1.5530806240755746</v>
          </cell>
          <cell r="J356">
            <v>2.3044725823805483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3.2773899724798685E-9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I362">
            <v>5.120638491169657E-6</v>
          </cell>
          <cell r="J362">
            <v>4.5789546063378581E-6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I363">
            <v>9.1980231223230182E-6</v>
          </cell>
          <cell r="J363">
            <v>7.6681264402165462E-6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1.93946830786273E-7</v>
          </cell>
          <cell r="I364">
            <v>1.61211216947044E-7</v>
          </cell>
          <cell r="J364">
            <v>2.9169208332895798E-7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4.2500476790835981E-7</v>
          </cell>
          <cell r="I365">
            <v>4.1938575962044075E-7</v>
          </cell>
          <cell r="J365">
            <v>4.0657582628540498E-7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2.6347281051910789E-9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H371">
            <v>1.93377636080348E-5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H372">
            <v>4.0849162349428099E-8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H373">
            <v>2.6381669315190769E-7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H374">
            <v>1.1320711511172201E-8</v>
          </cell>
          <cell r="I374">
            <v>1.1389064743152601E-8</v>
          </cell>
          <cell r="J374">
            <v>1.0355504880925301E-8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1.8114681237988393E-8</v>
          </cell>
          <cell r="I375">
            <v>2.27097762543248E-8</v>
          </cell>
          <cell r="J375">
            <v>1.8053837322809099E-8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I379">
            <v>1.00307326649594E-8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I380">
            <v>1.00307326649594E-8</v>
          </cell>
          <cell r="J380">
            <v>3.4357390581611001E-9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-2.3792194801087281E-9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J395">
            <v>-5.3300621337276E-9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H401">
            <v>16.8152433036073</v>
          </cell>
          <cell r="I401">
            <v>28.2266347507341</v>
          </cell>
          <cell r="J401">
            <v>55.702873398173402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H402">
            <v>16.8152433036073</v>
          </cell>
          <cell r="I402">
            <v>28.2266347507341</v>
          </cell>
          <cell r="J402">
            <v>55.702873398173402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H411">
            <v>4.163392879438411</v>
          </cell>
          <cell r="I411">
            <v>5.575873314566584</v>
          </cell>
          <cell r="J411">
            <v>6.8825071891463319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H412">
            <v>4.163392879438411</v>
          </cell>
          <cell r="I412">
            <v>5.575873314566584</v>
          </cell>
          <cell r="J412">
            <v>6.8825071891463319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H413">
            <v>0.27580442605827099</v>
          </cell>
          <cell r="I413">
            <v>0.28483360154540599</v>
          </cell>
          <cell r="J413">
            <v>0.53623045522564805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H414">
            <v>0.44006915481555398</v>
          </cell>
          <cell r="I414">
            <v>0.58936678328438696</v>
          </cell>
          <cell r="J414">
            <v>0.72747655578469494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H415">
            <v>3.1189556796621398E-8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H416">
            <v>3.7656151722526299E-8</v>
          </cell>
          <cell r="I416">
            <v>9.3063082586791998E-9</v>
          </cell>
          <cell r="J416">
            <v>5.4734127897718998E-9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  <cell r="H417">
            <v>1.5670300237279499E-8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  <cell r="H418">
            <v>2.5036701117797992E-9</v>
          </cell>
          <cell r="I418">
            <v>-2.9202118762928005E-9</v>
          </cell>
          <cell r="J418">
            <v>2.7499596194192202E-9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  <cell r="H419">
            <v>-2.44457568038542E-8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  <cell r="H424">
            <v>-1.6801437211769701E-8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H425">
            <v>185.675788544743</v>
          </cell>
          <cell r="I425">
            <v>154.38211110512901</v>
          </cell>
          <cell r="J425">
            <v>123.088433665514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H426">
            <v>2.5504916008893299</v>
          </cell>
          <cell r="I426">
            <v>2.1206333943012199</v>
          </cell>
          <cell r="J426">
            <v>1.6907751877131001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H427">
            <v>2.5504916008893299</v>
          </cell>
          <cell r="I427">
            <v>2.1206333943012199</v>
          </cell>
          <cell r="J427">
            <v>1.6907751877131001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H428">
            <v>0.87185818211824795</v>
          </cell>
          <cell r="I428">
            <v>0.80054110687666902</v>
          </cell>
          <cell r="J428">
            <v>1.04316795951206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H429">
            <v>3.3252922675630399</v>
          </cell>
          <cell r="I429">
            <v>2.4993257269397349</v>
          </cell>
          <cell r="J429">
            <v>1.8923150908656599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H430">
            <v>97.433976668338261</v>
          </cell>
          <cell r="I430">
            <v>56.51622081747869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H431">
            <v>0.81435058853692543</v>
          </cell>
          <cell r="I431">
            <v>0.47899825391551926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H432">
            <v>1.320243586291846</v>
          </cell>
          <cell r="I432">
            <v>0.76580245010133796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H433">
            <v>7.8064815277323896E-2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H434">
            <v>0.12372803040260161</v>
          </cell>
          <cell r="I434">
            <v>7.2790132842289759E-2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H435">
            <v>4.6256194499537759E-2</v>
          </cell>
          <cell r="I435">
            <v>6.497414279161845E-2</v>
          </cell>
          <cell r="J435">
            <v>0.37377408930506462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H436">
            <v>1.0998196937431538E-3</v>
          </cell>
          <cell r="I436">
            <v>1.6201586734219758E-3</v>
          </cell>
          <cell r="J436">
            <v>2.229698688444747E-3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H437">
            <v>8.5529339518798772E-4</v>
          </cell>
          <cell r="I437">
            <v>1.8925881941668048E-3</v>
          </cell>
          <cell r="J437">
            <v>3.8867830160323261E-3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H438">
            <v>2.372812701264509E-4</v>
          </cell>
          <cell r="I438">
            <v>8.0325926898287033E-4</v>
          </cell>
          <cell r="J438">
            <v>1.7903008163147078E-3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H439">
            <v>2.8473979118306329E-4</v>
          </cell>
          <cell r="I439">
            <v>3.1101812656860698E-4</v>
          </cell>
          <cell r="J439">
            <v>3.7319529459610266E-4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H440">
            <v>6.7469512895181874E-3</v>
          </cell>
          <cell r="I440">
            <v>1.3156184817962916E-2</v>
          </cell>
          <cell r="J440">
            <v>0.10029612887223749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H441">
            <v>1.3943649076144551E-3</v>
          </cell>
          <cell r="I441">
            <v>3.9796492812956413E-3</v>
          </cell>
          <cell r="J441">
            <v>7.2740808401481255E-2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H442">
            <v>1.3815887529794052E-3</v>
          </cell>
          <cell r="I442">
            <v>3.9784225081778484E-3</v>
          </cell>
          <cell r="J442">
            <v>7.2366026350243542E-2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H443">
            <v>1.4014196262859444E-3</v>
          </cell>
          <cell r="I443">
            <v>3.974114988865407E-3</v>
          </cell>
          <cell r="J443">
            <v>7.1035267839788016E-2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H444">
            <v>1.9019331985233798E-3</v>
          </cell>
          <cell r="I444">
            <v>2.0861326578056252E-3</v>
          </cell>
          <cell r="J444">
            <v>9.6183673720402155E-4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H445">
            <v>4.6220076290240164E-4</v>
          </cell>
          <cell r="I445">
            <v>4.446493982469282E-4</v>
          </cell>
          <cell r="J445">
            <v>3.6623989323233456E-3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H446">
            <v>1.7088512225993083E-3</v>
          </cell>
          <cell r="I446">
            <v>6.0702217686807221E-3</v>
          </cell>
          <cell r="J446">
            <v>1.9242338408524851E-3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H447">
            <v>3.5907021895794011E-3</v>
          </cell>
          <cell r="I447">
            <v>1.3103022482501101E-3</v>
          </cell>
          <cell r="J447">
            <v>7.3506332360331796E-4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H448">
            <v>1.8797743153646438E-3</v>
          </cell>
          <cell r="I448">
            <v>2.8074481206829109E-3</v>
          </cell>
          <cell r="J448">
            <v>1.6715629808494118E-3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H449">
            <v>5.4182300974491334E-3</v>
          </cell>
          <cell r="I449">
            <v>4.436112402711424E-3</v>
          </cell>
          <cell r="J449">
            <v>3.4719366804424768E-3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H450">
            <v>7.5893838876455776E-3</v>
          </cell>
          <cell r="I450">
            <v>7.417519544563044E-3</v>
          </cell>
          <cell r="J450">
            <v>5.148443332087976E-3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H451">
            <v>7.4580360113062922E-3</v>
          </cell>
          <cell r="I451">
            <v>8.1178786864173486E-3</v>
          </cell>
          <cell r="J451">
            <v>7.8041382527478977E-3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H452">
            <v>3.6529998431718351E-4</v>
          </cell>
          <cell r="I452">
            <v>2.6172999764904588E-4</v>
          </cell>
          <cell r="J452">
            <v>2.0072949274542979E-4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H453">
            <v>3.1736546365890511E-4</v>
          </cell>
          <cell r="I453">
            <v>2.4796125043620313E-4</v>
          </cell>
          <cell r="J453">
            <v>1.7751345886194168E-4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H454">
            <v>1.3343609500905665E-4</v>
          </cell>
          <cell r="I454">
            <v>1.1750791620328281E-4</v>
          </cell>
          <cell r="J454">
            <v>9.3159707409313806E-5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H455">
            <v>3.0290898037858035E-4</v>
          </cell>
          <cell r="I455">
            <v>3.18379682591926E-4</v>
          </cell>
          <cell r="J455">
            <v>2.3168649012122146E-4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H456">
            <v>7.514237789299548E-4</v>
          </cell>
          <cell r="I456">
            <v>5.755280757428025E-4</v>
          </cell>
          <cell r="J456">
            <v>3.4382396422672894E-4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H457">
            <v>1.061652115278181E-3</v>
          </cell>
          <cell r="I457">
            <v>1.1302755909452455E-3</v>
          </cell>
          <cell r="J457">
            <v>2.2702198469896621E-2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H458">
            <v>3.8519756457450198E-2</v>
          </cell>
          <cell r="I458">
            <v>0.14942426161210001</v>
          </cell>
          <cell r="J458">
            <v>1.2291173924362999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H459">
            <v>4.3466706061156594E-2</v>
          </cell>
          <cell r="I459">
            <v>0.19130756758349277</v>
          </cell>
          <cell r="J459">
            <v>1.3538429432050347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H460">
            <v>2.9562882030781501</v>
          </cell>
          <cell r="I460">
            <v>8.5432466377823797</v>
          </cell>
          <cell r="J460">
            <v>14.1301013724615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H461">
            <v>1.198143236489823</v>
          </cell>
          <cell r="I461">
            <v>3.4624611924051902</v>
          </cell>
          <cell r="J461">
            <v>5.7267371201165442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H462">
            <v>8.8867558139948196E-4</v>
          </cell>
          <cell r="I462">
            <v>5.6300537586845198</v>
          </cell>
          <cell r="J462">
            <v>7.7750571674198099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H463">
            <v>2.9562686092521742</v>
          </cell>
          <cell r="I463">
            <v>8.5432237888539628</v>
          </cell>
          <cell r="J463">
            <v>14.130071146054071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H464">
            <v>61.93862294545702</v>
          </cell>
          <cell r="I464">
            <v>8.7897296300316974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H465">
            <v>0.29477884166156232</v>
          </cell>
          <cell r="I465">
            <v>4.1832158928375052E-2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H466">
            <v>0.83927673367827871</v>
          </cell>
          <cell r="I466">
            <v>0.11910202750720449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H467">
            <v>4.5972287917508797E-5</v>
          </cell>
          <cell r="I467">
            <v>5.9069610720561699E-6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H468">
            <v>2.9314003683583372E-2</v>
          </cell>
          <cell r="I468">
            <v>4.126594386887888E-3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H469">
            <v>12.765310797313518</v>
          </cell>
          <cell r="I469">
            <v>0.53186302106573646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H470">
            <v>0.10386603211833097</v>
          </cell>
          <cell r="I470">
            <v>3.6037485273833639E-3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H471">
            <v>0.17297169102050863</v>
          </cell>
          <cell r="I471">
            <v>7.2068160036007634E-3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H472">
            <v>3.3167181271508801E-4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H473">
            <v>1.0874118557772339E-2</v>
          </cell>
          <cell r="I473">
            <v>3.6558247241016663E-4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H474">
            <v>0.27231504362208564</v>
          </cell>
          <cell r="I474">
            <v>0.1153673199357638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H475">
            <v>2.74299670003387E-3</v>
          </cell>
          <cell r="I475">
            <v>1.033998642317643E-3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H476">
            <v>3.7150756292235426E-3</v>
          </cell>
          <cell r="I476">
            <v>1.5739061382778155E-3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H477">
            <v>1.1534705317435499E-4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H478">
            <v>3.963816119335936E-4</v>
          </cell>
          <cell r="I478">
            <v>1.5278055436615396E-4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H479">
            <v>119.83627160420919</v>
          </cell>
          <cell r="I479">
            <v>16.338225214132191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H480">
            <v>0.79850143855635436</v>
          </cell>
          <cell r="I480">
            <v>0.10663452793725249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H481">
            <v>1.6237977182142143</v>
          </cell>
          <cell r="I481">
            <v>0.22138516550314663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H482">
            <v>6.8967278325695897E-5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H483">
            <v>7.799430715712205E-2</v>
          </cell>
          <cell r="I483">
            <v>7.4377713474923579E-3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H484">
            <v>1.7650299411950452</v>
          </cell>
          <cell r="I484">
            <v>0.12064205938743812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H485">
            <v>1.9176796309699838E-2</v>
          </cell>
          <cell r="I485">
            <v>8.6424622928965328E-4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H486">
            <v>2.4079535350546362E-2</v>
          </cell>
          <cell r="I486">
            <v>1.6458671130619117E-3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H487">
            <v>5.9994141198470703E-5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H488">
            <v>1.9432788831586097E-3</v>
          </cell>
          <cell r="I488">
            <v>8.1812721571954824E-5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H489">
            <v>1218.3336472678243</v>
          </cell>
          <cell r="I489">
            <v>593.97208523297593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H490">
            <v>7.2810204303583692</v>
          </cell>
          <cell r="I490">
            <v>3.5821474061047511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H491">
            <v>16.508586006339094</v>
          </cell>
          <cell r="I491">
            <v>8.0484022389292171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H492">
            <v>0.116417274353457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H493">
            <v>0.81889807761709732</v>
          </cell>
          <cell r="I493">
            <v>0.40288249099844003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H494">
            <v>10.110231046570023</v>
          </cell>
          <cell r="I494">
            <v>0.11584706729669469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H495">
            <v>8.1312639894109279E-2</v>
          </cell>
          <cell r="I495">
            <v>7.5679392954258078E-4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H496">
            <v>0.13792948221787163</v>
          </cell>
          <cell r="I496">
            <v>1.5804511227379915E-3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H497">
            <v>3.3586837266415602E-5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H498">
            <v>5.7653087094735218E-3</v>
          </cell>
          <cell r="I498">
            <v>5.9383556097827797E-5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H499">
            <v>5.8012516694449561</v>
          </cell>
          <cell r="I499">
            <v>6.6162780601545429E-2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H500">
            <v>3.0979537311975031E-2</v>
          </cell>
          <cell r="I500">
            <v>4.0158100021144385E-4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H501">
            <v>7.9143951834174275E-2</v>
          </cell>
          <cell r="I501">
            <v>9.0263002184918725E-4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H502">
            <v>2.6775471726089201E-5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H503">
            <v>3.4425156458926499E-3</v>
          </cell>
          <cell r="I503">
            <v>3.7766324843451391E-5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H508">
            <v>1861.6305649380199</v>
          </cell>
          <cell r="I508">
            <v>607.37628935055602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H509">
            <v>26.295084072904888</v>
          </cell>
          <cell r="I509">
            <v>11.722792570891228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H510">
            <v>25.22534640837425</v>
          </cell>
          <cell r="I510">
            <v>8.2300310210102552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H511">
            <v>1.4619367731199082</v>
          </cell>
          <cell r="I511">
            <v>3.6676105773945591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H512">
            <v>2.7241687777329052E-2</v>
          </cell>
          <cell r="I512">
            <v>0.86417951862531728</v>
          </cell>
          <cell r="J512">
            <v>1.9038346576827863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H513">
            <v>2.3681113557143304E-3</v>
          </cell>
          <cell r="I513">
            <v>7.4213043782094132E-2</v>
          </cell>
          <cell r="J513">
            <v>0.16043438178609573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H514">
            <v>8.7292580031200703E-3</v>
          </cell>
          <cell r="I514">
            <v>0.28870292106078899</v>
          </cell>
          <cell r="J514">
            <v>0.65067831412375499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H515">
            <v>9.4449549910986322E-3</v>
          </cell>
          <cell r="I515">
            <v>0.29752266555519008</v>
          </cell>
          <cell r="J515">
            <v>0.79699601794965635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H516">
            <v>2.5781372477289748E-3</v>
          </cell>
          <cell r="I516">
            <v>2.4822775911751485E-3</v>
          </cell>
          <cell r="J516">
            <v>1.6318900060007342E-3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H517">
            <v>3.9871933826245647E-4</v>
          </cell>
          <cell r="I517">
            <v>3.7960347714655231E-4</v>
          </cell>
          <cell r="J517">
            <v>2.4591673930429253E-4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H518">
            <v>5.2760950119254998E-4</v>
          </cell>
          <cell r="I518">
            <v>3.0650047028014298E-4</v>
          </cell>
          <cell r="J518">
            <v>2.6106253257207E-4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H519">
            <v>9.6641408068571253E-4</v>
          </cell>
          <cell r="I519">
            <v>9.366923034653127E-4</v>
          </cell>
          <cell r="J519">
            <v>6.4172374526120938E-4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H520">
            <v>1.7159019025296499E-3</v>
          </cell>
          <cell r="I520">
            <v>1.4720061349310753E-3</v>
          </cell>
          <cell r="J520">
            <v>8.5015399858125813E-4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H521">
            <v>4.1275423199237495E-4</v>
          </cell>
          <cell r="I521">
            <v>3.4959693959414959E-4</v>
          </cell>
          <cell r="J521">
            <v>1.9615760240829927E-4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H522">
            <v>1.2600384893171599E-4</v>
          </cell>
          <cell r="I522">
            <v>1.07946803575301E-4</v>
          </cell>
          <cell r="J522">
            <v>9.8868306289537694E-5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H523">
            <v>6.5663964471145749E-4</v>
          </cell>
          <cell r="I523">
            <v>5.6839686635991695E-4</v>
          </cell>
          <cell r="J523">
            <v>3.3359168427952036E-4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H524">
            <v>1.5918743864447658E-3</v>
          </cell>
          <cell r="I524">
            <v>1.8600085161376856E-3</v>
          </cell>
          <cell r="J524">
            <v>1.1544577262348091E-3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H525">
            <v>4.1526280755711472E-4</v>
          </cell>
          <cell r="I525">
            <v>4.8197858679949792E-4</v>
          </cell>
          <cell r="J525">
            <v>2.9127705712449339E-4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H526">
            <v>1.1774399942212699E-4</v>
          </cell>
          <cell r="I526">
            <v>1.0857841210918E-4</v>
          </cell>
          <cell r="J526">
            <v>8.9552537299477506E-5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H527">
            <v>6.0839175107520313E-4</v>
          </cell>
          <cell r="I527">
            <v>7.1622961185143646E-4</v>
          </cell>
          <cell r="J527">
            <v>4.5338334123984234E-4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H531">
            <v>0.1492767981159181</v>
          </cell>
          <cell r="I531">
            <v>0.39648861252776546</v>
          </cell>
          <cell r="J531">
            <v>18.781003233137934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H532">
            <v>3.8873122189254472E-4</v>
          </cell>
          <cell r="I532">
            <v>1.0894357078295341E-3</v>
          </cell>
          <cell r="J532">
            <v>5.759454558071609E-2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H533">
            <v>2.0365183917587784E-3</v>
          </cell>
          <cell r="I533">
            <v>5.4091215897375958E-3</v>
          </cell>
          <cell r="J533">
            <v>0.25622105365808878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H534">
            <v>6.6819641949474496E-6</v>
          </cell>
          <cell r="I534">
            <v>1.5631777724024301E-5</v>
          </cell>
          <cell r="J534">
            <v>1.5413890817306799E-3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H535">
            <v>8.7088065748480543E-6</v>
          </cell>
          <cell r="I535">
            <v>2.2554147371611799E-5</v>
          </cell>
          <cell r="J535">
            <v>1.5503985642156307E-3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H536">
            <v>0.13925209933083799</v>
          </cell>
          <cell r="I536">
            <v>0.16834630942230477</v>
          </cell>
          <cell r="J536">
            <v>8.1357166159003805E-2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H537">
            <v>2.5567628714326087E-4</v>
          </cell>
          <cell r="I537">
            <v>3.2756940453280341E-4</v>
          </cell>
          <cell r="J537">
            <v>1.6739792519701675E-4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H538">
            <v>1.8997557889609555E-3</v>
          </cell>
          <cell r="I538">
            <v>2.2966754355021129E-3</v>
          </cell>
          <cell r="J538">
            <v>1.1099204114461631E-3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H539">
            <v>3.1056998906292201E-6</v>
          </cell>
          <cell r="I539">
            <v>3.2009528553626801E-6</v>
          </cell>
          <cell r="J539">
            <v>1.37648825666065E-6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H540">
            <v>5.2371002778496777E-6</v>
          </cell>
          <cell r="I540">
            <v>6.5297016711993604E-6</v>
          </cell>
          <cell r="J540">
            <v>3.5267980852271501E-6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H541">
            <v>44.588527073319753</v>
          </cell>
          <cell r="I541">
            <v>50.762480581215186</v>
          </cell>
          <cell r="J541">
            <v>2.8434829290963632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H542">
            <v>5.6904314411153456E-2</v>
          </cell>
          <cell r="I542">
            <v>6.549632982372712E-2</v>
          </cell>
          <cell r="J542">
            <v>3.8345092479663478E-3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H543">
            <v>0.60830187003164682</v>
          </cell>
          <cell r="I543">
            <v>0.69253043084877541</v>
          </cell>
          <cell r="J543">
            <v>3.8792400124097709E-2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H544">
            <v>1.02660667337588E-3</v>
          </cell>
          <cell r="I544">
            <v>2.0868354624409201E-4</v>
          </cell>
          <cell r="J544">
            <v>9.4950253698419401E-7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H545">
            <v>1.0733590916043E-3</v>
          </cell>
          <cell r="I545">
            <v>1.23529021961997E-3</v>
          </cell>
          <cell r="J545">
            <v>7.2428050971541405E-5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H546">
            <v>63.928133430823472</v>
          </cell>
          <cell r="I546">
            <v>32.569620192402823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H547">
            <v>0.76457924673376398</v>
          </cell>
          <cell r="I547">
            <v>0.38988892798879193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H548">
            <v>0.86623487033636182</v>
          </cell>
          <cell r="I548">
            <v>0.44132276683472771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H549">
            <v>1.3639756383703699E-3</v>
          </cell>
          <cell r="I549">
            <v>1.5210624867408901E-3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H550">
            <v>0.11616409847763462</v>
          </cell>
          <cell r="I550">
            <v>5.9245946617605141E-2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H551">
            <v>8.2621386747991112E-3</v>
          </cell>
          <cell r="I551">
            <v>1.141771873604638E-2</v>
          </cell>
          <cell r="J551">
            <v>1.860953118102894E-3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H552">
            <v>7.1054084329866696E-6</v>
          </cell>
          <cell r="I552">
            <v>1.0140130923646817E-5</v>
          </cell>
          <cell r="J552">
            <v>1.7953367242159544E-6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H553">
            <v>1.1271676227556772E-4</v>
          </cell>
          <cell r="I553">
            <v>1.5576696774960961E-4</v>
          </cell>
          <cell r="J553">
            <v>2.5388173507542913E-5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H554">
            <v>1.4899477380836901E-7</v>
          </cell>
          <cell r="I554">
            <v>1.2519947225097099E-7</v>
          </cell>
          <cell r="J554">
            <v>3.2701369025255801E-8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H555">
            <v>1.66002436881213E-7</v>
          </cell>
          <cell r="I555">
            <v>2.2696086297234601E-7</v>
          </cell>
          <cell r="J555">
            <v>5.4672453678994399E-8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H556">
            <v>4.32287607763382E-2</v>
          </cell>
          <cell r="I556">
            <v>4.3820449653167101E-2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H557">
            <v>2.3903050676763165E-6</v>
          </cell>
          <cell r="I557">
            <v>2.4230221036350712E-6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H558">
            <v>5.897511702092522E-4</v>
          </cell>
          <cell r="I558">
            <v>5.9782332405412147E-4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H560">
            <v>3.7960222820299289E-7</v>
          </cell>
          <cell r="I560">
            <v>3.7828573852999358E-7</v>
          </cell>
          <cell r="J560">
            <v>1.1559560195709877E-7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H561">
            <v>255.43669169900875</v>
          </cell>
          <cell r="I561">
            <v>109.60180610249118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H562">
            <v>3.2254205224295545</v>
          </cell>
          <cell r="I562">
            <v>1.1448530833790176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H563">
            <v>3.4612017845394187</v>
          </cell>
          <cell r="I563">
            <v>1.4851193238819911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H564">
            <v>2.2523862803681599E-4</v>
          </cell>
          <cell r="I564">
            <v>2.0506850859213001E-4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H565">
            <v>0.31173167762897541</v>
          </cell>
          <cell r="I565">
            <v>0.12070996783784416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H566">
            <v>1.43967368086782E-5</v>
          </cell>
          <cell r="I566">
            <v>1.07702448032522E-4</v>
          </cell>
          <cell r="J566">
            <v>7.4161191909950998E-6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H567">
            <v>2.2566168931975502E-5</v>
          </cell>
          <cell r="I567">
            <v>1.2368962908581761E-4</v>
          </cell>
          <cell r="J567">
            <v>1.166629719385992E-4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H568">
            <v>54.13229767318893</v>
          </cell>
          <cell r="I568">
            <v>115.00592485783903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H569">
            <v>0.71991830840209547</v>
          </cell>
          <cell r="I569">
            <v>1.492783707893347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H570">
            <v>0.73850337889752937</v>
          </cell>
          <cell r="I570">
            <v>1.5689757825080368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H571">
            <v>9.8362383499771597E-2</v>
          </cell>
          <cell r="I571">
            <v>0.14880167430442701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H572">
            <v>0.10938203587650096</v>
          </cell>
          <cell r="I572">
            <v>0.22685905478268026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H573">
            <v>14.196942890195285</v>
          </cell>
          <cell r="I573">
            <v>0.10783818195963807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H574">
            <v>0.48755874341229977</v>
          </cell>
          <cell r="I574">
            <v>1.0933308002423912E-3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H575">
            <v>0.19237049986714536</v>
          </cell>
          <cell r="I575">
            <v>1.4612219777728728E-3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H576">
            <v>3.0043696834395399E-5</v>
          </cell>
          <cell r="I576">
            <v>1.8540031988753299E-5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H577">
            <v>3.3570071120388338E-2</v>
          </cell>
          <cell r="I577">
            <v>8.4166125190737626E-5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H578">
            <v>271.55780450393019</v>
          </cell>
          <cell r="I578">
            <v>116.15198449527526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H579">
            <v>3.5410411218437092</v>
          </cell>
          <cell r="I579">
            <v>1.2149650929282079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H580">
            <v>3.7047449454833594</v>
          </cell>
          <cell r="I580">
            <v>1.5846109753789284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H581">
            <v>2.8681571938016199E-4</v>
          </cell>
          <cell r="I581">
            <v>2.41273495765174E-4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H582">
            <v>0.33551058849754684</v>
          </cell>
          <cell r="I582">
            <v>0.12810263776424224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H583">
            <v>0.13741216616784649</v>
          </cell>
          <cell r="I583">
            <v>0.10606068712256415</v>
          </cell>
          <cell r="J583">
            <v>8.2781503759226951E-2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H584">
            <v>0.13741216616784649</v>
          </cell>
          <cell r="I584">
            <v>0.10606068712256415</v>
          </cell>
          <cell r="J584">
            <v>8.2781503759226951E-2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H585">
            <v>8.5444372981117106E-5</v>
          </cell>
          <cell r="I585">
            <v>1.00302882468626E-2</v>
          </cell>
          <cell r="J585">
            <v>5.0258046679186302E-3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H586">
            <v>1.8236587640054199E-2</v>
          </cell>
          <cell r="I586">
            <v>1.3326839317835499E-2</v>
          </cell>
          <cell r="J586">
            <v>1.00710418002063E-2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H587">
            <v>1.2980875965801193</v>
          </cell>
          <cell r="I587">
            <v>0.11629802259612076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H588">
            <v>2.6750310129485311E-2</v>
          </cell>
          <cell r="I588">
            <v>1.1121769333468214E-3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H589">
            <v>1.7589262826288841E-2</v>
          </cell>
          <cell r="I589">
            <v>1.5758539647170867E-3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H590">
            <v>4.2526761425313302E-5</v>
          </cell>
          <cell r="I590">
            <v>2.99238387747513E-5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H591">
            <v>2.2166165526877031E-3</v>
          </cell>
          <cell r="I591">
            <v>1.037495929015833E-4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H592">
            <v>0.62372223816875494</v>
          </cell>
          <cell r="I592">
            <v>0.11019024454015655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H593">
            <v>1.1153390013638709E-2</v>
          </cell>
          <cell r="I593">
            <v>1.0715796302779052E-3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H594">
            <v>8.5091710527797383E-3</v>
          </cell>
          <cell r="I594">
            <v>1.5032775517074581E-3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H595">
            <v>3.1156455607214497E-5</v>
          </cell>
          <cell r="I595">
            <v>1.88005491792423E-5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H596">
            <v>8.010598105983762E-4</v>
          </cell>
          <cell r="I596">
            <v>8.236892992354688E-5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H597">
            <v>0.13099757507735399</v>
          </cell>
          <cell r="I597">
            <v>0.15749101579168184</v>
          </cell>
          <cell r="J597">
            <v>0.15045799702405468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H598">
            <v>0.13099757507735399</v>
          </cell>
          <cell r="I598">
            <v>0.15749101579168184</v>
          </cell>
          <cell r="J598">
            <v>0.15045799702405468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H599">
            <v>2.7387009016374399E-4</v>
          </cell>
          <cell r="I599">
            <v>1.6684215548262799E-2</v>
          </cell>
          <cell r="J599">
            <v>1.03102275200079E-2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H600">
            <v>1.66032775628689E-2</v>
          </cell>
          <cell r="I600">
            <v>1.9846251783416799E-2</v>
          </cell>
          <cell r="J600">
            <v>1.87255109652242E-2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H601">
            <v>1.0501406243669817</v>
          </cell>
          <cell r="I601">
            <v>0.11789642311043055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H602">
            <v>2.138105483876292E-2</v>
          </cell>
          <cell r="I602">
            <v>1.1341158978972585E-3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H603">
            <v>1.4326611519331282E-2</v>
          </cell>
          <cell r="I603">
            <v>1.6084095922296131E-3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H604">
            <v>4.4260558601811799E-5</v>
          </cell>
          <cell r="I604">
            <v>3.0447641548085101E-5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H605">
            <v>1.7820468395046351E-3</v>
          </cell>
          <cell r="I605">
            <v>1.0563227189390401E-4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H606">
            <v>2.7015014263352395E-3</v>
          </cell>
          <cell r="I606">
            <v>1.822306782769428E-2</v>
          </cell>
          <cell r="J606">
            <v>4.2278392687537893E-2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H607">
            <v>2.7015014263352395E-3</v>
          </cell>
          <cell r="I607">
            <v>1.822306782769428E-2</v>
          </cell>
          <cell r="J607">
            <v>4.2278392687537893E-2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H608">
            <v>2.2502067233995499E-4</v>
          </cell>
          <cell r="I608">
            <v>2.0045399368698201E-3</v>
          </cell>
          <cell r="J608">
            <v>4.5142955937935497E-3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H609">
            <v>3.2948200781081902E-4</v>
          </cell>
          <cell r="I609">
            <v>2.2295606092097801E-3</v>
          </cell>
          <cell r="J609">
            <v>5.20089311211903E-3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H610">
            <v>4.812653819099959E-4</v>
          </cell>
          <cell r="I610">
            <v>6.2041534319347215E-4</v>
          </cell>
          <cell r="J610">
            <v>4.7573212954694194E-4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H611">
            <v>4.812653819099959E-4</v>
          </cell>
          <cell r="I611">
            <v>6.2041534319347215E-4</v>
          </cell>
          <cell r="J611">
            <v>4.7573212954694194E-4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H612">
            <v>5.6765798149874998E-5</v>
          </cell>
          <cell r="I612">
            <v>5.5883633033443102E-5</v>
          </cell>
          <cell r="J612">
            <v>7.8528529849901602E-5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H613">
            <v>6.9196662638857406E-5</v>
          </cell>
          <cell r="I613">
            <v>9.4653896026490597E-5</v>
          </cell>
          <cell r="J613">
            <v>8.8335472403740706E-5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I614">
            <v>9.0843245992805759E-4</v>
          </cell>
          <cell r="J614">
            <v>8.9567764375822446E-4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I615">
            <v>9.0843245992805759E-4</v>
          </cell>
          <cell r="J615">
            <v>8.959382881284176E-4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H616">
            <v>1.6112511703455699E-7</v>
          </cell>
          <cell r="I616">
            <v>2.0922951350623199E-5</v>
          </cell>
          <cell r="J616">
            <v>1.76820596863942E-6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H617">
            <v>7.2535603434151002E-4</v>
          </cell>
          <cell r="I617">
            <v>7.4627898569213302E-4</v>
          </cell>
          <cell r="J617">
            <v>7.4804719166077303E-4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H618">
            <v>1080.658856860628</v>
          </cell>
          <cell r="I618">
            <v>1125.8211106010399</v>
          </cell>
          <cell r="J618">
            <v>141.0647506756286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H619">
            <v>2.4099850139357151</v>
          </cell>
          <cell r="I619">
            <v>2.5107016776811482</v>
          </cell>
          <cell r="J619">
            <v>0.31458950524910012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H620">
            <v>14.742958483773911</v>
          </cell>
          <cell r="I620">
            <v>15.359087457040117</v>
          </cell>
          <cell r="J620">
            <v>1.924485002396024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H621">
            <v>4.0438531611385997E-2</v>
          </cell>
          <cell r="I621">
            <v>2.1552258660439201E-2</v>
          </cell>
          <cell r="J621">
            <v>4.2322506701477402E-3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H622">
            <v>4.7225581708591424E-2</v>
          </cell>
          <cell r="I622">
            <v>4.9171222133598001E-2</v>
          </cell>
          <cell r="J622">
            <v>8.0144271521585004E-3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H623">
            <v>100.545273715698</v>
          </cell>
          <cell r="I623">
            <v>24.664672310434199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H624">
            <v>1.36081936597645</v>
          </cell>
          <cell r="I624">
            <v>0.33382139701969199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H625">
            <v>1.3811163971936535</v>
          </cell>
          <cell r="I625">
            <v>0.33880044382464364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H626">
            <v>0.1142326688014307</v>
          </cell>
          <cell r="I626">
            <v>0.11839994233759035</v>
          </cell>
          <cell r="J626">
            <v>7.025803267300107E-2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H627">
            <v>0.24258278469258715</v>
          </cell>
          <cell r="I627">
            <v>0.25058477454743189</v>
          </cell>
          <cell r="J627">
            <v>0.13466736002341126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H628">
            <v>2.5956950681737798E-3</v>
          </cell>
          <cell r="I628">
            <v>1.4445944271353599E-4</v>
          </cell>
          <cell r="J628">
            <v>1.1113192708979E-3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H629">
            <v>2.6121636572856402E-3</v>
          </cell>
          <cell r="I629">
            <v>2.6662540741587732E-3</v>
          </cell>
          <cell r="J629">
            <v>1.6259669626466798E-3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  <cell r="I630">
            <v>1.11898856958373E-4</v>
          </cell>
          <cell r="J630">
            <v>1.35260464436968E-4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  <cell r="I631">
            <v>6.2392089940426087E-5</v>
          </cell>
          <cell r="J631">
            <v>7.5417955928491163E-5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  <cell r="H632">
            <v>3.5415882078298498E-6</v>
          </cell>
          <cell r="I632">
            <v>1.09932653078548E-4</v>
          </cell>
          <cell r="J632">
            <v>1.04048502897085E-5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  <cell r="H633">
            <v>3.5415882078298498E-6</v>
          </cell>
          <cell r="I633">
            <v>1.1266218237753377E-4</v>
          </cell>
          <cell r="J633">
            <v>1.1877980770669959E-4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H634">
            <v>4.1124677813407486E-2</v>
          </cell>
          <cell r="I634">
            <v>4.2812347693116849E-2</v>
          </cell>
          <cell r="J634">
            <v>4.597986864826429E-2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H635">
            <v>0.12114439410912085</v>
          </cell>
          <cell r="I635">
            <v>0.12462774161729301</v>
          </cell>
          <cell r="J635">
            <v>0.1203381870095122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H636">
            <v>6.9594643357067103E-4</v>
          </cell>
          <cell r="I636">
            <v>1.09696545285592E-4</v>
          </cell>
          <cell r="J636">
            <v>6.9057734096083004E-4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H637">
            <v>7.7674365288555593E-4</v>
          </cell>
          <cell r="I637">
            <v>8.0826572208708095E-4</v>
          </cell>
          <cell r="J637">
            <v>8.6770765553628346E-4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H638">
            <v>0.1872578728810167</v>
          </cell>
          <cell r="I638">
            <v>0.23986526961292198</v>
          </cell>
          <cell r="J638">
            <v>5.2102963661477694E-2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H639">
            <v>3.0324921848580785E-4</v>
          </cell>
          <cell r="I639">
            <v>3.8844270968636059E-4</v>
          </cell>
          <cell r="J639">
            <v>8.4376601998341591E-5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H640">
            <v>2.554677665498183E-3</v>
          </cell>
          <cell r="I640">
            <v>3.2723774844873378E-3</v>
          </cell>
          <cell r="J640">
            <v>7.1081805813748614E-4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H641">
            <v>5.9097144716261903E-6</v>
          </cell>
          <cell r="I641">
            <v>5.0753884043460896E-6</v>
          </cell>
          <cell r="J641">
            <v>1.07849717165815E-6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H642">
            <v>7.0686133778336203E-6</v>
          </cell>
          <cell r="I642">
            <v>9.1116424824413599E-6</v>
          </cell>
          <cell r="J642">
            <v>1.9691701615487001E-6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H643">
            <v>0.24297747396920921</v>
          </cell>
          <cell r="I643">
            <v>0.25087583394924917</v>
          </cell>
          <cell r="J643">
            <v>0.13488327724402946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H644">
            <v>0.24297747396920921</v>
          </cell>
          <cell r="I644">
            <v>0.25087583394924917</v>
          </cell>
          <cell r="J644">
            <v>0.13488327724402946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H645">
            <v>5.3141206511196203E-4</v>
          </cell>
          <cell r="I645">
            <v>2.1587044517890199E-2</v>
          </cell>
          <cell r="J645">
            <v>3.3393559609401499E-3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H646">
            <v>2.5725012537045001E-2</v>
          </cell>
          <cell r="I646">
            <v>2.65210944596047E-2</v>
          </cell>
          <cell r="J646">
            <v>1.42586297602548E-2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H647">
            <v>0.18159398787298292</v>
          </cell>
          <cell r="I647">
            <v>9.6073892357273899E-2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H648">
            <v>1.8679456796144374E-3</v>
          </cell>
          <cell r="I648">
            <v>1.0161311887949716E-3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H649">
            <v>2.4774077472439681E-3</v>
          </cell>
          <cell r="I649">
            <v>1.3106943022820443E-3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H650">
            <v>0.12393832010059368</v>
          </cell>
          <cell r="I650">
            <v>0.12303859815613415</v>
          </cell>
          <cell r="J650">
            <v>0.19784763724143845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H651">
            <v>0.56686072545659705</v>
          </cell>
          <cell r="I651">
            <v>0.52086307130387188</v>
          </cell>
          <cell r="J651">
            <v>0.76653853307092712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H652">
            <v>5.5399668343554802E-4</v>
          </cell>
          <cell r="I652">
            <v>1.76644913695887E-3</v>
          </cell>
          <cell r="J652">
            <v>3.1260201955171699E-3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H653">
            <v>2.3375888484433367E-3</v>
          </cell>
          <cell r="I653">
            <v>2.3204458203944199E-3</v>
          </cell>
          <cell r="J653">
            <v>3.7310665562187901E-3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H654">
            <v>0.12147535761523053</v>
          </cell>
          <cell r="I654">
            <v>0.12488917025081418</v>
          </cell>
          <cell r="J654">
            <v>0.12052676135318992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H655">
            <v>0.12147535761523053</v>
          </cell>
          <cell r="I655">
            <v>0.12488917025081418</v>
          </cell>
          <cell r="J655">
            <v>0.12052676135318992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H656">
            <v>5.7627979098994299E-4</v>
          </cell>
          <cell r="I656">
            <v>1.05018071531319E-2</v>
          </cell>
          <cell r="J656">
            <v>7.3733907084290902E-3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H657">
            <v>1.28555581381218E-2</v>
          </cell>
          <cell r="I657">
            <v>1.3206192274746001E-2</v>
          </cell>
          <cell r="J657">
            <v>1.2741233104700401E-2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H658">
            <v>2.163832118578104</v>
          </cell>
          <cell r="I658">
            <v>1.444849363893284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H659">
            <v>1.8512034426918633E-2</v>
          </cell>
          <cell r="I659">
            <v>1.2965839664277891E-2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H660">
            <v>2.9520219898746335E-2</v>
          </cell>
          <cell r="I660">
            <v>1.9711451076306737E-2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H661">
            <v>3.204152732933642E-5</v>
          </cell>
          <cell r="I661">
            <v>3.7384953166133939E-5</v>
          </cell>
          <cell r="J661">
            <v>1.8803586467717389E-5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H662">
            <v>2.1310425374415545E-4</v>
          </cell>
          <cell r="I662">
            <v>2.3837335323873213E-4</v>
          </cell>
          <cell r="J662">
            <v>1.1096152866971259E-4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H663">
            <v>7.3938181196701797E-7</v>
          </cell>
          <cell r="I663">
            <v>7.5144794960181902E-7</v>
          </cell>
          <cell r="J663">
            <v>3.1123669475341701E-7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H664">
            <v>8.5763164445061599E-7</v>
          </cell>
          <cell r="I664">
            <v>1.0476082257505191E-6</v>
          </cell>
          <cell r="J664">
            <v>4.4310727069709398E-7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H665">
            <v>1.7828875899695513</v>
          </cell>
          <cell r="I665">
            <v>1.1886199087143801</v>
          </cell>
          <cell r="J665">
            <v>5.9106232002635499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H666">
            <v>1.18967301001296</v>
          </cell>
          <cell r="I666">
            <v>1.7868134790761001</v>
          </cell>
          <cell r="J666">
            <v>1.6907793352003599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H667">
            <v>3.0168972633463236</v>
          </cell>
          <cell r="I667">
            <v>3.0198119202179572</v>
          </cell>
          <cell r="J667">
            <v>7.7147755372397286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H668">
            <v>0.56704474364106139</v>
          </cell>
          <cell r="I668">
            <v>0.52102729972857464</v>
          </cell>
          <cell r="J668">
            <v>0.76670233643210184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H669">
            <v>0.56704474364106139</v>
          </cell>
          <cell r="I669">
            <v>0.52102729972857464</v>
          </cell>
          <cell r="J669">
            <v>0.76670233643210184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H670">
            <v>1.3921235258632101E-2</v>
          </cell>
          <cell r="I670">
            <v>4.1152413511546297E-2</v>
          </cell>
          <cell r="J670">
            <v>6.6944666904460895E-2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H671">
            <v>5.9937482401774302E-2</v>
          </cell>
          <cell r="I671">
            <v>5.5073648770178299E-2</v>
          </cell>
          <cell r="J671">
            <v>8.1040242886974506E-2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H672">
            <v>182.75164840831209</v>
          </cell>
          <cell r="I672">
            <v>55.277220167180417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H673">
            <v>1.4616822699370382</v>
          </cell>
          <cell r="I673">
            <v>0.46665214076947986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H674">
            <v>2.4932012061161277</v>
          </cell>
          <cell r="I674">
            <v>0.7541230582152858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H675">
            <v>5.087162596652022E-4</v>
          </cell>
          <cell r="I675">
            <v>5.5294827180253463E-4</v>
          </cell>
          <cell r="J675">
            <v>3.3677020988930653E-4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H676">
            <v>5.087162596652022E-4</v>
          </cell>
          <cell r="I676">
            <v>5.5294827180253463E-4</v>
          </cell>
          <cell r="J676">
            <v>3.3677020988930653E-4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H677">
            <v>1.0489396834461801E-4</v>
          </cell>
          <cell r="I677">
            <v>1.24042534083015E-4</v>
          </cell>
          <cell r="J677">
            <v>4.6403087290066501E-5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H678">
            <v>1.29567089872372E-4</v>
          </cell>
          <cell r="I678">
            <v>1.9568367842785401E-4</v>
          </cell>
          <cell r="J678">
            <v>6.8171142442399898E-5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I679">
            <v>8.9906623809916431E-6</v>
          </cell>
          <cell r="J679">
            <v>7.1199327497383784E-6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I680">
            <v>7.7258452285663008E-6</v>
          </cell>
          <cell r="J680">
            <v>5.3827444710566837E-6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H681">
            <v>8.6925552435864604E-7</v>
          </cell>
          <cell r="I681">
            <v>4.6640542572433502E-7</v>
          </cell>
          <cell r="J681">
            <v>7.0134848446012902E-7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H682">
            <v>4.0499099549325598E-6</v>
          </cell>
          <cell r="I682">
            <v>1.3564459323309089E-6</v>
          </cell>
          <cell r="J682">
            <v>1.0484284814995606E-6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H687">
            <v>3.2023873258990023E-9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H688">
            <v>0.94256884618903269</v>
          </cell>
          <cell r="I688">
            <v>0.33238846815473189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H689">
            <v>7.0865169735979559E-3</v>
          </cell>
          <cell r="I689">
            <v>2.5749670283288376E-3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H690">
            <v>1.2859056564652572E-2</v>
          </cell>
          <cell r="I690">
            <v>4.534631216299218E-3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I691">
            <v>1.1443586198810627E-5</v>
          </cell>
          <cell r="J691">
            <v>1.2731465170848334E-5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I692">
            <v>1.1912587888964161E-5</v>
          </cell>
          <cell r="J692">
            <v>1.1789880529431836E-5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H693">
            <v>8.20064430755591E-7</v>
          </cell>
          <cell r="I693">
            <v>4.4157072857171002E-7</v>
          </cell>
          <cell r="J693">
            <v>7.4799436385457298E-7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H694">
            <v>1.6098644780560233E-8</v>
          </cell>
          <cell r="I694">
            <v>1.059783814287384E-6</v>
          </cell>
          <cell r="J694">
            <v>1.0664090594173101E-6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H699">
            <v>1.9709227795089827E-9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I700">
            <v>1.0992902654694717E-3</v>
          </cell>
          <cell r="J700">
            <v>9.5830356283606701E-4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I701">
            <v>2.3104210664896119E-4</v>
          </cell>
          <cell r="J701">
            <v>1.9684752496361766E-4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H702">
            <v>1.6148152914629199E-4</v>
          </cell>
          <cell r="I702">
            <v>2.6064454632748898E-4</v>
          </cell>
          <cell r="J702">
            <v>2.25970700541283E-4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H703">
            <v>1.9156735423492787E-4</v>
          </cell>
          <cell r="I703">
            <v>4.2736437264428377E-4</v>
          </cell>
          <cell r="J703">
            <v>3.8490893402038832E-4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H704">
            <v>5.959285387509919E-3</v>
          </cell>
          <cell r="I704">
            <v>7.5523386424400166E-2</v>
          </cell>
          <cell r="J704">
            <v>0.16116944170288958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H705">
            <v>5.959285387509919E-3</v>
          </cell>
          <cell r="I705">
            <v>7.5523386424400166E-2</v>
          </cell>
          <cell r="J705">
            <v>0.16116944170288958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H706">
            <v>4.87457737567293E-4</v>
          </cell>
          <cell r="I706">
            <v>7.47240173296497E-3</v>
          </cell>
          <cell r="J706">
            <v>1.3203714002780099E-2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H707">
            <v>6.3475085706035195E-4</v>
          </cell>
          <cell r="I707">
            <v>7.9850297374483101E-3</v>
          </cell>
          <cell r="J707">
            <v>1.7036706294323401E-2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I708">
            <v>1.147959116105426E-5</v>
          </cell>
          <cell r="J708">
            <v>1.4371339304192721E-5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I709">
            <v>1.2782427041457474E-5</v>
          </cell>
          <cell r="J709">
            <v>1.4161748804521893E-5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H710">
            <v>5.5964700221580604E-7</v>
          </cell>
          <cell r="I710">
            <v>3.9318832713972201E-7</v>
          </cell>
          <cell r="J710">
            <v>7.9288933055540004E-7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H711">
            <v>-5.7018719396560282E-7</v>
          </cell>
          <cell r="I711">
            <v>9.1118514444795714E-7</v>
          </cell>
          <cell r="J711">
            <v>1.01524883309591E-6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I717">
            <v>4.2531995319003131E-4</v>
          </cell>
          <cell r="J717">
            <v>3.8644127128956103E-4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I718">
            <v>1.540733049433025E-4</v>
          </cell>
          <cell r="J718">
            <v>1.373950009853433E-4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H719">
            <v>6.75694799308437E-5</v>
          </cell>
          <cell r="I719">
            <v>8.9403545371762505E-5</v>
          </cell>
          <cell r="J719">
            <v>7.1791394002107203E-5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H720">
            <v>8.5566277994222924E-5</v>
          </cell>
          <cell r="I720">
            <v>1.6628230170540365E-4</v>
          </cell>
          <cell r="J720">
            <v>1.5320611029076152E-4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H721">
            <v>5.8161969714623845E-3</v>
          </cell>
          <cell r="I721">
            <v>4.8156232731917503E-3</v>
          </cell>
          <cell r="J721">
            <v>3.7176700879408579E-3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H722">
            <v>5.8161969714623845E-3</v>
          </cell>
          <cell r="I722">
            <v>4.8156232731917503E-3</v>
          </cell>
          <cell r="J722">
            <v>3.7176700879408579E-3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H723">
            <v>3.99606300457125E-4</v>
          </cell>
          <cell r="I723">
            <v>9.4638401232152708E-6</v>
          </cell>
          <cell r="J723">
            <v>2.5222883067838801E-4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H724">
            <v>6.1799058427796304E-4</v>
          </cell>
          <cell r="I724">
            <v>5.1766708160747401E-4</v>
          </cell>
          <cell r="J724">
            <v>3.9528074433179598E-4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I725">
            <v>1.0439590582917378E-5</v>
          </cell>
          <cell r="J725">
            <v>1.2288903031860939E-5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I726">
            <v>1.1605022615451402E-5</v>
          </cell>
          <cell r="J726">
            <v>1.219368795798892E-5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H727">
            <v>7.9394267449823901E-7</v>
          </cell>
          <cell r="I727">
            <v>4.2935890220990002E-7</v>
          </cell>
          <cell r="J727">
            <v>7.9564531394526897E-7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H728">
            <v>-1.1630892672683985E-7</v>
          </cell>
          <cell r="I728">
            <v>9.9846215327601086E-7</v>
          </cell>
          <cell r="J728">
            <v>1.094381140178E-6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H734">
            <v>3.6282915808200861E-3</v>
          </cell>
          <cell r="I734">
            <v>5.218703363624626E-3</v>
          </cell>
          <cell r="J734">
            <v>7.0663541895143611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H735">
            <v>3.6282915808200861E-3</v>
          </cell>
          <cell r="I735">
            <v>5.218703363624626E-3</v>
          </cell>
          <cell r="J735">
            <v>7.0663541895143611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H736">
            <v>4.07991966120096E-4</v>
          </cell>
          <cell r="I736">
            <v>4.3325665217992099E-4</v>
          </cell>
          <cell r="J736">
            <v>0.89151626470338996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H737">
            <v>5.0700745718292798E-4</v>
          </cell>
          <cell r="I737">
            <v>7.1190957948948704E-4</v>
          </cell>
          <cell r="J737">
            <v>0.89159229632245895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  <cell r="I738">
            <v>2.1249710406193078E-4</v>
          </cell>
          <cell r="J738">
            <v>2.5562306199089719E-4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  <cell r="I739">
            <v>1.1832673982157941E-4</v>
          </cell>
          <cell r="J739">
            <v>1.3976486267626616E-4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H740">
            <v>2.79889823275377E-5</v>
          </cell>
          <cell r="I740">
            <v>3.7290827364781602E-5</v>
          </cell>
          <cell r="J740">
            <v>3.6607340782300203E-5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H741">
            <v>4.4872300462474698E-5</v>
          </cell>
          <cell r="I741">
            <v>8.2224645139923963E-5</v>
          </cell>
          <cell r="J741">
            <v>1.005395793154614E-4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H742">
            <v>7.9990344877580687E-3</v>
          </cell>
          <cell r="I742">
            <v>7.7642393422856859E-3</v>
          </cell>
          <cell r="J742">
            <v>5.3433640337656211E-3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H743">
            <v>7.9990344877580687E-3</v>
          </cell>
          <cell r="I743">
            <v>7.7642393422856859E-3</v>
          </cell>
          <cell r="J743">
            <v>5.3433640337656211E-3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H744">
            <v>4.1757768852788301E-4</v>
          </cell>
          <cell r="I744">
            <v>1.05085832847244E-4</v>
          </cell>
          <cell r="J744">
            <v>7.1952209462831999E-5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H745">
            <v>8.5050864810471002E-4</v>
          </cell>
          <cell r="I745">
            <v>8.2293275707498697E-4</v>
          </cell>
          <cell r="J745">
            <v>5.6745589447486497E-4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  <cell r="I746">
            <v>1.1737754611710509E-4</v>
          </cell>
          <cell r="J746">
            <v>1.6362367553012164E-4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  <cell r="I747">
            <v>7.3392956468330947E-5</v>
          </cell>
          <cell r="J747">
            <v>1.0059321974552571E-4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H748">
            <v>1.4530938329821899E-5</v>
          </cell>
          <cell r="I748">
            <v>2.1979071172998201E-5</v>
          </cell>
          <cell r="J748">
            <v>2.1245648866994099E-5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H749">
            <v>2.2624731906773749E-5</v>
          </cell>
          <cell r="I749">
            <v>4.4694997205129035E-5</v>
          </cell>
          <cell r="J749">
            <v>6.3077999184600516E-5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H750">
            <v>7.8700347153777411E-3</v>
          </cell>
          <cell r="I750">
            <v>8.5955481932932093E-3</v>
          </cell>
          <cell r="J750">
            <v>8.0930954842199348E-3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H751">
            <v>7.8700347153777411E-3</v>
          </cell>
          <cell r="I751">
            <v>8.5955481932932093E-3</v>
          </cell>
          <cell r="J751">
            <v>8.0930954842199348E-3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H752">
            <v>3.98879259359207E-4</v>
          </cell>
          <cell r="I752">
            <v>7.7844299584047195E-5</v>
          </cell>
          <cell r="J752">
            <v>2.2784970129866499E-4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H753">
            <v>8.35913649797915E-4</v>
          </cell>
          <cell r="I753">
            <v>9.13757949381962E-4</v>
          </cell>
          <cell r="J753">
            <v>8.5775114111621899E-4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H754">
            <v>8.7496326796495101E-5</v>
          </cell>
          <cell r="I754">
            <v>5.98866643884426E-5</v>
          </cell>
          <cell r="J754">
            <v>5.07334661983268E-5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H755">
            <v>2.254496610920276E-7</v>
          </cell>
          <cell r="I755">
            <v>1.6236281802283658E-7</v>
          </cell>
          <cell r="J755">
            <v>1.5119349405920119E-7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H756">
            <v>1.5513533119945965E-6</v>
          </cell>
          <cell r="I756">
            <v>1.0618202905752237E-6</v>
          </cell>
          <cell r="J756">
            <v>8.99529542523524E-7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H757">
            <v>1.7915180210990401E-8</v>
          </cell>
          <cell r="I757">
            <v>1.6946064519665601E-8</v>
          </cell>
          <cell r="J757">
            <v>1.5664521993949599E-8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H758">
            <v>4.8291809284729982E-8</v>
          </cell>
          <cell r="I758">
            <v>3.82967379900305E-8</v>
          </cell>
          <cell r="J758">
            <v>2.73069735395622E-8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H763">
            <v>4.44150460870086E-9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H777">
            <v>-2.8158212526025301E-9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72.332788066022914</v>
          </cell>
          <cell r="G9">
            <v>87.401620025215891</v>
          </cell>
          <cell r="H9">
            <v>86.971856127313856</v>
          </cell>
        </row>
        <row r="28">
          <cell r="F28">
            <v>0</v>
          </cell>
          <cell r="G28">
            <v>0</v>
          </cell>
          <cell r="H28">
            <v>0</v>
          </cell>
        </row>
      </sheetData>
      <sheetData sheetId="56"/>
      <sheetData sheetId="57"/>
      <sheetData sheetId="58">
        <row r="14">
          <cell r="F14">
            <v>62.864125787224935</v>
          </cell>
          <cell r="G14">
            <v>62.864129291089768</v>
          </cell>
          <cell r="H14">
            <v>33.826126846145051</v>
          </cell>
        </row>
        <row r="15">
          <cell r="F15">
            <v>71.585479861080117</v>
          </cell>
          <cell r="G15">
            <v>72.148440675854189</v>
          </cell>
          <cell r="H15">
            <v>74.655251711943095</v>
          </cell>
        </row>
        <row r="16">
          <cell r="F16">
            <v>63.394822178807196</v>
          </cell>
          <cell r="G16">
            <v>62.831869373152443</v>
          </cell>
          <cell r="H16">
            <v>60.662379421265889</v>
          </cell>
        </row>
        <row r="17">
          <cell r="F17">
            <v>12.707711576905044</v>
          </cell>
          <cell r="G17">
            <v>12.799755193665227</v>
          </cell>
          <cell r="H17">
            <v>13.064832469055229</v>
          </cell>
        </row>
        <row r="18">
          <cell r="F18">
            <v>1.3292607996829805E-3</v>
          </cell>
          <cell r="G18">
            <v>2.4973684970643626E-4</v>
          </cell>
          <cell r="H18">
            <v>8.1765590949541309E-5</v>
          </cell>
        </row>
        <row r="19">
          <cell r="F19">
            <v>7.4918618872868734</v>
          </cell>
          <cell r="G19">
            <v>7.6680258652852036</v>
          </cell>
          <cell r="H19">
            <v>2.1872869104297963E-3</v>
          </cell>
        </row>
        <row r="20">
          <cell r="F20">
            <v>0</v>
          </cell>
          <cell r="G20">
            <v>0</v>
          </cell>
          <cell r="H20">
            <v>8.5550995963850056</v>
          </cell>
        </row>
        <row r="21">
          <cell r="F21">
            <v>0</v>
          </cell>
          <cell r="G21">
            <v>1.1198988001733588E-3</v>
          </cell>
          <cell r="H21">
            <v>4.8077267279655255E-3</v>
          </cell>
        </row>
        <row r="22">
          <cell r="F22">
            <v>3.1973000927821515E-3</v>
          </cell>
          <cell r="G22">
            <v>6.3684178209644064E-4</v>
          </cell>
          <cell r="H22">
            <v>2.6685772233430955E-2</v>
          </cell>
        </row>
        <row r="23">
          <cell r="F23">
            <v>0</v>
          </cell>
          <cell r="G23">
            <v>0</v>
          </cell>
          <cell r="H23">
            <v>4.9231802302610447E-3</v>
          </cell>
        </row>
        <row r="24">
          <cell r="F24">
            <v>4.9155209091335745E-3</v>
          </cell>
          <cell r="G24">
            <v>5.4978640276426164E-4</v>
          </cell>
          <cell r="H24">
            <v>0.13859996210994632</v>
          </cell>
        </row>
        <row r="25">
          <cell r="F25">
            <v>2.4454152907868397E-3</v>
          </cell>
          <cell r="G25">
            <v>2.2737357822534771E-3</v>
          </cell>
          <cell r="H25">
            <v>1.2980194931589612E-3</v>
          </cell>
        </row>
        <row r="26">
          <cell r="F26">
            <v>1.4328056296987004</v>
          </cell>
          <cell r="G26">
            <v>1.4508226336396544</v>
          </cell>
          <cell r="H26">
            <v>0.19714150281026624</v>
          </cell>
        </row>
        <row r="27">
          <cell r="F27">
            <v>0</v>
          </cell>
          <cell r="G27">
            <v>0</v>
          </cell>
          <cell r="H27">
            <v>1.3701492545253902</v>
          </cell>
        </row>
        <row r="28">
          <cell r="F28">
            <v>7.2397501914781047E-4</v>
          </cell>
          <cell r="G28">
            <v>8.0959801334299164E-5</v>
          </cell>
          <cell r="H28">
            <v>1.9356881226797763E-5</v>
          </cell>
        </row>
        <row r="29">
          <cell r="F29">
            <v>0</v>
          </cell>
          <cell r="G29">
            <v>3.6033751343242859E-4</v>
          </cell>
          <cell r="H29">
            <v>0.59491590865006017</v>
          </cell>
        </row>
        <row r="30">
          <cell r="F30">
            <v>0</v>
          </cell>
          <cell r="G30">
            <v>0.16017310118403544</v>
          </cell>
          <cell r="H30">
            <v>0.16017631786784745</v>
          </cell>
        </row>
        <row r="31">
          <cell r="F31">
            <v>0</v>
          </cell>
          <cell r="G31">
            <v>0</v>
          </cell>
          <cell r="H31">
            <v>2.2120736434052851E-2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0.88048814439042689</v>
          </cell>
          <cell r="G33">
            <v>0.88052878257614553</v>
          </cell>
          <cell r="H33">
            <v>0.88053843110220575</v>
          </cell>
        </row>
        <row r="34">
          <cell r="F34">
            <v>0.19115005553398742</v>
          </cell>
          <cell r="G34">
            <v>0.19186797926130883</v>
          </cell>
          <cell r="H34">
            <v>1.5236548026746457</v>
          </cell>
        </row>
        <row r="35">
          <cell r="F35">
            <v>27.952199311364673</v>
          </cell>
          <cell r="G35">
            <v>35.145616836081508</v>
          </cell>
          <cell r="H35">
            <v>55.292138380096802</v>
          </cell>
        </row>
        <row r="36">
          <cell r="F36">
            <v>4.6138580767758626</v>
          </cell>
          <cell r="G36">
            <v>4.8974019742463524</v>
          </cell>
          <cell r="H36">
            <v>5.517834197817912</v>
          </cell>
        </row>
        <row r="37">
          <cell r="F37">
            <v>4.0150497660213933</v>
          </cell>
          <cell r="G37">
            <v>4.2198783738302748</v>
          </cell>
          <cell r="H37">
            <v>4.6614116495291018</v>
          </cell>
        </row>
        <row r="38">
          <cell r="F38">
            <v>11.2854805570673</v>
          </cell>
          <cell r="G38">
            <v>11.861180055329882</v>
          </cell>
          <cell r="H38">
            <v>13.102201516446467</v>
          </cell>
        </row>
        <row r="39">
          <cell r="F39">
            <v>1.9536753275659683E-2</v>
          </cell>
          <cell r="G39">
            <v>7.898676321372514E-3</v>
          </cell>
          <cell r="H39">
            <v>2.7180730963636971E-3</v>
          </cell>
        </row>
        <row r="40">
          <cell r="F40">
            <v>0</v>
          </cell>
          <cell r="G40">
            <v>0</v>
          </cell>
          <cell r="H40">
            <v>1.6282521501267734E-3</v>
          </cell>
        </row>
        <row r="41">
          <cell r="F41">
            <v>0.16948837113782894</v>
          </cell>
          <cell r="G41">
            <v>5.8541624313109596E-3</v>
          </cell>
          <cell r="H41">
            <v>4.2899419775182239E-2</v>
          </cell>
        </row>
        <row r="42">
          <cell r="F42">
            <v>3.8583801077210618</v>
          </cell>
          <cell r="G42">
            <v>4.4619862870105171</v>
          </cell>
          <cell r="H42">
            <v>3.4985274495448784</v>
          </cell>
        </row>
        <row r="43">
          <cell r="F43">
            <v>0</v>
          </cell>
          <cell r="G43">
            <v>0</v>
          </cell>
          <cell r="H43">
            <v>1.3445230886150112</v>
          </cell>
        </row>
        <row r="44">
          <cell r="F44">
            <v>1.5326390261014486E-3</v>
          </cell>
          <cell r="G44">
            <v>1.2558608583929337E-3</v>
          </cell>
          <cell r="H44">
            <v>2.4681402456599132E-4</v>
          </cell>
        </row>
        <row r="45">
          <cell r="F45">
            <v>0</v>
          </cell>
          <cell r="G45">
            <v>0</v>
          </cell>
          <cell r="H45">
            <v>0.24194197219049121</v>
          </cell>
        </row>
        <row r="46">
          <cell r="F46">
            <v>7.56994958936562E-3</v>
          </cell>
          <cell r="G46">
            <v>5.4377220847546103E-3</v>
          </cell>
          <cell r="H46">
            <v>8.4122990941276676E-2</v>
          </cell>
        </row>
        <row r="47">
          <cell r="F47">
            <v>1.468277100950132E-3</v>
          </cell>
          <cell r="G47">
            <v>9.1153435452655804E-4</v>
          </cell>
          <cell r="H47">
            <v>1.7677287640026523E-3</v>
          </cell>
        </row>
        <row r="48">
          <cell r="F48">
            <v>9.0361811547818582E-3</v>
          </cell>
          <cell r="G48">
            <v>7.1162511106422606E-3</v>
          </cell>
          <cell r="H48">
            <v>2.9151934602616248E-3</v>
          </cell>
        </row>
        <row r="49">
          <cell r="F49">
            <v>1.380788990497938E-3</v>
          </cell>
          <cell r="G49">
            <v>1.4522114390926799E-3</v>
          </cell>
          <cell r="H49">
            <v>9.9845291838779847E-4</v>
          </cell>
        </row>
        <row r="50">
          <cell r="F50">
            <v>2.6528938960166757E-3</v>
          </cell>
          <cell r="G50">
            <v>2.9663262952686112E-3</v>
          </cell>
          <cell r="H50">
            <v>2.8472223560317257E-3</v>
          </cell>
        </row>
        <row r="51">
          <cell r="F51">
            <v>2.1993723269083718</v>
          </cell>
          <cell r="G51">
            <v>2.4432487095247164</v>
          </cell>
          <cell r="H51">
            <v>1.7786934116227365E-2</v>
          </cell>
        </row>
        <row r="52">
          <cell r="F52">
            <v>8.9584744356177581E-3</v>
          </cell>
          <cell r="G52">
            <v>1.009976989149277E-2</v>
          </cell>
          <cell r="H52">
            <v>7.1578095168260292E-3</v>
          </cell>
        </row>
        <row r="53">
          <cell r="F53">
            <v>4.8316407929876407E-3</v>
          </cell>
          <cell r="G53">
            <v>7.3562356540294166E-2</v>
          </cell>
          <cell r="H53">
            <v>1.0168319717853826</v>
          </cell>
        </row>
        <row r="54">
          <cell r="F54">
            <v>1.1059537474818835</v>
          </cell>
          <cell r="G54">
            <v>1.1059546391852546</v>
          </cell>
          <cell r="H54">
            <v>1.1059400478904771</v>
          </cell>
        </row>
        <row r="55">
          <cell r="F55">
            <v>3.6995223963978065E-2</v>
          </cell>
          <cell r="G55">
            <v>1.8753776326444316E-2</v>
          </cell>
          <cell r="H55">
            <v>5.8868226125206673E-4</v>
          </cell>
        </row>
        <row r="56">
          <cell r="F56">
            <v>1.7158846486409075E-3</v>
          </cell>
          <cell r="G56">
            <v>1.5096412612818175E-3</v>
          </cell>
          <cell r="H56">
            <v>7.1926527699324471E-4</v>
          </cell>
        </row>
        <row r="57">
          <cell r="F57">
            <v>3.6300051362187832E-3</v>
          </cell>
          <cell r="G57">
            <v>5.3728913941543596E-3</v>
          </cell>
          <cell r="H57">
            <v>7.2619828539014853E-3</v>
          </cell>
        </row>
        <row r="58">
          <cell r="F58">
            <v>3.4901816329507814E-3</v>
          </cell>
          <cell r="G58">
            <v>4.8196744244007961E-3</v>
          </cell>
          <cell r="H58">
            <v>2.0959582324089543E-3</v>
          </cell>
        </row>
        <row r="70">
          <cell r="F70">
            <v>6.9252479043945192E-3</v>
          </cell>
          <cell r="G70">
            <v>4.1943803166278422E-3</v>
          </cell>
          <cell r="H70">
            <v>9.4385875440153949E-2</v>
          </cell>
        </row>
        <row r="71">
          <cell r="F71">
            <v>5.3029446037478285E-2</v>
          </cell>
          <cell r="G71">
            <v>5.321069605631213E-2</v>
          </cell>
          <cell r="H71">
            <v>0.41676617804465577</v>
          </cell>
        </row>
        <row r="72">
          <cell r="F72">
            <v>3.7874707112608305E-2</v>
          </cell>
          <cell r="G72">
            <v>3.0693026980531623E-2</v>
          </cell>
          <cell r="H72">
            <v>6.4435367561274728E-2</v>
          </cell>
        </row>
        <row r="73">
          <cell r="F73">
            <v>0.40098227339177023</v>
          </cell>
          <cell r="G73">
            <v>0.58324388366246682</v>
          </cell>
          <cell r="H73">
            <v>1.1458121075441323</v>
          </cell>
        </row>
        <row r="74">
          <cell r="F74">
            <v>0.22395090924531863</v>
          </cell>
          <cell r="G74">
            <v>0.21864535371843347</v>
          </cell>
          <cell r="H74">
            <v>0.22747847474729854</v>
          </cell>
        </row>
        <row r="75">
          <cell r="F75">
            <v>0.10010872666927809</v>
          </cell>
          <cell r="G75">
            <v>9.6976007833720318E-2</v>
          </cell>
          <cell r="H75">
            <v>9.9172876506697372E-2</v>
          </cell>
        </row>
        <row r="76">
          <cell r="F76">
            <v>0.21219937688354232</v>
          </cell>
          <cell r="G76">
            <v>0.21476777363874136</v>
          </cell>
          <cell r="H76">
            <v>0.22765744777598002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1.0456459466968819E-2</v>
          </cell>
          <cell r="G91">
            <v>1.1632021596730358E-3</v>
          </cell>
          <cell r="H91">
            <v>0.29012116426093015</v>
          </cell>
        </row>
        <row r="92">
          <cell r="F92">
            <v>6.395212740371168E-3</v>
          </cell>
          <cell r="G92">
            <v>5.9462391102602834E-3</v>
          </cell>
          <cell r="H92">
            <v>3.3945607648626988E-3</v>
          </cell>
        </row>
        <row r="93">
          <cell r="F93">
            <v>12.342953175273294</v>
          </cell>
          <cell r="G93">
            <v>12.034791497872481</v>
          </cell>
          <cell r="H93">
            <v>12.141717516537492</v>
          </cell>
        </row>
        <row r="94">
          <cell r="F94">
            <v>3.7233000984744488E-3</v>
          </cell>
          <cell r="G94">
            <v>4.1636469257639561E-4</v>
          </cell>
          <cell r="H94">
            <v>9.9549674880674137E-5</v>
          </cell>
        </row>
        <row r="95">
          <cell r="F95">
            <v>0</v>
          </cell>
          <cell r="G95">
            <v>4.5943032962634671E-4</v>
          </cell>
          <cell r="H95">
            <v>0.78826357896132981</v>
          </cell>
        </row>
        <row r="96">
          <cell r="F96">
            <v>0</v>
          </cell>
          <cell r="G96">
            <v>0.19449590858061377</v>
          </cell>
          <cell r="H96">
            <v>0.20212725826180752</v>
          </cell>
        </row>
        <row r="97">
          <cell r="F97">
            <v>5.9469290235236665</v>
          </cell>
          <cell r="G97">
            <v>2.3344752339329822</v>
          </cell>
          <cell r="H97">
            <v>4.6485291408406845E-4</v>
          </cell>
        </row>
        <row r="98">
          <cell r="F98">
            <v>5.2572420440981977</v>
          </cell>
          <cell r="G98">
            <v>6.6795937084843651</v>
          </cell>
          <cell r="H98">
            <v>6.6795884326023485</v>
          </cell>
        </row>
        <row r="99">
          <cell r="F99">
            <v>1.7118154259200888</v>
          </cell>
          <cell r="G99">
            <v>1.7120627069816243</v>
          </cell>
          <cell r="H99">
            <v>0.56221897648074026</v>
          </cell>
        </row>
        <row r="100">
          <cell r="F100">
            <v>3.1847967844157618E-4</v>
          </cell>
          <cell r="G100">
            <v>4.2706403960359528E-5</v>
          </cell>
          <cell r="H100">
            <v>8.440804201715238E-6</v>
          </cell>
        </row>
        <row r="101">
          <cell r="F101">
            <v>4.0528132241679762</v>
          </cell>
          <cell r="G101">
            <v>4.5042823324393213</v>
          </cell>
          <cell r="H101">
            <v>5.4088979896839264</v>
          </cell>
        </row>
        <row r="102">
          <cell r="F102">
            <v>0</v>
          </cell>
          <cell r="G102">
            <v>0</v>
          </cell>
          <cell r="H102">
            <v>0</v>
          </cell>
        </row>
        <row r="103">
          <cell r="F103">
            <v>3.1795897799291463E-2</v>
          </cell>
          <cell r="G103">
            <v>8.9461047567104077E-3</v>
          </cell>
          <cell r="H103">
            <v>4.8038331671736868E-3</v>
          </cell>
        </row>
        <row r="104">
          <cell r="F104">
            <v>0.84032241494347748</v>
          </cell>
          <cell r="G104">
            <v>1.2977038729395712E-2</v>
          </cell>
          <cell r="H104">
            <v>9.5096000226026767E-2</v>
          </cell>
        </row>
        <row r="105">
          <cell r="F105">
            <v>8.1619579201791943</v>
          </cell>
          <cell r="G105">
            <v>9.4388171455991987</v>
          </cell>
          <cell r="H105">
            <v>10.24491459995364</v>
          </cell>
        </row>
        <row r="106">
          <cell r="F106">
            <v>9.0447692111480429E-3</v>
          </cell>
          <cell r="G106">
            <v>6.360984141957759E-3</v>
          </cell>
          <cell r="H106">
            <v>0.8215642547060783</v>
          </cell>
        </row>
        <row r="107">
          <cell r="F107">
            <v>6.9709486214834197E-4</v>
          </cell>
          <cell r="G107">
            <v>4.0977232451193862E-4</v>
          </cell>
          <cell r="H107">
            <v>7.132940626677377E-4</v>
          </cell>
        </row>
        <row r="108">
          <cell r="F108">
            <v>5.1001579556635068E-3</v>
          </cell>
          <cell r="G108">
            <v>3.26263325085277E-3</v>
          </cell>
          <cell r="H108">
            <v>4.2061495470638352E-2</v>
          </cell>
        </row>
        <row r="109">
          <cell r="F109">
            <v>2.3483071788565735E-2</v>
          </cell>
          <cell r="G109">
            <v>1.9059041622143315E-2</v>
          </cell>
          <cell r="H109">
            <v>8.3299123194129215E-3</v>
          </cell>
        </row>
        <row r="110">
          <cell r="F110">
            <v>7.0136986709781433E-3</v>
          </cell>
          <cell r="G110">
            <v>7.6768982310032284E-3</v>
          </cell>
          <cell r="H110">
            <v>7.0762484379018878E-3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4.5096141810071799</v>
          </cell>
          <cell r="G112">
            <v>4.9479621887525873</v>
          </cell>
          <cell r="H112">
            <v>4.9315715197841378E-2</v>
          </cell>
        </row>
        <row r="113">
          <cell r="F113">
            <v>1.2852640533070578E-2</v>
          </cell>
          <cell r="G113">
            <v>0.19568311591999449</v>
          </cell>
          <cell r="H113">
            <v>2.7048732254389534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1.1649259893480313</v>
          </cell>
          <cell r="G115">
            <v>1.0059219223687661</v>
          </cell>
          <cell r="H115">
            <v>1.0059086508449866</v>
          </cell>
        </row>
        <row r="116">
          <cell r="F116">
            <v>5.2396084488264147E-2</v>
          </cell>
          <cell r="G116">
            <v>2.8130664489666481E-2</v>
          </cell>
          <cell r="H116">
            <v>8.8302339187809977E-4</v>
          </cell>
        </row>
        <row r="117">
          <cell r="F117">
            <v>2.6831719478607415E-3</v>
          </cell>
          <cell r="G117">
            <v>2.3094810997954674E-3</v>
          </cell>
          <cell r="H117">
            <v>1.0569339104285307E-3</v>
          </cell>
        </row>
        <row r="118">
          <cell r="F118">
            <v>1.038472076033717E-3</v>
          </cell>
          <cell r="G118">
            <v>1.4221990104789253E-3</v>
          </cell>
          <cell r="H118">
            <v>6.0850400295743763E-4</v>
          </cell>
        </row>
        <row r="119">
          <cell r="F119">
            <v>2.5087676868524055E-3</v>
          </cell>
          <cell r="G119">
            <v>3.382774291361957E-3</v>
          </cell>
          <cell r="H119">
            <v>4.1039972093272611E-3</v>
          </cell>
        </row>
        <row r="123">
          <cell r="F123">
            <v>5.2525696518953247</v>
          </cell>
          <cell r="G123">
            <v>9.0122399612360766</v>
          </cell>
          <cell r="H123">
            <v>9.9551207496214609</v>
          </cell>
        </row>
      </sheetData>
      <sheetData sheetId="59">
        <row r="13">
          <cell r="F13">
            <v>15.884637373931088</v>
          </cell>
          <cell r="G13">
            <v>15.999691888182046</v>
          </cell>
          <cell r="H13">
            <v>16.331038891838759</v>
          </cell>
        </row>
        <row r="14">
          <cell r="F14">
            <v>190.4459084065019</v>
          </cell>
          <cell r="G14">
            <v>190.44604261423186</v>
          </cell>
          <cell r="H14">
            <v>102.29629433192633</v>
          </cell>
        </row>
        <row r="15">
          <cell r="F15">
            <v>71.585479861080117</v>
          </cell>
          <cell r="G15">
            <v>72.148440675854189</v>
          </cell>
          <cell r="H15">
            <v>74.655251711943095</v>
          </cell>
        </row>
        <row r="16">
          <cell r="F16">
            <v>63.394822178807196</v>
          </cell>
          <cell r="G16">
            <v>62.831869373152443</v>
          </cell>
          <cell r="H16">
            <v>60.662379421265889</v>
          </cell>
        </row>
        <row r="18">
          <cell r="F18">
            <v>4.4569580816995842E-3</v>
          </cell>
          <cell r="G18">
            <v>9.1956982291204891E-4</v>
          </cell>
          <cell r="H18">
            <v>2.6006756143286163E-4</v>
          </cell>
        </row>
        <row r="19">
          <cell r="F19">
            <v>20.95878065450507</v>
          </cell>
          <cell r="G19">
            <v>21.451606367210381</v>
          </cell>
          <cell r="H19">
            <v>6.1190218498234829E-3</v>
          </cell>
        </row>
        <row r="20">
          <cell r="F20">
            <v>0</v>
          </cell>
          <cell r="G20">
            <v>0</v>
          </cell>
          <cell r="H20">
            <v>25.058686054193746</v>
          </cell>
        </row>
        <row r="21">
          <cell r="F21">
            <v>0</v>
          </cell>
          <cell r="G21">
            <v>2.121903453165461E-3</v>
          </cell>
          <cell r="H21">
            <v>8.2378589793382744E-3</v>
          </cell>
        </row>
        <row r="22">
          <cell r="F22">
            <v>8.4679301218689267E-3</v>
          </cell>
          <cell r="G22">
            <v>1.8151567481222673E-3</v>
          </cell>
          <cell r="H22">
            <v>6.4556413584654526E-2</v>
          </cell>
          <cell r="P22">
            <v>3.637563035434177</v>
          </cell>
          <cell r="Q22">
            <v>2.6989950411111878</v>
          </cell>
          <cell r="R22">
            <v>0.22059101682017687</v>
          </cell>
        </row>
        <row r="23">
          <cell r="F23">
            <v>0</v>
          </cell>
          <cell r="G23">
            <v>1.4143895778894995E-4</v>
          </cell>
          <cell r="H23">
            <v>9.4726675094143811E-3</v>
          </cell>
          <cell r="P23">
            <v>0.39216957417499887</v>
          </cell>
          <cell r="Q23">
            <v>0.30827949931221849</v>
          </cell>
          <cell r="R23">
            <v>0.38872094578764299</v>
          </cell>
        </row>
        <row r="24">
          <cell r="F24">
            <v>2.0323996270753406E-2</v>
          </cell>
          <cell r="G24">
            <v>2.519246821614916E-3</v>
          </cell>
          <cell r="H24">
            <v>0.55051417733151253</v>
          </cell>
        </row>
        <row r="25">
          <cell r="F25">
            <v>0.47985089363224981</v>
          </cell>
          <cell r="G25">
            <v>0.50206665337692413</v>
          </cell>
          <cell r="H25">
            <v>0.46934910143398834</v>
          </cell>
        </row>
        <row r="26">
          <cell r="F26">
            <v>40.476015658130208</v>
          </cell>
          <cell r="G26">
            <v>41.843764419171976</v>
          </cell>
          <cell r="H26">
            <v>16.932526624791134</v>
          </cell>
        </row>
        <row r="27">
          <cell r="F27">
            <v>0</v>
          </cell>
          <cell r="G27">
            <v>0</v>
          </cell>
          <cell r="H27">
            <v>25.373134343062787</v>
          </cell>
        </row>
        <row r="28">
          <cell r="F28">
            <v>6.9744184660989143E-3</v>
          </cell>
          <cell r="G28">
            <v>9.3238667548827914E-4</v>
          </cell>
          <cell r="H28">
            <v>1.8939534066302741E-4</v>
          </cell>
        </row>
        <row r="29">
          <cell r="F29">
            <v>0</v>
          </cell>
          <cell r="G29">
            <v>9.0084378358107201E-4</v>
          </cell>
          <cell r="H29">
            <v>1.4872897716251503</v>
          </cell>
        </row>
        <row r="30">
          <cell r="F30">
            <v>0</v>
          </cell>
          <cell r="G30">
            <v>0.38136452662865572</v>
          </cell>
          <cell r="H30">
            <v>0.38137218539963691</v>
          </cell>
        </row>
        <row r="31">
          <cell r="F31">
            <v>0</v>
          </cell>
          <cell r="G31">
            <v>0.49492368809265735</v>
          </cell>
          <cell r="H31">
            <v>0.55949240527088928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0.88048814439042689</v>
          </cell>
          <cell r="G33">
            <v>0.88052878257614553</v>
          </cell>
          <cell r="H33">
            <v>0.88053843110220575</v>
          </cell>
        </row>
        <row r="34">
          <cell r="F34">
            <v>0.19115005553398742</v>
          </cell>
          <cell r="G34">
            <v>0.19186797926130883</v>
          </cell>
          <cell r="H34">
            <v>1.5236548026746457</v>
          </cell>
        </row>
        <row r="35">
          <cell r="F35">
            <v>27.952199311364673</v>
          </cell>
          <cell r="G35">
            <v>35.145616836081508</v>
          </cell>
          <cell r="H35">
            <v>55.292138380096802</v>
          </cell>
        </row>
        <row r="36">
          <cell r="F36">
            <v>4.6138580767758626</v>
          </cell>
          <cell r="G36">
            <v>4.8974019742463524</v>
          </cell>
          <cell r="H36">
            <v>5.517834197817912</v>
          </cell>
        </row>
        <row r="37">
          <cell r="F37">
            <v>4.0150497660213933</v>
          </cell>
          <cell r="G37">
            <v>4.2198783738302748</v>
          </cell>
          <cell r="H37">
            <v>4.6614116495291018</v>
          </cell>
        </row>
        <row r="38">
          <cell r="F38">
            <v>11.2854805570673</v>
          </cell>
          <cell r="G38">
            <v>11.861180055329882</v>
          </cell>
          <cell r="H38">
            <v>13.102201516446467</v>
          </cell>
        </row>
        <row r="39">
          <cell r="F39">
            <v>5.4891984893020822E-2</v>
          </cell>
          <cell r="G39">
            <v>2.224227666085998E-2</v>
          </cell>
          <cell r="H39">
            <v>1.3453747506589262E-2</v>
          </cell>
        </row>
        <row r="40">
          <cell r="F40">
            <v>0</v>
          </cell>
          <cell r="G40">
            <v>9.7493682935678329E-5</v>
          </cell>
          <cell r="H40">
            <v>5.4369542448958101E-3</v>
          </cell>
        </row>
        <row r="41">
          <cell r="F41">
            <v>0.64469258854296585</v>
          </cell>
          <cell r="G41">
            <v>2.2304503360659898E-2</v>
          </cell>
          <cell r="H41">
            <v>0.16376933523117382</v>
          </cell>
        </row>
        <row r="42">
          <cell r="F42">
            <v>11.4032575403984</v>
          </cell>
          <cell r="G42">
            <v>13.032726507979435</v>
          </cell>
          <cell r="H42">
            <v>9.8664107371998693</v>
          </cell>
        </row>
        <row r="43">
          <cell r="F43">
            <v>0</v>
          </cell>
          <cell r="G43">
            <v>0.26008996128442197</v>
          </cell>
          <cell r="H43">
            <v>4.2355716746548699</v>
          </cell>
        </row>
        <row r="44">
          <cell r="F44">
            <v>2.4730893580801272E-2</v>
          </cell>
          <cell r="G44">
            <v>2.026475948496018E-2</v>
          </cell>
          <cell r="H44">
            <v>3.9826281804380848E-3</v>
          </cell>
        </row>
        <row r="45">
          <cell r="F45">
            <v>0</v>
          </cell>
          <cell r="G45">
            <v>0</v>
          </cell>
          <cell r="H45">
            <v>4.3377911237283202</v>
          </cell>
        </row>
        <row r="46">
          <cell r="F46">
            <v>1.4487941797828953E-2</v>
          </cell>
          <cell r="G46">
            <v>9.8867674268265753E-3</v>
          </cell>
          <cell r="H46">
            <v>0.1402049849021279</v>
          </cell>
        </row>
        <row r="47">
          <cell r="B47">
            <v>0</v>
          </cell>
        </row>
        <row r="48">
          <cell r="F48">
            <v>3.7531087212796271E-2</v>
          </cell>
          <cell r="G48">
            <v>2.7642486819763223E-2</v>
          </cell>
          <cell r="H48">
            <v>1.0695217817368746E-2</v>
          </cell>
        </row>
        <row r="49">
          <cell r="F49">
            <v>3.2111371872045073E-3</v>
          </cell>
          <cell r="G49">
            <v>3.3004805433924549E-3</v>
          </cell>
          <cell r="H49">
            <v>2.2187842630839952E-3</v>
          </cell>
        </row>
        <row r="50">
          <cell r="F50">
            <v>0.6556552523793282</v>
          </cell>
          <cell r="G50">
            <v>1.0055788066897076</v>
          </cell>
          <cell r="H50">
            <v>0.86407871110275569</v>
          </cell>
        </row>
        <row r="51">
          <cell r="F51">
            <v>7.2909795823892782</v>
          </cell>
          <cell r="G51">
            <v>8.0337347748358496</v>
          </cell>
          <cell r="H51">
            <v>5.798688964145754E-2</v>
          </cell>
        </row>
        <row r="52">
          <cell r="F52">
            <v>2.0833661478180839E-2</v>
          </cell>
          <cell r="G52">
            <v>2.2954022480665394E-2</v>
          </cell>
          <cell r="H52">
            <v>1.5906243370724521E-2</v>
          </cell>
        </row>
        <row r="53">
          <cell r="F53">
            <v>0.66360072693343053</v>
          </cell>
          <cell r="G53">
            <v>1.2579212112717533</v>
          </cell>
          <cell r="H53">
            <v>4.3960607777227771</v>
          </cell>
        </row>
        <row r="54">
          <cell r="F54">
            <v>2.9941317879640867</v>
          </cell>
          <cell r="G54">
            <v>2.954349470459591</v>
          </cell>
          <cell r="H54">
            <v>2.8715335767205152</v>
          </cell>
        </row>
        <row r="55">
          <cell r="F55">
            <v>0.10493057512529391</v>
          </cell>
          <cell r="G55">
            <v>5.3159218278993933E-2</v>
          </cell>
          <cell r="H55">
            <v>1.9878020578806372E-3</v>
          </cell>
        </row>
        <row r="56">
          <cell r="F56">
            <v>0.49016455882271431</v>
          </cell>
          <cell r="G56">
            <v>0.75739409972200811</v>
          </cell>
          <cell r="H56">
            <v>0.49674379298621751</v>
          </cell>
        </row>
        <row r="57">
          <cell r="F57">
            <v>7.1527194802340601E-3</v>
          </cell>
          <cell r="G57">
            <v>9.9497988780636211E-3</v>
          </cell>
          <cell r="H57">
            <v>1.2629535398089527E-2</v>
          </cell>
        </row>
        <row r="58">
          <cell r="F58">
            <v>5.7688952610756719E-3</v>
          </cell>
          <cell r="G58">
            <v>7.9011056137717941E-3</v>
          </cell>
          <cell r="H58">
            <v>3.380577794207985E-3</v>
          </cell>
        </row>
        <row r="63">
          <cell r="F63">
            <v>9.8977067021130578E-3</v>
          </cell>
          <cell r="G63">
            <v>5.9969405315889041E-3</v>
          </cell>
          <cell r="H63">
            <v>0.13483963234531984</v>
          </cell>
        </row>
        <row r="64">
          <cell r="F64">
            <v>6.116508025911891E-2</v>
          </cell>
          <cell r="G64">
            <v>6.1372938023353543E-2</v>
          </cell>
          <cell r="H64">
            <v>0.48067779877178324</v>
          </cell>
        </row>
        <row r="65">
          <cell r="F65">
            <v>4.2355339914410289E-2</v>
          </cell>
          <cell r="G65">
            <v>3.4323786426794532E-2</v>
          </cell>
          <cell r="H65">
            <v>7.2053844256013064E-2</v>
          </cell>
        </row>
        <row r="66">
          <cell r="F66">
            <v>0.44343424556495858</v>
          </cell>
          <cell r="G66">
            <v>0.64498962466460563</v>
          </cell>
          <cell r="H66">
            <v>1.2671140169865827</v>
          </cell>
        </row>
        <row r="67">
          <cell r="F67">
            <v>0.24766355755937314</v>
          </cell>
          <cell r="G67">
            <v>0.24179369162316933</v>
          </cell>
          <cell r="H67">
            <v>0.2515619175030761</v>
          </cell>
        </row>
        <row r="68">
          <cell r="F68">
            <v>0.11071084754392391</v>
          </cell>
          <cell r="G68">
            <v>0.10724384521289848</v>
          </cell>
          <cell r="H68">
            <v>0.1096732742695935</v>
          </cell>
        </row>
        <row r="69">
          <cell r="F69">
            <v>0.23466588616129375</v>
          </cell>
          <cell r="G69">
            <v>0.23750486628902692</v>
          </cell>
          <cell r="H69">
            <v>0.25175909714474465</v>
          </cell>
        </row>
        <row r="90">
          <cell r="F90">
            <v>6.9599088848328599</v>
          </cell>
          <cell r="G90">
            <v>2.7321218830429794</v>
          </cell>
          <cell r="H90">
            <v>5.4403439389918214E-4</v>
          </cell>
        </row>
        <row r="91">
          <cell r="F91">
            <v>6.9022944489254607</v>
          </cell>
          <cell r="G91">
            <v>8.7697165525993057</v>
          </cell>
          <cell r="H91">
            <v>8.7697096258322205</v>
          </cell>
        </row>
        <row r="92">
          <cell r="F92">
            <v>0.85590771296004442</v>
          </cell>
          <cell r="G92">
            <v>0.85603135349081216</v>
          </cell>
          <cell r="H92">
            <v>0.28110948824037013</v>
          </cell>
        </row>
        <row r="93">
          <cell r="F93">
            <v>3.7272843426519765E-4</v>
          </cell>
          <cell r="G93">
            <v>4.9980868980819152E-5</v>
          </cell>
          <cell r="H93">
            <v>9.8785823617991472E-6</v>
          </cell>
        </row>
        <row r="94">
          <cell r="F94">
            <v>5.7897331773828276</v>
          </cell>
          <cell r="G94">
            <v>6.4346890463418811</v>
          </cell>
          <cell r="H94">
            <v>7.7269971281199048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1.8112309144466627</v>
          </cell>
          <cell r="G97">
            <v>3.1076689521503709</v>
          </cell>
          <cell r="H97">
            <v>3.4328002584901589</v>
          </cell>
        </row>
      </sheetData>
      <sheetData sheetId="60">
        <row r="14">
          <cell r="F14">
            <v>2.3628232221715937</v>
          </cell>
          <cell r="G14">
            <v>2.3628232118785624</v>
          </cell>
          <cell r="H14">
            <v>1.3498438970819662</v>
          </cell>
        </row>
        <row r="15">
          <cell r="F15">
            <v>7.4163397088808862</v>
          </cell>
          <cell r="G15">
            <v>7.4169602623028501</v>
          </cell>
          <cell r="H15">
            <v>7.6702044822206163</v>
          </cell>
        </row>
        <row r="16">
          <cell r="F16">
            <v>4.8686192512566073</v>
          </cell>
          <cell r="G16">
            <v>4.8992057286368489</v>
          </cell>
          <cell r="H16">
            <v>4.8992111998658601</v>
          </cell>
        </row>
        <row r="17">
          <cell r="F17">
            <v>4.3597630673970178</v>
          </cell>
          <cell r="G17">
            <v>4.3597631143479143</v>
          </cell>
          <cell r="H17">
            <v>4.3597633306199599</v>
          </cell>
        </row>
        <row r="18">
          <cell r="F18">
            <v>2.0139251877537203E-2</v>
          </cell>
          <cell r="G18">
            <v>2.0137800783876732E-2</v>
          </cell>
          <cell r="H18">
            <v>7.2147247175677297E-3</v>
          </cell>
        </row>
        <row r="19">
          <cell r="F19">
            <v>0.27948970940110657</v>
          </cell>
          <cell r="G19">
            <v>0.28606078083211939</v>
          </cell>
          <cell r="H19">
            <v>1.3484128991170241E-4</v>
          </cell>
        </row>
        <row r="20">
          <cell r="F20">
            <v>0</v>
          </cell>
          <cell r="G20">
            <v>0</v>
          </cell>
          <cell r="H20">
            <v>0.31915330621193</v>
          </cell>
        </row>
        <row r="21">
          <cell r="F21">
            <v>0</v>
          </cell>
          <cell r="G21">
            <v>2.4975846236869199E-4</v>
          </cell>
          <cell r="H21">
            <v>5.5053774193978178E-4</v>
          </cell>
        </row>
        <row r="22">
          <cell r="F22">
            <v>1.9719341580819737E-2</v>
          </cell>
          <cell r="G22">
            <v>3.2935018535103819E-2</v>
          </cell>
          <cell r="H22">
            <v>3.0910129237520571E-2</v>
          </cell>
        </row>
        <row r="23">
          <cell r="F23">
            <v>0</v>
          </cell>
          <cell r="G23">
            <v>4.93662482125113E-7</v>
          </cell>
          <cell r="H23">
            <v>4.0320212516919751E-4</v>
          </cell>
        </row>
        <row r="24">
          <cell r="F24">
            <v>6.8414468575851706E-4</v>
          </cell>
          <cell r="G24">
            <v>1.8668196321730557E-4</v>
          </cell>
          <cell r="H24">
            <v>1.7463944528416851E-2</v>
          </cell>
        </row>
        <row r="25">
          <cell r="F25">
            <v>3.9298290972160713E-4</v>
          </cell>
          <cell r="G25">
            <v>3.26282239336641E-4</v>
          </cell>
          <cell r="H25">
            <v>1.640207287270687E-4</v>
          </cell>
        </row>
        <row r="26">
          <cell r="F26">
            <v>6.9926189858022639E-2</v>
          </cell>
          <cell r="G26">
            <v>7.0079096356055678E-2</v>
          </cell>
          <cell r="H26">
            <v>8.0898049785699255E-5</v>
          </cell>
        </row>
        <row r="27">
          <cell r="F27">
            <v>0</v>
          </cell>
          <cell r="G27">
            <v>0</v>
          </cell>
          <cell r="H27">
            <v>7.4859121277739804E-2</v>
          </cell>
        </row>
        <row r="28">
          <cell r="F28">
            <v>6.8987009278042525E-4</v>
          </cell>
          <cell r="G28">
            <v>2.2052350726585001E-4</v>
          </cell>
          <cell r="H28">
            <v>1.0618735394867293E-4</v>
          </cell>
        </row>
        <row r="29">
          <cell r="F29">
            <v>0</v>
          </cell>
          <cell r="G29">
            <v>1.2210431319553401E-4</v>
          </cell>
          <cell r="H29">
            <v>3.8084855432378245E-2</v>
          </cell>
        </row>
        <row r="30">
          <cell r="F30">
            <v>0</v>
          </cell>
          <cell r="G30">
            <v>1.7780795387502098E-2</v>
          </cell>
          <cell r="H30">
            <v>1.7786009567419613E-2</v>
          </cell>
        </row>
        <row r="31">
          <cell r="F31">
            <v>0</v>
          </cell>
          <cell r="G31">
            <v>2.9991140369555402E-7</v>
          </cell>
          <cell r="H31">
            <v>8.5328467519163627E-4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0.1463901464016768</v>
          </cell>
          <cell r="G33">
            <v>0.14639715443610468</v>
          </cell>
          <cell r="H33">
            <v>0.14639910048903801</v>
          </cell>
        </row>
        <row r="34">
          <cell r="F34">
            <v>5.510308061683785E-2</v>
          </cell>
          <cell r="G34">
            <v>5.5310087811522961E-2</v>
          </cell>
          <cell r="H34">
            <v>0.43922584493065692</v>
          </cell>
        </row>
        <row r="35">
          <cell r="F35">
            <v>8.0578044556744892</v>
          </cell>
          <cell r="G35">
            <v>10.131456988928207</v>
          </cell>
          <cell r="H35">
            <v>15.9391115657501</v>
          </cell>
        </row>
        <row r="36">
          <cell r="F36">
            <v>1.3300414000449559</v>
          </cell>
          <cell r="G36">
            <v>1.4117790151229133</v>
          </cell>
          <cell r="H36">
            <v>1.5906312267985792</v>
          </cell>
        </row>
        <row r="37">
          <cell r="F37">
            <v>1.157422975031944</v>
          </cell>
          <cell r="G37">
            <v>1.216469366362992</v>
          </cell>
          <cell r="H37">
            <v>1.343749632816734</v>
          </cell>
        </row>
        <row r="38">
          <cell r="F38">
            <v>3.2532755757258092</v>
          </cell>
          <cell r="G38">
            <v>3.4192330401129989</v>
          </cell>
          <cell r="H38">
            <v>3.7769832029746202</v>
          </cell>
        </row>
        <row r="39">
          <cell r="F39">
            <v>3.9921462823906927E-3</v>
          </cell>
          <cell r="G39">
            <v>1.8784223066175402E-3</v>
          </cell>
          <cell r="H39">
            <v>6.4430428135313985E-4</v>
          </cell>
        </row>
        <row r="40">
          <cell r="F40">
            <v>0</v>
          </cell>
          <cell r="G40">
            <v>0</v>
          </cell>
          <cell r="H40">
            <v>2.9315413810936201E-4</v>
          </cell>
        </row>
        <row r="41">
          <cell r="F41">
            <v>3.0477159764427698E-2</v>
          </cell>
          <cell r="G41">
            <v>1.4994570658568098E-2</v>
          </cell>
          <cell r="H41">
            <v>6.0130419165030169E-3</v>
          </cell>
        </row>
        <row r="42">
          <cell r="F42">
            <v>0.15110105522654391</v>
          </cell>
          <cell r="G42">
            <v>0.20979532657244734</v>
          </cell>
          <cell r="H42">
            <v>0.14058752072658878</v>
          </cell>
        </row>
        <row r="43">
          <cell r="F43">
            <v>0</v>
          </cell>
          <cell r="G43">
            <v>0</v>
          </cell>
          <cell r="H43">
            <v>6.9810263700086805E-2</v>
          </cell>
        </row>
        <row r="44">
          <cell r="F44">
            <v>2.7916512413061999E-3</v>
          </cell>
          <cell r="G44">
            <v>2.7916161835255613E-3</v>
          </cell>
          <cell r="H44">
            <v>9.0453722839727631E-5</v>
          </cell>
        </row>
        <row r="45">
          <cell r="F45">
            <v>0</v>
          </cell>
          <cell r="G45">
            <v>0</v>
          </cell>
          <cell r="H45">
            <v>2.42000396529903E-2</v>
          </cell>
        </row>
        <row r="46">
          <cell r="F46">
            <v>6.1295039002998305E-4</v>
          </cell>
          <cell r="G46">
            <v>6.2066843207016198E-4</v>
          </cell>
          <cell r="H46">
            <v>1.0624004840602835E-2</v>
          </cell>
        </row>
        <row r="47">
          <cell r="F47">
            <v>2.14375876140149E-4</v>
          </cell>
          <cell r="G47">
            <v>2.1560658658338838E-4</v>
          </cell>
          <cell r="H47">
            <v>1.858876188286155E-4</v>
          </cell>
        </row>
        <row r="48">
          <cell r="F48">
            <v>8.0352103276035147E-4</v>
          </cell>
          <cell r="G48">
            <v>6.3315158484244139E-4</v>
          </cell>
          <cell r="H48">
            <v>2.5907875585504353E-4</v>
          </cell>
        </row>
        <row r="49">
          <cell r="F49">
            <v>1.2268637296965727E-4</v>
          </cell>
          <cell r="G49">
            <v>1.2889364794537632E-4</v>
          </cell>
          <cell r="H49">
            <v>8.8012265658653411E-5</v>
          </cell>
        </row>
        <row r="50">
          <cell r="F50">
            <v>2.3666235801355514E-4</v>
          </cell>
          <cell r="G50">
            <v>2.6343417573778852E-4</v>
          </cell>
          <cell r="H50">
            <v>2.5286648901518178E-4</v>
          </cell>
        </row>
        <row r="51">
          <cell r="F51">
            <v>0.16320346893790244</v>
          </cell>
          <cell r="G51">
            <v>0.18132478464710175</v>
          </cell>
          <cell r="H51">
            <v>1.7083958061678978E-3</v>
          </cell>
        </row>
        <row r="52">
          <cell r="F52">
            <v>7.9760147530125668E-4</v>
          </cell>
          <cell r="G52">
            <v>8.9816237297652465E-4</v>
          </cell>
          <cell r="H52">
            <v>6.3682382937429289E-4</v>
          </cell>
        </row>
        <row r="53">
          <cell r="F53">
            <v>3.8979778213820733E-4</v>
          </cell>
          <cell r="G53">
            <v>5.4660382245366587E-3</v>
          </cell>
          <cell r="H53">
            <v>7.5452422895996574E-2</v>
          </cell>
        </row>
        <row r="54">
          <cell r="F54">
            <v>8.4746943956856766E-2</v>
          </cell>
          <cell r="G54">
            <v>8.4745489098146234E-2</v>
          </cell>
          <cell r="H54">
            <v>8.4744580840394518E-2</v>
          </cell>
        </row>
        <row r="55">
          <cell r="F55">
            <v>2.1786370515575401E-3</v>
          </cell>
          <cell r="G55">
            <v>1.1708419313181985E-3</v>
          </cell>
          <cell r="H55">
            <v>9.5794790393215936E-5</v>
          </cell>
        </row>
        <row r="56">
          <cell r="F56">
            <v>2.0056876364914542E-4</v>
          </cell>
          <cell r="G56">
            <v>1.6736851732411677E-4</v>
          </cell>
          <cell r="H56">
            <v>8.4165273475714355E-5</v>
          </cell>
        </row>
        <row r="57">
          <cell r="F57">
            <v>2.2336455794157547E-4</v>
          </cell>
          <cell r="G57">
            <v>3.165669874666016E-4</v>
          </cell>
          <cell r="H57">
            <v>4.2721740834748519E-4</v>
          </cell>
        </row>
        <row r="58">
          <cell r="F58">
            <v>2.0574480947575994E-4</v>
          </cell>
          <cell r="G58">
            <v>2.8357506075245764E-4</v>
          </cell>
          <cell r="H58">
            <v>1.3830697113518509E-4</v>
          </cell>
        </row>
        <row r="63">
          <cell r="F63">
            <v>9.9993500347405534E-2</v>
          </cell>
          <cell r="G63">
            <v>9.9993793719312843E-2</v>
          </cell>
          <cell r="H63">
            <v>9.9994724911291188E-2</v>
          </cell>
        </row>
        <row r="64">
          <cell r="F64">
            <v>1.1954230230677288E-2</v>
          </cell>
          <cell r="G64">
            <v>1.2611586503716096E-2</v>
          </cell>
          <cell r="H64">
            <v>0.31241736811141785</v>
          </cell>
        </row>
        <row r="65">
          <cell r="F65">
            <v>6.9076027818043475E-3</v>
          </cell>
          <cell r="G65">
            <v>7.0894026132600563E-3</v>
          </cell>
          <cell r="H65">
            <v>2.3402285633168669E-2</v>
          </cell>
        </row>
        <row r="66">
          <cell r="F66">
            <v>0.23321035829173381</v>
          </cell>
          <cell r="G66">
            <v>0.33937609993656753</v>
          </cell>
          <cell r="H66">
            <v>0.63748261532634676</v>
          </cell>
        </row>
        <row r="67">
          <cell r="F67">
            <v>0.14772585613459144</v>
          </cell>
          <cell r="G67">
            <v>0.15454392823673224</v>
          </cell>
          <cell r="H67">
            <v>0.19128750254036062</v>
          </cell>
        </row>
        <row r="68">
          <cell r="F68">
            <v>5.3125111812723808E-2</v>
          </cell>
          <cell r="G68">
            <v>5.3827286744669023E-2</v>
          </cell>
          <cell r="H68">
            <v>6.2341841720113117E-2</v>
          </cell>
        </row>
        <row r="69">
          <cell r="F69">
            <v>0.14050080000354961</v>
          </cell>
          <cell r="G69">
            <v>0.14688475878784621</v>
          </cell>
          <cell r="H69">
            <v>0.17847514458781047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7.2517383841537301E-5</v>
          </cell>
          <cell r="G15">
            <v>4.6807122691165097E-6</v>
          </cell>
          <cell r="H15">
            <v>1.2465939759766063</v>
          </cell>
        </row>
        <row r="16">
          <cell r="F16">
            <v>5.4613764389268801E-4</v>
          </cell>
          <cell r="G16">
            <v>3.0586506656851861E-2</v>
          </cell>
          <cell r="H16">
            <v>5.4371283391692003E-6</v>
          </cell>
        </row>
        <row r="17">
          <cell r="F17">
            <v>6.7365184978436305E-8</v>
          </cell>
          <cell r="G17">
            <v>1.1000266102246099E-7</v>
          </cell>
          <cell r="H17">
            <v>3.7699397799880602E-7</v>
          </cell>
        </row>
        <row r="18">
          <cell r="F18">
            <v>1.3039266650411999E-2</v>
          </cell>
          <cell r="G18">
            <v>4.6481217147896797E-6</v>
          </cell>
          <cell r="H18">
            <v>7.1887276940157804E-6</v>
          </cell>
        </row>
        <row r="19">
          <cell r="F19">
            <v>8.9445632388311103E-2</v>
          </cell>
          <cell r="G19">
            <v>3.9372932534911802E-2</v>
          </cell>
          <cell r="H19">
            <v>4.67564819553924E-8</v>
          </cell>
        </row>
        <row r="20">
          <cell r="F20">
            <v>0</v>
          </cell>
          <cell r="G20">
            <v>0</v>
          </cell>
          <cell r="H20">
            <v>0.31915330621193</v>
          </cell>
        </row>
        <row r="21">
          <cell r="F21">
            <v>0</v>
          </cell>
          <cell r="G21">
            <v>5.1872100987169698E-4</v>
          </cell>
          <cell r="H21">
            <v>4.3690279484920203E-5</v>
          </cell>
        </row>
        <row r="22">
          <cell r="F22">
            <v>1.7394239316329101E-2</v>
          </cell>
          <cell r="G22">
            <v>2.58165753321781E-5</v>
          </cell>
          <cell r="H22">
            <v>5.6081524966374002E-5</v>
          </cell>
        </row>
        <row r="23">
          <cell r="F23">
            <v>0</v>
          </cell>
          <cell r="G23">
            <v>1.02528298274712E-6</v>
          </cell>
          <cell r="H23">
            <v>5.4368176531874096E-4</v>
          </cell>
        </row>
        <row r="24">
          <cell r="F24">
            <v>6.1618296660771197E-6</v>
          </cell>
          <cell r="G24">
            <v>1.61684563912662E-6</v>
          </cell>
          <cell r="H24">
            <v>1.7459331657432901E-2</v>
          </cell>
        </row>
        <row r="25">
          <cell r="F25">
            <v>1.4771770962072799E-4</v>
          </cell>
          <cell r="G25">
            <v>3.78654268283171E-5</v>
          </cell>
          <cell r="H25">
            <v>9.4666776701871206E-6</v>
          </cell>
        </row>
        <row r="26">
          <cell r="F26">
            <v>5.66070409657265E-3</v>
          </cell>
          <cell r="G26">
            <v>1.9606102860354298E-2</v>
          </cell>
          <cell r="H26">
            <v>4.9079487491894497E-8</v>
          </cell>
        </row>
        <row r="27">
          <cell r="F27">
            <v>0</v>
          </cell>
          <cell r="G27">
            <v>0</v>
          </cell>
          <cell r="H27">
            <v>7.4859121277739804E-2</v>
          </cell>
        </row>
        <row r="28">
          <cell r="F28">
            <v>1.48832123435561E-5</v>
          </cell>
          <cell r="G28">
            <v>3.9908774112002003E-5</v>
          </cell>
          <cell r="H28">
            <v>5.5342459819699E-5</v>
          </cell>
        </row>
        <row r="29">
          <cell r="F29">
            <v>0</v>
          </cell>
          <cell r="G29">
            <v>1.2210431319553401E-4</v>
          </cell>
          <cell r="H29">
            <v>3.7962872599295303E-2</v>
          </cell>
        </row>
        <row r="30">
          <cell r="F30">
            <v>0</v>
          </cell>
          <cell r="G30">
            <v>1.7780795387502098E-2</v>
          </cell>
          <cell r="H30">
            <v>5.34800377418596E-6</v>
          </cell>
        </row>
        <row r="31">
          <cell r="F31">
            <v>0</v>
          </cell>
          <cell r="G31">
            <v>6.2288318370307597E-7</v>
          </cell>
          <cell r="H31">
            <v>1.1523348806653101E-3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2.2853877601955799E-2</v>
          </cell>
          <cell r="G33">
            <v>4.3171138044276502E-6</v>
          </cell>
          <cell r="H33">
            <v>0.12628690301823101</v>
          </cell>
        </row>
        <row r="34">
          <cell r="F34">
            <v>1.0175503761879421E-2</v>
          </cell>
          <cell r="G34">
            <v>2.0700719468506418E-4</v>
          </cell>
          <cell r="H34">
            <v>0.43090965970272732</v>
          </cell>
        </row>
        <row r="35">
          <cell r="F35">
            <v>5.0779175769798401</v>
          </cell>
          <cell r="G35">
            <v>2.7860827880056802</v>
          </cell>
          <cell r="H35">
            <v>9.1066377534990792</v>
          </cell>
        </row>
        <row r="36">
          <cell r="F36">
            <v>0.29988995338097729</v>
          </cell>
          <cell r="G36">
            <v>0.66485183916587975</v>
          </cell>
          <cell r="H36">
            <v>0.68680880113083398</v>
          </cell>
        </row>
        <row r="37">
          <cell r="F37">
            <v>0.14463167274851421</v>
          </cell>
          <cell r="G37">
            <v>0.28404269360779671</v>
          </cell>
          <cell r="H37">
            <v>0.94445545988619395</v>
          </cell>
        </row>
        <row r="38">
          <cell r="F38">
            <v>0.62473201264545597</v>
          </cell>
          <cell r="G38">
            <v>0.57340778206653598</v>
          </cell>
          <cell r="H38">
            <v>2.7057511587043899</v>
          </cell>
        </row>
        <row r="39">
          <cell r="F39">
            <v>1.02035420587038E-3</v>
          </cell>
          <cell r="G39">
            <v>8.4626552090718205E-7</v>
          </cell>
          <cell r="H39">
            <v>7.1406385369992686E-5</v>
          </cell>
        </row>
        <row r="40">
          <cell r="F40">
            <v>0</v>
          </cell>
          <cell r="G40">
            <v>0</v>
          </cell>
          <cell r="H40">
            <v>2.9315413810936201E-4</v>
          </cell>
        </row>
        <row r="41">
          <cell r="F41">
            <v>1.3128298563834099E-2</v>
          </cell>
          <cell r="G41">
            <v>8.3479001603648703E-6</v>
          </cell>
          <cell r="H41">
            <v>4.5462022172263302E-4</v>
          </cell>
        </row>
        <row r="42">
          <cell r="F42">
            <v>3.8817122224918399E-2</v>
          </cell>
          <cell r="G42">
            <v>0.119435408143758</v>
          </cell>
          <cell r="H42">
            <v>3.7490109482633101E-2</v>
          </cell>
        </row>
        <row r="43">
          <cell r="F43">
            <v>0</v>
          </cell>
          <cell r="G43">
            <v>0</v>
          </cell>
          <cell r="H43">
            <v>6.9810263700086805E-2</v>
          </cell>
        </row>
        <row r="44">
          <cell r="F44">
            <v>8.6969360124500998E-7</v>
          </cell>
          <cell r="G44">
            <v>4.5368231734150601E-7</v>
          </cell>
          <cell r="H44">
            <v>6.4842737889114701E-8</v>
          </cell>
        </row>
        <row r="45">
          <cell r="F45">
            <v>0</v>
          </cell>
          <cell r="G45">
            <v>0</v>
          </cell>
          <cell r="H45">
            <v>2.42000396529903E-2</v>
          </cell>
        </row>
        <row r="46">
          <cell r="F46">
            <v>6.1295039002998305E-4</v>
          </cell>
          <cell r="G46">
            <v>7.8151265861733898E-6</v>
          </cell>
          <cell r="H46">
            <v>1.0359291571471601E-2</v>
          </cell>
        </row>
        <row r="47">
          <cell r="F47">
            <v>2.14375876140149E-4</v>
          </cell>
          <cell r="G47">
            <v>1.3117363228688899E-6</v>
          </cell>
          <cell r="H47">
            <v>9.4419987032377901E-5</v>
          </cell>
        </row>
        <row r="48">
          <cell r="F48">
            <v>2.0367681153609101E-4</v>
          </cell>
          <cell r="G48">
            <v>9.3790288233306209E-5</v>
          </cell>
          <cell r="H48">
            <v>2.4485742158045999E-6</v>
          </cell>
        </row>
        <row r="49">
          <cell r="F49">
            <v>8.1666960877795395E-5</v>
          </cell>
          <cell r="G49">
            <v>6.2810417643059195E-6</v>
          </cell>
          <cell r="H49">
            <v>6.1696094584282196E-6</v>
          </cell>
        </row>
        <row r="50">
          <cell r="F50">
            <v>1.185756278648617E-4</v>
          </cell>
          <cell r="G50">
            <v>6.4348375353316396E-5</v>
          </cell>
          <cell r="H50">
            <v>1.5614169628625841E-4</v>
          </cell>
        </row>
        <row r="51">
          <cell r="F51">
            <v>2.9949957991912197E-2</v>
          </cell>
          <cell r="G51">
            <v>1.8306277833231181E-2</v>
          </cell>
          <cell r="H51">
            <v>5.3175160131725346E-6</v>
          </cell>
        </row>
        <row r="52">
          <cell r="F52">
            <v>6.1317058074198002E-4</v>
          </cell>
          <cell r="G52">
            <v>1.0079669801986749E-4</v>
          </cell>
          <cell r="H52">
            <v>7.2195865423786504E-7</v>
          </cell>
        </row>
        <row r="53">
          <cell r="F53">
            <v>2.0955306163113701E-4</v>
          </cell>
          <cell r="G53">
            <v>5.1336900222685704E-3</v>
          </cell>
          <cell r="H53">
            <v>7.1638378225913402E-2</v>
          </cell>
        </row>
        <row r="54">
          <cell r="F54">
            <v>4.4079093955320003E-2</v>
          </cell>
          <cell r="G54">
            <v>3.1154478723015602E-2</v>
          </cell>
          <cell r="H54">
            <v>4.3489762008274299E-2</v>
          </cell>
        </row>
        <row r="55">
          <cell r="F55">
            <v>2.81990144439944E-6</v>
          </cell>
          <cell r="G55">
            <v>4.2266639499329601E-5</v>
          </cell>
          <cell r="H55">
            <v>5.1530106297953298E-5</v>
          </cell>
        </row>
        <row r="56">
          <cell r="F56">
            <v>8.7772757293905305E-5</v>
          </cell>
          <cell r="G56">
            <v>2.7828637257639899E-6</v>
          </cell>
          <cell r="H56">
            <v>4.52096766601625E-5</v>
          </cell>
        </row>
        <row r="57">
          <cell r="F57">
            <v>2.4204963883786E-5</v>
          </cell>
          <cell r="G57">
            <v>1.5643253115549301E-4</v>
          </cell>
          <cell r="H57">
            <v>3.0357796693122202E-4</v>
          </cell>
        </row>
        <row r="58">
          <cell r="F58">
            <v>1.5052960848921401E-4</v>
          </cell>
          <cell r="G58">
            <v>9.5428192309442603E-5</v>
          </cell>
          <cell r="H58">
            <v>5.4966119359404003E-6</v>
          </cell>
        </row>
        <row r="63">
          <cell r="F63">
            <v>8.1147000203304604E-7</v>
          </cell>
          <cell r="G63">
            <v>1.04104116147499E-6</v>
          </cell>
          <cell r="H63">
            <v>1.41674829423178E-6</v>
          </cell>
        </row>
        <row r="64">
          <cell r="F64">
            <v>3.9364820608708802E-3</v>
          </cell>
          <cell r="G64">
            <v>7.7392998682334797E-3</v>
          </cell>
          <cell r="H64">
            <v>0.307846320819049</v>
          </cell>
        </row>
        <row r="65">
          <cell r="F65">
            <v>2.9642669283744998E-3</v>
          </cell>
          <cell r="G65">
            <v>3.7145941096764202E-3</v>
          </cell>
          <cell r="H65">
            <v>2.10200399783598E-2</v>
          </cell>
        </row>
        <row r="66">
          <cell r="F66">
            <v>0.196881906101743</v>
          </cell>
          <cell r="G66">
            <v>0.14228404505907</v>
          </cell>
          <cell r="H66">
            <v>0.53157634064289205</v>
          </cell>
        </row>
        <row r="67">
          <cell r="F67">
            <v>8.1986690179455896E-2</v>
          </cell>
          <cell r="G67">
            <v>7.2386085394879798E-2</v>
          </cell>
          <cell r="H67">
            <v>0.14059869145904891</v>
          </cell>
        </row>
        <row r="68">
          <cell r="F68">
            <v>3.3021597477492795E-2</v>
          </cell>
          <cell r="G68">
            <v>2.05703503344087E-2</v>
          </cell>
          <cell r="H68">
            <v>4.6231713289851498E-2</v>
          </cell>
        </row>
        <row r="69">
          <cell r="F69">
            <v>7.64039100988851E-2</v>
          </cell>
          <cell r="G69">
            <v>7.0308197601587005E-2</v>
          </cell>
          <cell r="H69">
            <v>0.12980765734115701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</row>
      </sheetData>
      <sheetData sheetId="67">
        <row r="5">
          <cell r="F5">
            <v>0</v>
          </cell>
          <cell r="G5">
            <v>0</v>
          </cell>
          <cell r="H5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  <row r="19">
          <cell r="F19">
            <v>4.3847693275359223</v>
          </cell>
          <cell r="G19">
            <v>5.9393037976392433</v>
          </cell>
          <cell r="H19">
            <v>6.5777612500410401</v>
          </cell>
        </row>
        <row r="20">
          <cell r="F20">
            <v>7.6473967645430649</v>
          </cell>
          <cell r="G20">
            <v>8.4159034356777553</v>
          </cell>
          <cell r="H20">
            <v>9.8526420215279114</v>
          </cell>
        </row>
        <row r="21">
          <cell r="F21">
            <v>0</v>
          </cell>
          <cell r="G21">
            <v>0</v>
          </cell>
          <cell r="H21">
            <v>0</v>
          </cell>
        </row>
        <row r="28">
          <cell r="F28">
            <v>3.364440593033204</v>
          </cell>
          <cell r="G28">
            <v>8.8420954571553683</v>
          </cell>
          <cell r="H28">
            <v>8.9887353531115188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4.8201617418120408</v>
          </cell>
          <cell r="G38">
            <v>3.1082727338423317</v>
          </cell>
          <cell r="H38">
            <v>3.4771842108743654</v>
          </cell>
        </row>
        <row r="39">
          <cell r="F39">
            <v>4.3991232585803424</v>
          </cell>
          <cell r="G39">
            <v>2.8367668161103174</v>
          </cell>
          <cell r="H39">
            <v>3.1734540780524338</v>
          </cell>
        </row>
      </sheetData>
      <sheetData sheetId="68">
        <row r="3">
          <cell r="F3">
            <v>54.422740430386099</v>
          </cell>
          <cell r="G3">
            <v>54.940517399946707</v>
          </cell>
          <cell r="H3">
            <v>56.29531093833738</v>
          </cell>
        </row>
        <row r="6">
          <cell r="F6">
            <v>13.916483001266689</v>
          </cell>
          <cell r="G6">
            <v>15.267812582975983</v>
          </cell>
          <cell r="H6">
            <v>15.283544581473652</v>
          </cell>
        </row>
        <row r="11">
          <cell r="F11">
            <v>68.549197273009369</v>
          </cell>
          <cell r="G11">
            <v>69.194224997146904</v>
          </cell>
          <cell r="H11">
            <v>73.007197635400985</v>
          </cell>
        </row>
        <row r="18">
          <cell r="F18">
            <v>1.0816076551075618E-3</v>
          </cell>
          <cell r="G18">
            <v>6.0440432822879355E-5</v>
          </cell>
          <cell r="H18">
            <v>5.2895793472374137E-4</v>
          </cell>
        </row>
        <row r="19">
          <cell r="F19">
            <v>15.586868104992259</v>
          </cell>
          <cell r="G19">
            <v>15.98553490453796</v>
          </cell>
          <cell r="H19">
            <v>20.427107778096261</v>
          </cell>
        </row>
        <row r="21">
          <cell r="F21">
            <v>10.77010554646103</v>
          </cell>
          <cell r="G21">
            <v>10.720091296318113</v>
          </cell>
          <cell r="H21">
            <v>6.2897265841494452</v>
          </cell>
        </row>
        <row r="22">
          <cell r="F22">
            <v>0.19438870338494443</v>
          </cell>
          <cell r="G22">
            <v>0.19444796025340907</v>
          </cell>
          <cell r="H22">
            <v>0.19133641525995443</v>
          </cell>
        </row>
        <row r="23">
          <cell r="F23">
            <v>3.6445260740539105</v>
          </cell>
          <cell r="G23">
            <v>8.531659405379008</v>
          </cell>
          <cell r="H23">
            <v>8.4330502582900291</v>
          </cell>
        </row>
        <row r="24">
          <cell r="F24">
            <v>5.2766525857770974</v>
          </cell>
          <cell r="G24">
            <v>6.7799847644451177</v>
          </cell>
          <cell r="H24">
            <v>8.0212160183631713</v>
          </cell>
        </row>
        <row r="33">
          <cell r="F33">
            <v>17.881196660099334</v>
          </cell>
          <cell r="G33">
            <v>18.446208086318311</v>
          </cell>
          <cell r="H33">
            <v>18.765111836940051</v>
          </cell>
        </row>
        <row r="34">
          <cell r="F34">
            <v>3.4284969652169943</v>
          </cell>
          <cell r="G34">
            <v>1.8321391762840704</v>
          </cell>
          <cell r="H34">
            <v>1.1347903114007753E-5</v>
          </cell>
        </row>
        <row r="35">
          <cell r="F35">
            <v>1.3719825468158778E-3</v>
          </cell>
          <cell r="G35">
            <v>6.9297636534172198E-5</v>
          </cell>
          <cell r="H35">
            <v>0</v>
          </cell>
        </row>
        <row r="36">
          <cell r="F36">
            <v>1.076249905068329</v>
          </cell>
          <cell r="G36">
            <v>1.221366816422379</v>
          </cell>
          <cell r="H36">
            <v>1.0665457935521907</v>
          </cell>
        </row>
        <row r="37">
          <cell r="F37">
            <v>9.9155176578729218</v>
          </cell>
          <cell r="G37">
            <v>2.3055447069097972</v>
          </cell>
          <cell r="H37">
            <v>0.390866973806408</v>
          </cell>
        </row>
        <row r="38">
          <cell r="F38">
            <v>1.6267735419664688</v>
          </cell>
          <cell r="G38">
            <v>1.6181011994920336</v>
          </cell>
          <cell r="H38">
            <v>1.6168398763292351</v>
          </cell>
        </row>
        <row r="39">
          <cell r="F39">
            <v>3.2436108601664548</v>
          </cell>
          <cell r="G39">
            <v>3.2436109908881878</v>
          </cell>
          <cell r="H39">
            <v>3.2436106880120739</v>
          </cell>
        </row>
        <row r="55">
          <cell r="F55">
            <v>13.157338605202938</v>
          </cell>
          <cell r="G55">
            <v>13.15733995954842</v>
          </cell>
          <cell r="H55">
            <v>13.15733895199423</v>
          </cell>
        </row>
        <row r="56">
          <cell r="F56">
            <v>7.601907746604109</v>
          </cell>
          <cell r="G56">
            <v>9.6926223962473053</v>
          </cell>
          <cell r="H56">
            <v>11.291366629593188</v>
          </cell>
        </row>
        <row r="57">
          <cell r="F57">
            <v>3.5447640623738645</v>
          </cell>
          <cell r="G57">
            <v>2.4123908555244395</v>
          </cell>
          <cell r="H57">
            <v>0.84932977751091854</v>
          </cell>
        </row>
        <row r="58">
          <cell r="F58">
            <v>9.5772956658665936E-4</v>
          </cell>
          <cell r="G58">
            <v>4.8880820370291711E-5</v>
          </cell>
          <cell r="H58">
            <v>0</v>
          </cell>
        </row>
        <row r="59">
          <cell r="F59">
            <v>9.5981237682847347</v>
          </cell>
          <cell r="G59">
            <v>3.2838292089235686</v>
          </cell>
          <cell r="H59">
            <v>1.6831928139738728</v>
          </cell>
        </row>
        <row r="60">
          <cell r="F60">
            <v>5.9917974750430935E-3</v>
          </cell>
          <cell r="G60">
            <v>2.1559031909000573E-3</v>
          </cell>
          <cell r="H60">
            <v>6.454687616321635E-3</v>
          </cell>
        </row>
        <row r="61">
          <cell r="F61">
            <v>7.273811480598358E-4</v>
          </cell>
          <cell r="G61">
            <v>4.0797292155443544E-5</v>
          </cell>
          <cell r="H61">
            <v>3.5969139561214421E-4</v>
          </cell>
        </row>
        <row r="62">
          <cell r="F62">
            <v>8.4804564628839145</v>
          </cell>
          <cell r="G62">
            <v>8.9016002569551169</v>
          </cell>
          <cell r="H62">
            <v>10.617300655748442</v>
          </cell>
        </row>
        <row r="63">
          <cell r="F63">
            <v>6.1607099923588997</v>
          </cell>
          <cell r="G63">
            <v>6.1931771619026348</v>
          </cell>
          <cell r="H63">
            <v>7.9935154893469074</v>
          </cell>
        </row>
        <row r="64">
          <cell r="F64">
            <v>6.7611454847456987</v>
          </cell>
          <cell r="G64">
            <v>7.2558728410268571</v>
          </cell>
          <cell r="H64">
            <v>8.4371812535291681</v>
          </cell>
        </row>
        <row r="65">
          <cell r="F65">
            <v>0.54500523045068971</v>
          </cell>
          <cell r="G65">
            <v>0.54500772050391855</v>
          </cell>
          <cell r="H65">
            <v>0.54501790403992056</v>
          </cell>
        </row>
        <row r="66">
          <cell r="F66">
            <v>5.6866157285314287</v>
          </cell>
          <cell r="G66">
            <v>5.6602082044559632</v>
          </cell>
          <cell r="H66">
            <v>3.4216112617772998</v>
          </cell>
        </row>
        <row r="67">
          <cell r="F67">
            <v>0.19438870338494443</v>
          </cell>
          <cell r="G67">
            <v>0.19444796025340907</v>
          </cell>
          <cell r="H67">
            <v>0.19133641525995443</v>
          </cell>
        </row>
        <row r="68">
          <cell r="F68">
            <v>2.3062073215783458</v>
          </cell>
          <cell r="G68">
            <v>2.3062074145215017</v>
          </cell>
          <cell r="H68">
            <v>2.335399695368694</v>
          </cell>
        </row>
        <row r="69">
          <cell r="F69">
            <v>2.6933322422853547</v>
          </cell>
          <cell r="G69">
            <v>6.7999883130037109</v>
          </cell>
          <cell r="H69">
            <v>6.7999579461727313</v>
          </cell>
        </row>
        <row r="70">
          <cell r="F70">
            <v>10.161806693866222</v>
          </cell>
          <cell r="G70">
            <v>11.075423957562252</v>
          </cell>
          <cell r="H70">
            <v>11.078619312572144</v>
          </cell>
        </row>
        <row r="71">
          <cell r="F71">
            <v>76.899478950740829</v>
          </cell>
          <cell r="G71">
            <v>77.480361831732509</v>
          </cell>
          <cell r="H71">
            <v>78.407982485899396</v>
          </cell>
        </row>
      </sheetData>
      <sheetData sheetId="69">
        <row r="3">
          <cell r="F3">
            <v>51.346090451225066</v>
          </cell>
          <cell r="G3">
            <v>47.541405768968822</v>
          </cell>
          <cell r="H3">
            <v>40.919087325444025</v>
          </cell>
        </row>
        <row r="6">
          <cell r="F6">
            <v>7.8317749746311929</v>
          </cell>
          <cell r="G6">
            <v>10.030477617458359</v>
          </cell>
          <cell r="H6">
            <v>15.118155086408553</v>
          </cell>
        </row>
        <row r="11">
          <cell r="F11">
            <v>57.134760493085921</v>
          </cell>
          <cell r="G11">
            <v>54.456921186997697</v>
          </cell>
          <cell r="H11">
            <v>47.062996644226132</v>
          </cell>
        </row>
        <row r="12">
          <cell r="F12">
            <v>8.5639235097453081</v>
          </cell>
          <cell r="G12">
            <v>2.7451284115012582</v>
          </cell>
          <cell r="H12">
            <v>1.0736064445898351E-5</v>
          </cell>
        </row>
        <row r="13">
          <cell r="F13">
            <v>5.6106244549872599E-4</v>
          </cell>
          <cell r="G13">
            <v>6.9653399929128074E-4</v>
          </cell>
          <cell r="H13">
            <v>0.17469351588331319</v>
          </cell>
        </row>
        <row r="14">
          <cell r="F14">
            <v>8.9826162572802755</v>
          </cell>
          <cell r="G14">
            <v>4.8726087282318131</v>
          </cell>
          <cell r="H14">
            <v>2.9849477542713889</v>
          </cell>
        </row>
        <row r="15">
          <cell r="F15">
            <v>0.56874842232851386</v>
          </cell>
          <cell r="G15">
            <v>9.3756843850765059E-3</v>
          </cell>
          <cell r="H15">
            <v>3.326044514949314E-2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11.070638281929464</v>
          </cell>
          <cell r="G17">
            <v>12.09499371345726</v>
          </cell>
          <cell r="H17">
            <v>10.294001400111588</v>
          </cell>
        </row>
        <row r="19">
          <cell r="F19">
            <v>0.95698520669389797</v>
          </cell>
          <cell r="G19">
            <v>1.1346639421122209</v>
          </cell>
          <cell r="H19">
            <v>1.2448581985197693</v>
          </cell>
        </row>
        <row r="20">
          <cell r="F20">
            <v>2.4329569971311481E-3</v>
          </cell>
          <cell r="G20">
            <v>1.7531566008838421E-3</v>
          </cell>
          <cell r="H20">
            <v>3.4126613817227363E-3</v>
          </cell>
        </row>
        <row r="21">
          <cell r="F21">
            <v>15.365995467242099</v>
          </cell>
          <cell r="G21">
            <v>20.087477562080025</v>
          </cell>
          <cell r="H21">
            <v>19.719914138241176</v>
          </cell>
        </row>
        <row r="28">
          <cell r="F28">
            <v>5.7886700418608541</v>
          </cell>
          <cell r="G28">
            <v>6.9155154180288729</v>
          </cell>
          <cell r="H28">
            <v>6.1439093187821143</v>
          </cell>
        </row>
        <row r="47">
          <cell r="F47">
            <v>18.083634233354065</v>
          </cell>
          <cell r="G47">
            <v>23.450249001312113</v>
          </cell>
          <cell r="H47">
            <v>22.624963445798613</v>
          </cell>
        </row>
        <row r="48">
          <cell r="F48">
            <v>7.0078556785498707</v>
          </cell>
          <cell r="G48">
            <v>2.2467604179135918</v>
          </cell>
          <cell r="H48">
            <v>0.14295106421865297</v>
          </cell>
        </row>
        <row r="49">
          <cell r="F49">
            <v>6.2551491944963553</v>
          </cell>
          <cell r="G49">
            <v>1.9251330246247842</v>
          </cell>
          <cell r="H49">
            <v>0.76530723836420422</v>
          </cell>
        </row>
        <row r="50">
          <cell r="F50">
            <v>4.9017779948701161</v>
          </cell>
          <cell r="G50">
            <v>5.8224372110650195</v>
          </cell>
          <cell r="H50">
            <v>5.1203402155229396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9.1781661700065413</v>
          </cell>
          <cell r="G52">
            <v>10.027412991037394</v>
          </cell>
          <cell r="H52">
            <v>8.534291609791234</v>
          </cell>
        </row>
        <row r="53">
          <cell r="F53">
            <v>4.1296954988078785</v>
          </cell>
          <cell r="G53">
            <v>2.6557029111886972</v>
          </cell>
          <cell r="H53">
            <v>1.0354326457628986</v>
          </cell>
        </row>
        <row r="54">
          <cell r="F54">
            <v>0.12983615636499021</v>
          </cell>
          <cell r="G54">
            <v>8.3002278695125664E-2</v>
          </cell>
          <cell r="H54">
            <v>2.7828621316280781E-2</v>
          </cell>
        </row>
        <row r="55">
          <cell r="F55">
            <v>0.95698520669389797</v>
          </cell>
          <cell r="G55">
            <v>1.1346639421122209</v>
          </cell>
          <cell r="H55">
            <v>1.2448581985197693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7.8317749746311929</v>
          </cell>
          <cell r="G58">
            <v>10.030477617458359</v>
          </cell>
          <cell r="H58">
            <v>15.118155086408553</v>
          </cell>
        </row>
        <row r="59">
          <cell r="F59">
            <v>58.730557184919213</v>
          </cell>
          <cell r="G59">
            <v>57.580051547235229</v>
          </cell>
          <cell r="H59">
            <v>54.750997319427483</v>
          </cell>
        </row>
      </sheetData>
      <sheetData sheetId="70">
        <row r="3">
          <cell r="F3">
            <v>43.800469902079335</v>
          </cell>
          <cell r="G3">
            <v>40.740286521504466</v>
          </cell>
          <cell r="H3">
            <v>34.487681925052556</v>
          </cell>
        </row>
        <row r="10">
          <cell r="F10">
            <v>17.395299397465312</v>
          </cell>
          <cell r="G10">
            <v>21.977239538532121</v>
          </cell>
          <cell r="H10">
            <v>32.510241197831355</v>
          </cell>
        </row>
        <row r="15">
          <cell r="F15">
            <v>68.174938120652385</v>
          </cell>
          <cell r="G15">
            <v>66.567968453798102</v>
          </cell>
          <cell r="H15">
            <v>56.668732608684394</v>
          </cell>
        </row>
        <row r="16">
          <cell r="F16">
            <v>13.307381166333487</v>
          </cell>
          <cell r="G16">
            <v>3.668368618712603</v>
          </cell>
          <cell r="H16">
            <v>1.3094429023409852E-5</v>
          </cell>
        </row>
        <row r="17">
          <cell r="F17">
            <v>5.6242166634242689E-4</v>
          </cell>
          <cell r="G17">
            <v>7.0585735383654996E-4</v>
          </cell>
          <cell r="H17">
            <v>0.37365316918514152</v>
          </cell>
        </row>
        <row r="18">
          <cell r="F18">
            <v>19.421961412407391</v>
          </cell>
          <cell r="G18">
            <v>10.55154522586515</v>
          </cell>
          <cell r="H18">
            <v>6.4540970189701179</v>
          </cell>
        </row>
        <row r="19">
          <cell r="F19">
            <v>0.73324398301046267</v>
          </cell>
          <cell r="G19">
            <v>5.4860241107362812E-3</v>
          </cell>
          <cell r="H19">
            <v>4.2661360988173268E-2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17.112336829474554</v>
          </cell>
          <cell r="G21">
            <v>18.460933781074171</v>
          </cell>
          <cell r="H21">
            <v>16.246697082045046</v>
          </cell>
        </row>
        <row r="22">
          <cell r="F22">
            <v>9.584856666334737</v>
          </cell>
          <cell r="G22">
            <v>6.8109860940281344</v>
          </cell>
          <cell r="H22">
            <v>2.6609786318133688</v>
          </cell>
        </row>
        <row r="23">
          <cell r="F23">
            <v>1.7792110035922264</v>
          </cell>
          <cell r="G23">
            <v>2.0701839811456075</v>
          </cell>
          <cell r="H23">
            <v>2.3233748313147817</v>
          </cell>
        </row>
        <row r="24">
          <cell r="F24">
            <v>2.9091104907190239E-3</v>
          </cell>
          <cell r="G24">
            <v>4.2947666684145878E-3</v>
          </cell>
          <cell r="H24">
            <v>8.6983756520706869E-3</v>
          </cell>
        </row>
        <row r="25">
          <cell r="F25">
            <v>51.690140013003713</v>
          </cell>
          <cell r="G25">
            <v>60.534157698690755</v>
          </cell>
          <cell r="H25">
            <v>59.2307259707095</v>
          </cell>
        </row>
        <row r="26">
          <cell r="F26">
            <v>181.80754072696601</v>
          </cell>
          <cell r="G26">
            <v>168.67463050144752</v>
          </cell>
          <cell r="H26">
            <v>144.00963214379161</v>
          </cell>
        </row>
        <row r="102">
          <cell r="F102">
            <v>2.4325909273318638E-2</v>
          </cell>
          <cell r="G102">
            <v>1.9141856811329256E-2</v>
          </cell>
          <cell r="H102">
            <v>1.0756780112869246E-2</v>
          </cell>
        </row>
        <row r="104">
          <cell r="F104">
            <v>55.812135088141915</v>
          </cell>
          <cell r="G104">
            <v>62.634811302173098</v>
          </cell>
          <cell r="H104">
            <v>56.787387329847348</v>
          </cell>
        </row>
        <row r="105">
          <cell r="F105">
            <v>9.594883161913236</v>
          </cell>
          <cell r="G105">
            <v>2.4931701910404906</v>
          </cell>
          <cell r="H105">
            <v>0.28236688150460881</v>
          </cell>
        </row>
        <row r="106">
          <cell r="F106">
            <v>11.295632168102834</v>
          </cell>
          <cell r="G106">
            <v>3.5200837435997707</v>
          </cell>
          <cell r="H106">
            <v>1.3889195057661619</v>
          </cell>
        </row>
        <row r="107">
          <cell r="F107">
            <v>7.3932986502167921</v>
          </cell>
          <cell r="G107">
            <v>8.2681547531513271</v>
          </cell>
          <cell r="H107">
            <v>7.0288510894879836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11.491694947043634</v>
          </cell>
          <cell r="G110">
            <v>12.146477373007523</v>
          </cell>
          <cell r="H110">
            <v>10.239005283769986</v>
          </cell>
        </row>
        <row r="111">
          <cell r="F111">
            <v>5.655202353953884</v>
          </cell>
          <cell r="G111">
            <v>3.9767060631607776</v>
          </cell>
          <cell r="H111">
            <v>1.5835474839319952</v>
          </cell>
        </row>
        <row r="112">
          <cell r="F112">
            <v>0.11174976989963017</v>
          </cell>
          <cell r="G112">
            <v>8.0229028734368948E-2</v>
          </cell>
          <cell r="H112">
            <v>2.7676971603053619E-2</v>
          </cell>
        </row>
        <row r="113">
          <cell r="F113">
            <v>4.7662028847127502E-2</v>
          </cell>
          <cell r="G113">
            <v>4.8390230154601033E-2</v>
          </cell>
          <cell r="H113">
            <v>4.6780968834060882E-2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118.82188347485767</v>
          </cell>
          <cell r="G116">
            <v>115.16440408036539</v>
          </cell>
          <cell r="H116">
            <v>109.90553349268941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23.856922494677317</v>
          </cell>
          <cell r="G224">
            <v>25.917388209054934</v>
          </cell>
          <cell r="H224">
            <v>26.457596040481885</v>
          </cell>
        </row>
        <row r="231">
          <cell r="F231">
            <v>1.7712907353327261</v>
          </cell>
          <cell r="G231">
            <v>1.6015562116872863</v>
          </cell>
          <cell r="H231">
            <v>1.3905854319130884</v>
          </cell>
        </row>
        <row r="233">
          <cell r="F233">
            <v>67.215800804140159</v>
          </cell>
          <cell r="G233">
            <v>76.859581741110645</v>
          </cell>
          <cell r="H233">
            <v>72.529269197742394</v>
          </cell>
        </row>
        <row r="234">
          <cell r="F234">
            <v>10.854613913345304</v>
          </cell>
          <cell r="G234">
            <v>2.9455324966937226</v>
          </cell>
          <cell r="H234">
            <v>0.31105302641744048</v>
          </cell>
        </row>
        <row r="235">
          <cell r="F235">
            <v>13.069543803610221</v>
          </cell>
          <cell r="G235">
            <v>4.2888341580527403</v>
          </cell>
          <cell r="H235">
            <v>1.7206404330220919</v>
          </cell>
        </row>
        <row r="236">
          <cell r="F236">
            <v>10.155322478242578</v>
          </cell>
          <cell r="G236">
            <v>11.74141006596451</v>
          </cell>
          <cell r="H236">
            <v>10.646612761906688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13.935223980310308</v>
          </cell>
          <cell r="G239">
            <v>14.970546384815353</v>
          </cell>
          <cell r="H239">
            <v>13.060801546839597</v>
          </cell>
        </row>
        <row r="240">
          <cell r="F240">
            <v>6.3630671450271121</v>
          </cell>
          <cell r="G240">
            <v>4.5248964074833697</v>
          </cell>
          <cell r="H240">
            <v>1.8346070281586031</v>
          </cell>
        </row>
        <row r="241">
          <cell r="F241">
            <v>0.13943270846904937</v>
          </cell>
          <cell r="G241">
            <v>0.10201130393498734</v>
          </cell>
          <cell r="H241">
            <v>3.5944078025273427E-2</v>
          </cell>
        </row>
        <row r="242">
          <cell r="F242">
            <v>1.7792110035922264</v>
          </cell>
          <cell r="G242">
            <v>2.0701839811456075</v>
          </cell>
          <cell r="H242">
            <v>2.3233748313147817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17.395299397465312</v>
          </cell>
          <cell r="G244">
            <v>21.977239538532121</v>
          </cell>
          <cell r="H244">
            <v>32.510241197831355</v>
          </cell>
        </row>
        <row r="245">
          <cell r="F245">
            <v>142.67880596953501</v>
          </cell>
          <cell r="G245">
            <v>141.08179228942035</v>
          </cell>
          <cell r="H245">
            <v>136.36312953317133</v>
          </cell>
        </row>
      </sheetData>
      <sheetData sheetId="71">
        <row r="21">
          <cell r="F21">
            <v>24.854632075711109</v>
          </cell>
          <cell r="G21">
            <v>8.1090815951489787</v>
          </cell>
          <cell r="H21">
            <v>0</v>
          </cell>
        </row>
        <row r="22">
          <cell r="F22">
            <v>37.903806014775995</v>
          </cell>
          <cell r="G22">
            <v>29.155426207281145</v>
          </cell>
          <cell r="H22">
            <v>0</v>
          </cell>
        </row>
        <row r="23">
          <cell r="F23">
            <v>1.3608185908763699</v>
          </cell>
          <cell r="G23">
            <v>0.33381991522511978</v>
          </cell>
          <cell r="H23">
            <v>-4.1474872598534773E-6</v>
          </cell>
        </row>
        <row r="24">
          <cell r="F24">
            <v>3.1617972147194354E-3</v>
          </cell>
          <cell r="G24">
            <v>2.801182920088882E-3</v>
          </cell>
          <cell r="H24">
            <v>1.8001222163471255E-3</v>
          </cell>
        </row>
        <row r="25">
          <cell r="F25">
            <v>1.440451997193781</v>
          </cell>
          <cell r="G25">
            <v>3.6137109757422481</v>
          </cell>
          <cell r="H25">
            <v>0</v>
          </cell>
        </row>
        <row r="26">
          <cell r="F26">
            <v>1.7828875899695513</v>
          </cell>
          <cell r="G26">
            <v>1.1886199087143801</v>
          </cell>
          <cell r="H26">
            <v>5.9106232002635499</v>
          </cell>
        </row>
        <row r="27">
          <cell r="F27">
            <v>9.0467227927967168E-4</v>
          </cell>
          <cell r="G27">
            <v>7.662948654133568E-4</v>
          </cell>
          <cell r="H27">
            <v>1.0588359017732068E-3</v>
          </cell>
        </row>
        <row r="28">
          <cell r="F28">
            <v>1.18967301001296</v>
          </cell>
          <cell r="G28">
            <v>1.7868134790761001</v>
          </cell>
          <cell r="H28">
            <v>1.6907793352003599</v>
          </cell>
        </row>
        <row r="32">
          <cell r="F32">
            <v>4.6256194499537759E-2</v>
          </cell>
          <cell r="G32">
            <v>6.497414279161845E-2</v>
          </cell>
          <cell r="H32">
            <v>0.37377408930506462</v>
          </cell>
        </row>
      </sheetData>
      <sheetData sheetId="72">
        <row r="11">
          <cell r="F11">
            <v>67.260978079602182</v>
          </cell>
          <cell r="G11">
            <v>54.792887096055779</v>
          </cell>
          <cell r="H11">
            <v>23.872661806550923</v>
          </cell>
        </row>
        <row r="12">
          <cell r="F12">
            <v>16.815246011306041</v>
          </cell>
          <cell r="G12">
            <v>28.226637305598302</v>
          </cell>
          <cell r="H12">
            <v>55.702874742645392</v>
          </cell>
        </row>
        <row r="13">
          <cell r="F13">
            <v>3.08193918966147E-4</v>
          </cell>
          <cell r="G13">
            <v>0.22994490773030138</v>
          </cell>
          <cell r="H13">
            <v>0.56917670576970536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2.5728324500353099</v>
          </cell>
          <cell r="G53">
            <v>2.3573364685231319</v>
          </cell>
          <cell r="H53">
            <v>2.3808887540880939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3.9600047687027669</v>
          </cell>
          <cell r="G55">
            <v>3.3477407344820431</v>
          </cell>
          <cell r="H55">
            <v>3.0733468111252491</v>
          </cell>
        </row>
        <row r="56">
          <cell r="F56">
            <v>1.1561407595144551</v>
          </cell>
          <cell r="G56">
            <v>0.48499493528268101</v>
          </cell>
          <cell r="H56">
            <v>0.16941635518713083</v>
          </cell>
        </row>
        <row r="57">
          <cell r="F57">
            <v>2.4973395158998035</v>
          </cell>
          <cell r="G57">
            <v>1.329564011421781</v>
          </cell>
          <cell r="H57">
            <v>0.37056014440011742</v>
          </cell>
        </row>
        <row r="58">
          <cell r="F58">
            <v>4.7821470740521077</v>
          </cell>
          <cell r="G58">
            <v>2.8011708007138494</v>
          </cell>
          <cell r="H58">
            <v>1.02281145023862E-4</v>
          </cell>
        </row>
        <row r="59">
          <cell r="F59">
            <v>0</v>
          </cell>
          <cell r="G59">
            <v>0</v>
          </cell>
          <cell r="H59">
            <v>-4.3023739154786815</v>
          </cell>
        </row>
        <row r="60">
          <cell r="F60">
            <v>0</v>
          </cell>
          <cell r="G60">
            <v>0</v>
          </cell>
          <cell r="H60">
            <v>-1.6919080603152266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-1.9133756580692577E-5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13.197380407669497</v>
          </cell>
          <cell r="K99">
            <v>7.6433596426480825</v>
          </cell>
          <cell r="L99">
            <v>2.0425598028549814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300.18621340525118</v>
      </c>
      <c r="G2" s="3">
        <f t="shared" ref="G2:K2" si="0">G3+G8+G11+G12+G16+G17+G18+G19</f>
        <v>295.40136239813279</v>
      </c>
      <c r="H2" s="3">
        <f t="shared" si="0"/>
        <v>332.78994579956441</v>
      </c>
      <c r="I2" s="3">
        <f t="shared" si="0"/>
        <v>403.54133984502317</v>
      </c>
      <c r="J2" s="3">
        <f t="shared" si="0"/>
        <v>407.54650741124362</v>
      </c>
      <c r="K2" s="3">
        <f t="shared" si="0"/>
        <v>437.72062924862462</v>
      </c>
      <c r="L2" s="3">
        <f t="shared" ref="L2" si="1">L3+L8+L11+L12+L16+L17+L18+L19</f>
        <v>467.8932699048114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44.972461591864374</v>
      </c>
      <c r="G3" s="1">
        <f t="shared" ref="G3:K3" si="4">SUM(G4:G7)</f>
        <v>47.710014930490367</v>
      </c>
      <c r="H3" s="1">
        <f t="shared" si="4"/>
        <v>47.710008604701798</v>
      </c>
      <c r="I3" s="1">
        <f t="shared" si="4"/>
        <v>47.710006574565298</v>
      </c>
      <c r="J3" s="1">
        <f t="shared" si="4"/>
        <v>47.710008343644539</v>
      </c>
      <c r="K3" s="1">
        <f t="shared" si="4"/>
        <v>47.710007555364328</v>
      </c>
      <c r="L3" s="1">
        <f t="shared" ref="L3" si="5">SUM(L4:L7)</f>
        <v>47.710009895322948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11.111883612464171</v>
      </c>
      <c r="G4" s="1" cm="1">
        <f t="array" ref="G4">SUMPRODUCT(("RNWWOD1"=[1]OUT_PrimaryEnergyCons!$A$1:$A$1000)*1,[1]OUT_PrimaryEnergyCons!E$1:E$1000)</f>
        <v>11.952883870571489</v>
      </c>
      <c r="H4" s="1" cm="1">
        <f t="array" ref="H4">SUMPRODUCT(("RNWWOD1"=[1]OUT_PrimaryEnergyCons!$A$1:$A$1000)*1,[1]OUT_PrimaryEnergyCons!F$1:F$1000)</f>
        <v>13.214391579020344</v>
      </c>
      <c r="I4" s="1" cm="1">
        <f t="array" ref="I4">SUMPRODUCT(("RNWWOD1"=[1]OUT_PrimaryEnergyCons!$A$1:$A$1000)*1,[1]OUT_PrimaryEnergyCons!G$1:G$1000)</f>
        <v>15.316909749719466</v>
      </c>
      <c r="J4" s="1" cm="1">
        <f t="array" ref="J4">SUMPRODUCT(("RNWWOD1"=[2]OUT_PrimaryEnergyCons!$A$1:$A$1000)*1,[2]OUT_PrimaryEnergyCons!H$1:H$1000)</f>
        <v>15.849136682621413</v>
      </c>
      <c r="K4" s="1" cm="1">
        <f t="array" ref="K4">SUMPRODUCT(("RNWWOD1"=[2]OUT_PrimaryEnergyCons!$A$1:$A$1000)*1,[2]OUT_PrimaryEnergyCons!I$1:I$1000)</f>
        <v>16.266394888205685</v>
      </c>
      <c r="L4" s="1" cm="1">
        <f t="array" ref="L4">SUMPRODUCT(("RNWWOD1"=[2]OUT_PrimaryEnergyCons!$A$1:$A$1000)*1,[2]OUT_PrimaryEnergyCons!J$1:J$1000)</f>
        <v>16.956994686248972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7.5116767340058983</v>
      </c>
      <c r="G5" s="1" cm="1">
        <f t="array" ref="G5">SUMPRODUCT(("RNWWOD2"=[1]OUT_PrimaryEnergyCons!$A$1:$A$1000)*1,[1]OUT_PrimaryEnergyCons!E$1:E$1000)</f>
        <v>7.5431417483062084</v>
      </c>
      <c r="H5" s="1" cm="1">
        <f t="array" ref="H5">SUMPRODUCT(("RNWWOD2"=[1]OUT_PrimaryEnergyCons!$A$1:$A$1000)*1,[1]OUT_PrimaryEnergyCons!F$1:F$1000)</f>
        <v>7.5903467656905947</v>
      </c>
      <c r="I5" s="1" cm="1">
        <f t="array" ref="I5">SUMPRODUCT(("RNWWOD2"=[1]OUT_PrimaryEnergyCons!$A$1:$A$1000)*1,[1]OUT_PrimaryEnergyCons!G$1:G$1000)</f>
        <v>7.6690270709706336</v>
      </c>
      <c r="J5" s="1" cm="1">
        <f t="array" ref="J5">SUMPRODUCT(("RNWWOD2"=[2]OUT_PrimaryEnergyCons!$A$1:$A$1000)*1,[2]OUT_PrimaryEnergyCons!H$1:H$1000)</f>
        <v>7.6690251359189991</v>
      </c>
      <c r="K5" s="1" cm="1">
        <f t="array" ref="K5">SUMPRODUCT(("RNWWOD2"=[2]OUT_PrimaryEnergyCons!$A$1:$A$1000)*1,[2]OUT_PrimaryEnergyCons!I$1:I$1000)</f>
        <v>7.6690262146922032</v>
      </c>
      <c r="L5" s="1" cm="1">
        <f t="array" ref="L5">SUMPRODUCT(("RNWWOD2"=[2]OUT_PrimaryEnergyCons!$A$1:$A$1000)*1,[2]OUT_PrimaryEnergyCons!J$1:J$1000)</f>
        <v>7.6690278605218154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3.1682506306825062</v>
      </c>
      <c r="G6" s="1" cm="1">
        <f t="array" ref="G6">SUMPRODUCT(("RNWWOD3"=[1]OUT_PrimaryEnergyCons!$A$1:$A$1000)*1,[1]OUT_PrimaryEnergyCons!E$1:E$1000)</f>
        <v>3.4956722364813468</v>
      </c>
      <c r="H6" s="1" cm="1">
        <f t="array" ref="H6">SUMPRODUCT(("RNWWOD3"=[1]OUT_PrimaryEnergyCons!$A$1:$A$1000)*1,[1]OUT_PrimaryEnergyCons!F$1:F$1000)</f>
        <v>3.9868128606010207</v>
      </c>
      <c r="I6" s="1" cm="1">
        <f t="array" ref="I6">SUMPRODUCT(("RNWWOD3"=[1]OUT_PrimaryEnergyCons!$A$1:$A$1000)*1,[1]OUT_PrimaryEnergyCons!G$1:G$1000)</f>
        <v>4.8053859017374396</v>
      </c>
      <c r="J6" s="1" cm="1">
        <f t="array" ref="J6">SUMPRODUCT(("RNWWOD3"=[2]OUT_PrimaryEnergyCons!$A$1:$A$1000)*1,[2]OUT_PrimaryEnergyCons!H$1:H$1000)</f>
        <v>4.8053832625076343</v>
      </c>
      <c r="K6" s="1" cm="1">
        <f t="array" ref="K6">SUMPRODUCT(("RNWWOD3"=[2]OUT_PrimaryEnergyCons!$A$1:$A$1000)*1,[2]OUT_PrimaryEnergyCons!I$1:I$1000)</f>
        <v>4.8053847013328674</v>
      </c>
      <c r="L6" s="1" cm="1">
        <f t="array" ref="L6">SUMPRODUCT(("RNWWOD3"=[2]OUT_PrimaryEnergyCons!$A$1:$A$1000)*1,[2]OUT_PrimaryEnergyCons!J$1:J$1000)</f>
        <v>4.8053867518718372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23.180650614711801</v>
      </c>
      <c r="G7" s="1" cm="1">
        <f t="array" ref="G7">SUMPRODUCT(("RNWWOD4"=[1]OUT_PrimaryEnergyCons!$A$1:$A$1000)*1+("RNWWOD5"=[1]OUT_PrimaryEnergyCons!$A$1:$A$1000)*1,[1]OUT_PrimaryEnergyCons!E$1:E$1000)</f>
        <v>24.718317075131324</v>
      </c>
      <c r="H7" s="1" cm="1">
        <f t="array" ref="H7">SUMPRODUCT(("RNWWOD4"=[1]OUT_PrimaryEnergyCons!$A$1:$A$1000)*1+("RNWWOD5"=[1]OUT_PrimaryEnergyCons!$A$1:$A$1000)*1,[1]OUT_PrimaryEnergyCons!F$1:F$1000)</f>
        <v>22.918457399389837</v>
      </c>
      <c r="I7" s="1" cm="1">
        <f t="array" ref="I7">SUMPRODUCT(("RNWWOD4"=[1]OUT_PrimaryEnergyCons!$A$1:$A$1000)*1+("RNWWOD5"=[1]OUT_PrimaryEnergyCons!$A$1:$A$1000)*1,[1]OUT_PrimaryEnergyCons!G$1:G$1000)</f>
        <v>19.918683852137761</v>
      </c>
      <c r="J7" s="1" cm="1">
        <f t="array" ref="J7">SUMPRODUCT(("RNWWOD4"=[2]OUT_PrimaryEnergyCons!$A$1:$A$1000)*1+("RNWWOD5"=[2]OUT_PrimaryEnergyCons!$A$1:$A$1000)*1,[2]OUT_PrimaryEnergyCons!H$1:H$1000)</f>
        <v>19.386463262596493</v>
      </c>
      <c r="K7" s="1" cm="1">
        <f t="array" ref="K7">SUMPRODUCT(("RNWWOD4"=[2]OUT_PrimaryEnergyCons!$A$1:$A$1000)*1+("RNWWOD5"=[2]OUT_PrimaryEnergyCons!$A$1:$A$1000)*1,[2]OUT_PrimaryEnergyCons!I$1:I$1000)</f>
        <v>18.969201751133571</v>
      </c>
      <c r="L7" s="1" cm="1">
        <f t="array" ref="L7">SUMPRODUCT(("RNWWOD4"=[2]OUT_PrimaryEnergyCons!$A$1:$A$1000)*1+("RNWWOD5"=[2]OUT_PrimaryEnergyCons!$A$1:$A$1000)*1,[2]OUT_PrimaryEnergyCons!J$1:J$1000)</f>
        <v>18.278600596680324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70.031550156482695</v>
      </c>
      <c r="G8" s="1">
        <f t="shared" ref="G8:K8" si="9">SUM(G9:G10)</f>
        <v>70.696993377344256</v>
      </c>
      <c r="H8" s="1">
        <f t="shared" si="9"/>
        <v>70.304051128228977</v>
      </c>
      <c r="I8" s="1">
        <f t="shared" si="9"/>
        <v>70.761667088324273</v>
      </c>
      <c r="J8" s="1">
        <f t="shared" si="9"/>
        <v>72.229559702737689</v>
      </c>
      <c r="K8" s="1">
        <f t="shared" si="9"/>
        <v>74.046852165997663</v>
      </c>
      <c r="L8" s="1">
        <f t="shared" ref="L8" si="10">SUM(L9:L10)</f>
        <v>78.013045190359449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35.931102390996308</v>
      </c>
      <c r="G9" s="1" cm="1">
        <f t="array" ref="G9">SUMPRODUCT(("RNNWWST1"=[1]OUT_PrimaryEnergyCons!$A$1:$A$1000)*1,[1]OUT_PrimaryEnergyCons!E$1:E$1000)</f>
        <v>35.882392031879647</v>
      </c>
      <c r="H9" s="1" cm="1">
        <f t="array" ref="H9">SUMPRODUCT(("RNNWWST1"=[1]OUT_PrimaryEnergyCons!$A$1:$A$1000)*1,[1]OUT_PrimaryEnergyCons!F$1:F$1000)</f>
        <v>35.489435266881891</v>
      </c>
      <c r="I9" s="1" cm="1">
        <f t="array" ref="I9">SUMPRODUCT(("RNNWWST1"=[1]OUT_PrimaryEnergyCons!$A$1:$A$1000)*1,[1]OUT_PrimaryEnergyCons!G$1:G$1000)</f>
        <v>35.039963709971552</v>
      </c>
      <c r="J9" s="1" cm="1">
        <f t="array" ref="J9">SUMPRODUCT(("RNNWWST1"=[2]OUT_PrimaryEnergyCons!$A$1:$A$1000)*1,[2]OUT_PrimaryEnergyCons!H$1:H$1000)</f>
        <v>34.93759185269144</v>
      </c>
      <c r="K9" s="1" cm="1">
        <f t="array" ref="K9">SUMPRODUCT(("RNNWWST1"=[2]OUT_PrimaryEnergyCons!$A$1:$A$1000)*1,[2]OUT_PrimaryEnergyCons!I$1:I$1000)</f>
        <v>35.159448741415488</v>
      </c>
      <c r="L9" s="1" cm="1">
        <f t="array" ref="L9">SUMPRODUCT(("RNNWWST1"=[2]OUT_PrimaryEnergyCons!$A$1:$A$1000)*1,[2]OUT_PrimaryEnergyCons!J$1:J$1000)</f>
        <v>35.852882538906343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34.100447765486386</v>
      </c>
      <c r="G10" s="1" cm="1">
        <f t="array" ref="G10">SUMPRODUCT(("RNWWST1"=[1]OUT_PrimaryEnergyCons!$A$1:$A$1000)*1,[1]OUT_PrimaryEnergyCons!E$1:E$1000)</f>
        <v>34.814601345464617</v>
      </c>
      <c r="H10" s="1" cm="1">
        <f t="array" ref="H10">SUMPRODUCT(("RNWWST1"=[1]OUT_PrimaryEnergyCons!$A$1:$A$1000)*1,[1]OUT_PrimaryEnergyCons!F$1:F$1000)</f>
        <v>34.814615861347086</v>
      </c>
      <c r="I10" s="1" cm="1">
        <f t="array" ref="I10">SUMPRODUCT(("RNWWST1"=[1]OUT_PrimaryEnergyCons!$A$1:$A$1000)*1,[1]OUT_PrimaryEnergyCons!G$1:G$1000)</f>
        <v>35.721703378352721</v>
      </c>
      <c r="J10" s="1" cm="1">
        <f t="array" ref="J10">SUMPRODUCT(("RNWWST1"=[2]OUT_PrimaryEnergyCons!$A$1:$A$1000)*1,[2]OUT_PrimaryEnergyCons!H$1:H$1000)</f>
        <v>37.291967850046248</v>
      </c>
      <c r="K10" s="1" cm="1">
        <f t="array" ref="K10">SUMPRODUCT(("RNWWST1"=[2]OUT_PrimaryEnergyCons!$A$1:$A$1000)*1,[2]OUT_PrimaryEnergyCons!I$1:I$1000)</f>
        <v>38.887403424582175</v>
      </c>
      <c r="L10" s="1" cm="1">
        <f t="array" ref="L10">SUMPRODUCT(("RNWWST1"=[2]OUT_PrimaryEnergyCons!$A$1:$A$1000)*1,[2]OUT_PrimaryEnergyCons!J$1:J$1000)</f>
        <v>42.160162651453106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3.7980976375255682</v>
      </c>
      <c r="G11" s="1" cm="1">
        <f t="array" ref="G11">SUMPRODUCT(("mnr"=[1]OUT_PrimaryEnergyCons!$C$1:$C$1000)*1,[1]OUT_PrimaryEnergyCons!E$1:E$1000)</f>
        <v>12.540437081035764</v>
      </c>
      <c r="H11" s="1" cm="1">
        <f t="array" ref="H11">SUMPRODUCT(("mnr"=[1]OUT_PrimaryEnergyCons!$C$1:$C$1000)*1,[1]OUT_PrimaryEnergyCons!F$1:F$1000)</f>
        <v>12.540437578469644</v>
      </c>
      <c r="I11" s="1" cm="1">
        <f t="array" ref="I11">SUMPRODUCT(("mnr"=[1]OUT_PrimaryEnergyCons!$C$1:$C$1000)*1,[1]OUT_PrimaryEnergyCons!G$1:G$1000)</f>
        <v>12.540432358427442</v>
      </c>
      <c r="J11" s="1" cm="1">
        <f t="array" ref="J11">SUMPRODUCT(("mnr"=[2]OUT_PrimaryEnergyCons!$C$1:$C$1000)*1,[2]OUT_PrimaryEnergyCons!H$1:H$1000)</f>
        <v>12.540440276752715</v>
      </c>
      <c r="K11" s="1" cm="1">
        <f t="array" ref="K11">SUMPRODUCT(("mnr"=[2]OUT_PrimaryEnergyCons!$C$1:$C$1000)*1,[2]OUT_PrimaryEnergyCons!I$1:I$1000)</f>
        <v>16.986408861248218</v>
      </c>
      <c r="L11" s="1" cm="1">
        <f t="array" ref="L11">SUMPRODUCT(("mnr"=[2]OUT_PrimaryEnergyCons!$C$1:$C$1000)*1,[2]OUT_PrimaryEnergyCons!J$1:J$1000)</f>
        <v>18.812397175117344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149.43048821932658</v>
      </c>
      <c r="G12" s="1">
        <f t="shared" ref="G12:K12" si="11">SUM(G13:G15)</f>
        <v>125.60779835461643</v>
      </c>
      <c r="H12" s="1">
        <f t="shared" si="11"/>
        <v>137.24453937980664</v>
      </c>
      <c r="I12" s="1">
        <f t="shared" si="11"/>
        <v>178.65652776019766</v>
      </c>
      <c r="J12" s="1">
        <f t="shared" si="11"/>
        <v>150.86493941381841</v>
      </c>
      <c r="K12" s="1">
        <f t="shared" si="11"/>
        <v>150.98000193718866</v>
      </c>
      <c r="L12" s="1">
        <f t="shared" ref="L12" si="12">SUM(L13:L15)</f>
        <v>151.64867002504775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66.745680187895957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49.798797958533733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69.082959718964602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69.713682638439238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71.585479861080117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72.148440675854189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74.655251711943095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66.632402849791305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55.763999829976299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65.56163759729597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64.930930936670293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63.394822178807196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62.831869373152443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60.662379421265889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16.05240518163934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20.045000566106399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2.5999420635460826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44.011914185088131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15.884637373931088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15.999691888182046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16.331038891838759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12.556480224862469</v>
      </c>
      <c r="G16" s="1" cm="1">
        <f t="array" ref="G16">SUMPRODUCT(ISNUMBER(SEARCH("SOL",[1]OUT_PrimaryEnergyCons!$C$1:$C$1000))*1,[1]OUT_PrimaryEnergyCons!E$1:E$1000)</f>
        <v>16.522288790907528</v>
      </c>
      <c r="H16" s="1" cm="1">
        <f t="array" ref="H16">SUMPRODUCT(ISNUMBER(SEARCH("SOL",[1]OUT_PrimaryEnergyCons!$C$1:$C$1000))*1,[1]OUT_PrimaryEnergyCons!F$1:F$1000)</f>
        <v>30.505487253586391</v>
      </c>
      <c r="I16" s="1" cm="1">
        <f t="array" ref="I16">SUMPRODUCT(ISNUMBER(SEARCH("SOL",[1]OUT_PrimaryEnergyCons!$C$1:$C$1000))*1,[1]OUT_PrimaryEnergyCons!G$1:G$1000)</f>
        <v>33.952978007595654</v>
      </c>
      <c r="J16" s="1" cm="1">
        <f t="array" ref="J16">SUMPRODUCT(ISNUMBER(SEARCH("SOL",[2]OUT_PrimaryEnergyCons!$C$1:$C$1000))*1,[2]OUT_PrimaryEnergyCons!H$1:H$1000)</f>
        <v>50.988267628186634</v>
      </c>
      <c r="K16" s="1" cm="1">
        <f t="array" ref="K16">SUMPRODUCT(ISNUMBER(SEARCH("SOL",[2]OUT_PrimaryEnergyCons!$C$1:$C$1000))*1,[2]OUT_PrimaryEnergyCons!I$1:I$1000)</f>
        <v>59.715198318417968</v>
      </c>
      <c r="L16" s="1" cm="1">
        <f t="array" ref="L16">SUMPRODUCT(ISNUMBER(SEARCH("SOL",[2]OUT_PrimaryEnergyCons!$C$1:$C$1000))*1,[2]OUT_PrimaryEnergyCons!J$1:J$1000)</f>
        <v>83.856740880761976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0.52401835247362338</v>
      </c>
      <c r="G17" s="1" cm="1">
        <f t="array" ref="G17">SUMPRODUCT(ISNUMBER(SEARCH("wnd",[1]OUT_PrimaryEnergyCons!$C$1:$C$1000))*1,[1]OUT_PrimaryEnergyCons!E$1:E$1000)</f>
        <v>0.54529499845466467</v>
      </c>
      <c r="H17" s="1" cm="1">
        <f t="array" ref="H17">SUMPRODUCT(ISNUMBER(SEARCH("wnd",[1]OUT_PrimaryEnergyCons!$C$1:$C$1000))*1,[1]OUT_PrimaryEnergyCons!F$1:F$1000)</f>
        <v>0.50316759802165822</v>
      </c>
      <c r="I17" s="1" cm="1">
        <f t="array" ref="I17">SUMPRODUCT(ISNUMBER(SEARCH("wnd",[1]OUT_PrimaryEnergyCons!$C$1:$C$1000))*1,[1]OUT_PrimaryEnergyCons!G$1:G$1000)</f>
        <v>1.6453522125012729</v>
      </c>
      <c r="J17" s="1" cm="1">
        <f t="array" ref="J17">SUMPRODUCT(ISNUMBER(SEARCH("wnd",[2]OUT_PrimaryEnergyCons!$C$1:$C$1000))*1,[2]OUT_PrimaryEnergyCons!H$1:H$1000)</f>
        <v>0.88050398008072328</v>
      </c>
      <c r="K17" s="1" cm="1">
        <f t="array" ref="K17">SUMPRODUCT(ISNUMBER(SEARCH("wnd",[2]OUT_PrimaryEnergyCons!$C$1:$C$1000))*1,[2]OUT_PrimaryEnergyCons!I$1:I$1000)</f>
        <v>0.88054038519190847</v>
      </c>
      <c r="L17" s="1" cm="1">
        <f t="array" ref="L17">SUMPRODUCT(ISNUMBER(SEARCH("wnd",[2]OUT_PrimaryEnergyCons!$C$1:$C$1000))*1,[2]OUT_PrimaryEnergyCons!J$1:J$1000)</f>
        <v>0.88055061088806164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18.873117222715901</v>
      </c>
      <c r="G18" s="1">
        <f>[1]Overview!C$9-G19</f>
        <v>21.778534865283806</v>
      </c>
      <c r="H18" s="1">
        <f>[1]Overview!D$9-H19</f>
        <v>33.982254256749307</v>
      </c>
      <c r="I18" s="1">
        <f>[1]Overview!E$9-I19</f>
        <v>58.274375843411519</v>
      </c>
      <c r="J18" s="1">
        <f>[2]Overview!F$9-J19</f>
        <v>72.332788066022914</v>
      </c>
      <c r="K18" s="1">
        <f>[2]Overview!G$9-K19</f>
        <v>87.401620025215891</v>
      </c>
      <c r="L18" s="1">
        <f>[2]Overview!H$9-L19</f>
        <v>86.971856127313856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</v>
      </c>
      <c r="L19" s="1">
        <f>+[2]Overview!H$28</f>
        <v>0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780.8898825531777</v>
      </c>
      <c r="G20" s="3">
        <f t="shared" si="13"/>
        <v>703.03717422868715</v>
      </c>
      <c r="H20" s="3">
        <f t="shared" si="13"/>
        <v>651.20694316298079</v>
      </c>
      <c r="I20" s="3">
        <f t="shared" si="13"/>
        <v>506.11044461011778</v>
      </c>
      <c r="J20" s="3">
        <f t="shared" si="13"/>
        <v>407.80546536782583</v>
      </c>
      <c r="K20" s="3">
        <f t="shared" si="13"/>
        <v>340.12194219994376</v>
      </c>
      <c r="L20" s="3">
        <f t="shared" ref="L20" si="14">SUM(L21:L22,L41,L50:L51,L56)</f>
        <v>209.0457743719551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3.6600301925056655</v>
      </c>
      <c r="G21" s="1" cm="1">
        <f t="array" ref="G21">SUMPRODUCT(("COA"=[1]OUT_PrimaryEnergyCons!$C$4:$C$10000)*1,[1]OUT_PrimaryEnergyCons!E$4:E$10000)</f>
        <v>3.5647245036537694</v>
      </c>
      <c r="H21" s="1" cm="1">
        <f t="array" ref="H21">SUMPRODUCT(("COA"=[1]OUT_PrimaryEnergyCons!$C$4:$C$10000)*1,[1]OUT_PrimaryEnergyCons!F$4:F$10000)</f>
        <v>1.015348537801664</v>
      </c>
      <c r="I21" s="1" cm="1">
        <f t="array" ref="I21">SUMPRODUCT(("COA"=[1]OUT_PrimaryEnergyCons!$C$4:$C$10000)*1,[1]OUT_PrimaryEnergyCons!G$4:G$10000)</f>
        <v>4.4505442796075246E-4</v>
      </c>
      <c r="J21" s="1" cm="1">
        <f t="array" ref="J21">SUMPRODUCT(("COA"=[2]OUT_PrimaryEnergyCons!$C$4:$C$10000)*1,[2]OUT_PrimaryEnergyCons!H$4:H$10000)</f>
        <v>1.0816076551075618E-3</v>
      </c>
      <c r="K21" s="1" cm="1">
        <f t="array" ref="K21">SUMPRODUCT(("COA"=[2]OUT_PrimaryEnergyCons!$C$4:$C$10000)*1,[2]OUT_PrimaryEnergyCons!I$4:I$10000)</f>
        <v>6.0440432822879355E-5</v>
      </c>
      <c r="L21" s="1" cm="1">
        <f t="array" ref="L21">SUMPRODUCT(("COA"=[2]OUT_PrimaryEnergyCons!$C$4:$C$10000)*1,[2]OUT_PrimaryEnergyCons!J$4:J$10000)</f>
        <v>5.2895793472374137E-4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311.9251512066121</v>
      </c>
      <c r="G22" s="1">
        <f t="shared" ref="G22:K22" si="15">G23+G29</f>
        <v>288.66006589881744</v>
      </c>
      <c r="H22" s="1">
        <f t="shared" si="15"/>
        <v>261.49557346238208</v>
      </c>
      <c r="I22" s="1">
        <f t="shared" si="15"/>
        <v>184.10766878344154</v>
      </c>
      <c r="J22" s="1">
        <f t="shared" si="15"/>
        <v>113.8651396200538</v>
      </c>
      <c r="K22" s="1">
        <f t="shared" si="15"/>
        <v>82.729026198394962</v>
      </c>
      <c r="L22" s="1">
        <f t="shared" ref="L22" si="16">L23+L29</f>
        <v>65.226465185955902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305.33184798729502</v>
      </c>
      <c r="G23" s="1">
        <f t="shared" ref="G23:K23" si="20">SUM(G24:G28)</f>
        <v>281.88343700152564</v>
      </c>
      <c r="H23" s="1">
        <f t="shared" si="20"/>
        <v>254.58843199973015</v>
      </c>
      <c r="I23" s="1">
        <f t="shared" si="20"/>
        <v>171.65599130129391</v>
      </c>
      <c r="J23" s="1">
        <f t="shared" si="20"/>
        <v>91.31876152137157</v>
      </c>
      <c r="K23" s="1">
        <f t="shared" si="20"/>
        <v>46.56238096357724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101.77479041962813</v>
      </c>
      <c r="G24" s="1" cm="1">
        <f t="array" ref="G24">SUMPRODUCT(("LFO"=[1]OUT_PrimaryEnergyCons!$C$4:$C$10000)*1,[1]OUT_PrimaryEnergyCons!E$4:E$10000)</f>
        <v>88.214731466403308</v>
      </c>
      <c r="H24" s="1" cm="1">
        <f t="array" ref="H24">SUMPRODUCT(("LFO"=[1]OUT_PrimaryEnergyCons!$C$4:$C$10000)*1,[1]OUT_PrimaryEnergyCons!F$4:F$10000)</f>
        <v>85.424661713999356</v>
      </c>
      <c r="I24" s="1" cm="1">
        <f t="array" ref="I24">SUMPRODUCT(("LFO"=[1]OUT_PrimaryEnergyCons!$C$4:$C$10000)*1,[1]OUT_PrimaryEnergyCons!G$4:G$10000)</f>
        <v>41.482708882093839</v>
      </c>
      <c r="J24" s="1" cm="1">
        <f t="array" ref="J24">SUMPRODUCT(("LFO"=[2]OUT_PrimaryEnergyCons!$C$4:$C$10000)*1,[2]OUT_PrimaryEnergyCons!H$4:H$10000)</f>
        <v>26.241750718467024</v>
      </c>
      <c r="K24" s="1" cm="1">
        <f t="array" ref="K24">SUMPRODUCT(("LFO"=[2]OUT_PrimaryEnergyCons!$C$4:$C$10000)*1,[2]OUT_PrimaryEnergyCons!I$4:I$10000)</f>
        <v>8.4031908427171853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2.7763812609812386</v>
      </c>
      <c r="G25" s="1" cm="1">
        <f t="array" ref="G25">SUMPRODUCT(("HFO"=[1]OUT_PrimaryEnergyCons!$C$4:$C$10000)*1,[1]OUT_PrimaryEnergyCons!E$4:E$10000)</f>
        <v>2.7644141004072029</v>
      </c>
      <c r="H25" s="1" cm="1">
        <f t="array" ref="H25">SUMPRODUCT(("HFO"=[1]OUT_PrimaryEnergyCons!$C$4:$C$10000)*1,[1]OUT_PrimaryEnergyCons!F$4:F$10000)</f>
        <v>6.1040016997173426E-3</v>
      </c>
      <c r="I25" s="1" cm="1">
        <f t="array" ref="I25">SUMPRODUCT(("HFO"=[1]OUT_PrimaryEnergyCons!$C$4:$C$10000)*1,[1]OUT_PrimaryEnergyCons!G$4:G$10000)</f>
        <v>5.7215508914488719E-4</v>
      </c>
      <c r="J25" s="1" cm="1">
        <f t="array" ref="J25">SUMPRODUCT(("HFO"=[2]OUT_PrimaryEnergyCons!$C$4:$C$10000)*1,[2]OUT_PrimaryEnergyCons!H$4:H$10000)</f>
        <v>1.3952854397184253E-3</v>
      </c>
      <c r="K25" s="1" cm="1">
        <f t="array" ref="K25">SUMPRODUCT(("HFO"=[2]OUT_PrimaryEnergyCons!$C$4:$C$10000)*1,[2]OUT_PrimaryEnergyCons!I$4:I$10000)</f>
        <v>7.0474645240517107E-5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122.16104762033362</v>
      </c>
      <c r="G26" s="1" cm="1">
        <f t="array" ref="G26">SUMPRODUCT(("DSL"=[1]OUT_PrimaryEnergyCons!$C$4:$C$10000)*1,[1]OUT_PrimaryEnergyCons!E$4:E$10000)</f>
        <v>112.68604527998711</v>
      </c>
      <c r="H26" s="1" cm="1">
        <f t="array" ref="H26">SUMPRODUCT(("DSL"=[1]OUT_PrimaryEnergyCons!$C$4:$C$10000)*1,[1]OUT_PrimaryEnergyCons!F$4:F$10000)</f>
        <v>97.37049135531646</v>
      </c>
      <c r="I26" s="1" cm="1">
        <f t="array" ref="I26">SUMPRODUCT(("DSL"=[1]OUT_PrimaryEnergyCons!$C$4:$C$10000)*1,[1]OUT_PrimaryEnergyCons!G$4:G$10000)</f>
        <v>69.421194260625285</v>
      </c>
      <c r="J26" s="1" cm="1">
        <f t="array" ref="J26">SUMPRODUCT(("DSL"=[2]OUT_PrimaryEnergyCons!$C$4:$C$10000)*1,[2]OUT_PrimaryEnergyCons!H$4:H$10000)</f>
        <v>38.469152711896932</v>
      </c>
      <c r="K26" s="1" cm="1">
        <f t="array" ref="K26">SUMPRODUCT(("DSL"=[2]OUT_PrimaryEnergyCons!$C$4:$C$10000)*1,[2]OUT_PrimaryEnergyCons!I$4:I$10000)</f>
        <v>29.590288181379915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77.512763226318825</v>
      </c>
      <c r="G27" s="1" cm="1">
        <f t="array" ref="G27">SUMPRODUCT(("GSL"=[1]OUT_PrimaryEnergyCons!$C$4:$C$10000)*1,[1]OUT_PrimaryEnergyCons!E$4:E$10000)</f>
        <v>76.813041715937189</v>
      </c>
      <c r="H27" s="1" cm="1">
        <f t="array" ref="H27">SUMPRODUCT(("GSL"=[1]OUT_PrimaryEnergyCons!$C$4:$C$10000)*1,[1]OUT_PrimaryEnergyCons!F$4:F$10000)</f>
        <v>69.938593008278062</v>
      </c>
      <c r="I27" s="1" cm="1">
        <f t="array" ref="I27">SUMPRODUCT(("GSL"=[1]OUT_PrimaryEnergyCons!$C$4:$C$10000)*1,[1]OUT_PrimaryEnergyCons!G$4:G$10000)</f>
        <v>58.353187665012669</v>
      </c>
      <c r="J27" s="1" cm="1">
        <f t="array" ref="J27">SUMPRODUCT(("GSL"=[2]OUT_PrimaryEnergyCons!$C$4:$C$10000)*1,[2]OUT_PrimaryEnergyCons!H$4:H$10000)</f>
        <v>25.22534640837425</v>
      </c>
      <c r="K27" s="1" cm="1">
        <f t="array" ref="K27">SUMPRODUCT(("GSL"=[2]OUT_PrimaryEnergyCons!$C$4:$C$10000)*1,[2]OUT_PrimaryEnergyCons!I$4:I$10000)</f>
        <v>8.2300310210102552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1.1068654600332086</v>
      </c>
      <c r="G28" s="1" cm="1">
        <f t="array" ref="G28">SUMPRODUCT(("KER"=[1]OUT_PrimaryEnergyCons!$C$4:$C$10000)*1,[1]OUT_PrimaryEnergyCons!E$4:E$10000)</f>
        <v>1.4052044387908236</v>
      </c>
      <c r="H28" s="1" cm="1">
        <f t="array" ref="H28">SUMPRODUCT(("KER"=[1]OUT_PrimaryEnergyCons!$C$4:$C$10000)*1,[1]OUT_PrimaryEnergyCons!F$4:F$10000)</f>
        <v>1.8485819204365332</v>
      </c>
      <c r="I28" s="1" cm="1">
        <f t="array" ref="I28">SUMPRODUCT(("KER"=[1]OUT_PrimaryEnergyCons!$C$4:$C$10000)*1,[1]OUT_PrimaryEnergyCons!G$4:G$10000)</f>
        <v>2.3983283384729965</v>
      </c>
      <c r="J28" s="1" cm="1">
        <f t="array" ref="J28">SUMPRODUCT(("KER"=[2]OUT_PrimaryEnergyCons!$C$4:$C$10000)*1,[2]OUT_PrimaryEnergyCons!H$4:H$10000)</f>
        <v>1.3811163971936535</v>
      </c>
      <c r="K28" s="1" cm="1">
        <f t="array" ref="K28">SUMPRODUCT(("KER"=[2]OUT_PrimaryEnergyCons!$C$4:$C$10000)*1,[2]OUT_PrimaryEnergyCons!I$4:I$10000)</f>
        <v>0.33880044382464364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6.5933032193170895</v>
      </c>
      <c r="G29" s="1">
        <f t="shared" ref="G29:K29" si="25">SUM(G30:G32)</f>
        <v>6.7766288972917819</v>
      </c>
      <c r="H29" s="1">
        <f t="shared" si="25"/>
        <v>6.9071414626519552</v>
      </c>
      <c r="I29" s="1">
        <f t="shared" si="25"/>
        <v>12.45167748214763</v>
      </c>
      <c r="J29" s="1">
        <f t="shared" si="25"/>
        <v>22.546378098682222</v>
      </c>
      <c r="K29" s="1">
        <f t="shared" si="25"/>
        <v>36.166645234817722</v>
      </c>
      <c r="L29" s="1">
        <f t="shared" ref="L29" si="26">SUM(L30:L32)</f>
        <v>65.226465185955902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2.1566668421127706</v>
      </c>
      <c r="G30" s="1" cm="1">
        <f t="array" ref="G30">SUMPRODUCT(ISNUMBER(SEARCH("IMPBDS",[1]OUT_SyntheticFuels!$C$4:$C$1000))*1,("Var_Fout"=[1]OUT_SyntheticFuels!$B$4:$B$1000)*1,[1]OUT_SyntheticFuels!F$4:F$1000)-G32</f>
        <v>2.3779981698109096</v>
      </c>
      <c r="H30" s="1" cm="1">
        <f t="array" ref="H30">SUMPRODUCT(ISNUMBER(SEARCH("IMPBDS",[1]OUT_SyntheticFuels!$C$4:$C$1000))*1,("Var_Fout"=[1]OUT_SyntheticFuels!$B$4:$B$1000)*1,[1]OUT_SyntheticFuels!G$4:G$1000)-H32</f>
        <v>1.9625688087491817</v>
      </c>
      <c r="I30" s="1" cm="1">
        <f t="array" ref="I30">SUMPRODUCT(ISNUMBER(SEARCH("IMPBDS",[1]OUT_SyntheticFuels!$C$4:$C$1000))*1,("Var_Fout"=[1]OUT_SyntheticFuels!$B$4:$B$1000)*1,[1]OUT_SyntheticFuels!H$4:H$1000)-I32</f>
        <v>3.8501566554391911</v>
      </c>
      <c r="J30" s="1" cm="1">
        <f t="array" ref="J30">SUMPRODUCT(ISNUMBER(SEARCH("IMPBDS",[2]OUT_SyntheticFuels!$C$4:$C$1000))*1,("Var_Fout"=[2]OUT_SyntheticFuels!$B$4:$B$1000)*1,[2]OUT_SyntheticFuels!I$4:I$1000)-J32</f>
        <v>3.0795223042433122</v>
      </c>
      <c r="K30" s="1" cm="1">
        <f t="array" ref="K30">SUMPRODUCT(ISNUMBER(SEARCH("IMPBDS",[2]OUT_SyntheticFuels!$C$4:$C$1000))*1,("Var_Fout"=[2]OUT_SyntheticFuels!$B$4:$B$1000)*1,[2]OUT_SyntheticFuels!J$4:J$1000)-K32</f>
        <v>2.4855838727487622</v>
      </c>
      <c r="L30" s="1" cm="1">
        <f t="array" ref="L30">SUMPRODUCT(ISNUMBER(SEARCH("IMPBDS",[2]OUT_SyntheticFuels!$C$4:$C$1000))*1,("Var_Fout"=[2]OUT_SyntheticFuels!$B$4:$B$1000)*1,[2]OUT_SyntheticFuels!K$4:K$1000)-L32</f>
        <v>7.8328111081101497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4.4341521069386314</v>
      </c>
      <c r="G31" s="1" cm="1">
        <f t="array" ref="G31">SUMPRODUCT(ISNUMBER(SEARCH("IMPeth",[1]OUT_SyntheticFuels!$C$4:$C$1000))*1,("Var_Fout"=[1]OUT_SyntheticFuels!$B$4:$B$1000)*1,[1]OUT_SyntheticFuels!F$4:F$1000)</f>
        <v>4.3986159584710576</v>
      </c>
      <c r="H31" s="1" cm="1">
        <f t="array" ref="H31">SUMPRODUCT(ISNUMBER(SEARCH("IMPeth",[1]OUT_SyntheticFuels!$C$4:$C$1000))*1,("Var_Fout"=[1]OUT_SyntheticFuels!$B$4:$B$1000)*1,[1]OUT_SyntheticFuels!G$4:G$1000)</f>
        <v>4.9442003537906754</v>
      </c>
      <c r="I31" s="1" cm="1">
        <f t="array" ref="I31">SUMPRODUCT(ISNUMBER(SEARCH("IMPeth",[1]OUT_SyntheticFuels!$C$4:$C$1000))*1,("Var_Fout"=[1]OUT_SyntheticFuels!$B$4:$B$1000)*1,[1]OUT_SyntheticFuels!H$4:H$1000)</f>
        <v>3.3548132441385157</v>
      </c>
      <c r="J31" s="1" cm="1">
        <f t="array" ref="J31">SUMPRODUCT(ISNUMBER(SEARCH("IMPeth",[2]OUT_SyntheticFuels!$C$4:$C$1000))*1,("Var_Fout"=[2]OUT_SyntheticFuels!$B$4:$B$1000)*1,[2]OUT_SyntheticFuels!I$4:I$1000)</f>
        <v>1.4619367731199082</v>
      </c>
      <c r="K31" s="1" cm="1">
        <f t="array" ref="K31">SUMPRODUCT(ISNUMBER(SEARCH("IMPeth",[2]OUT_SyntheticFuels!$C$4:$C$1000))*1,("Var_Fout"=[2]OUT_SyntheticFuels!$B$4:$B$1000)*1,[2]OUT_SyntheticFuels!J$4:J$1000)</f>
        <v>3.6676105773945591</v>
      </c>
      <c r="L31" s="1" cm="1">
        <f t="array" ref="L31">SUMPRODUCT(ISNUMBER(SEARCH("IMPeth",[2]OUT_SyntheticFuels!$C$4:$C$1000))*1,("Var_Fout"=[2]OUT_SyntheticFuels!$B$4:$B$1000)*1,[2]OUT_SyntheticFuels!K$4:K$1000)</f>
        <v>0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2.4842702656880998E-3</v>
      </c>
      <c r="G32" s="1">
        <f>SUM([1]Transport_Aviation_Intl!C$12,[1]Transport!C$28)</f>
        <v>1.4769009814737101E-5</v>
      </c>
      <c r="H32" s="1">
        <f>SUM([1]Transport_Aviation_Intl!D$12,[1]Transport!D$28)</f>
        <v>3.7230011209845102E-4</v>
      </c>
      <c r="I32" s="1">
        <f>SUM([1]Transport_Aviation_Intl!E$12,[1]Transport!E$28)</f>
        <v>5.2467075825699236</v>
      </c>
      <c r="J32" s="1">
        <f>SUM([2]Transport_Aviation_Intl!F$12,[2]Transport!F$28)</f>
        <v>18.004919021319001</v>
      </c>
      <c r="K32" s="1">
        <f>SUM([2]Transport_Aviation_Intl!G$12,[2]Transport!G$28)</f>
        <v>30.013450784674404</v>
      </c>
      <c r="L32" s="1">
        <f>SUM([2]Transport_Aviation_Intl!H$12,[2]Transport!H$28)</f>
        <v>57.393654077845753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6.5933032193170895</v>
      </c>
      <c r="G33" s="1">
        <f t="shared" si="27"/>
        <v>6.7766288972917819</v>
      </c>
      <c r="H33" s="1">
        <f t="shared" si="27"/>
        <v>6.9071414626519552</v>
      </c>
      <c r="I33" s="1">
        <f t="shared" si="27"/>
        <v>12.45167748214763</v>
      </c>
      <c r="J33" s="1">
        <f t="shared" si="27"/>
        <v>9.7881666599331432</v>
      </c>
      <c r="K33" s="1">
        <f>SUM(K34:K36)</f>
        <v>24.158113471462322</v>
      </c>
      <c r="L33" s="1">
        <f>SUM(L34:L36)</f>
        <v>33.863607440113597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2.1566668421127706</v>
      </c>
      <c r="G34" s="1">
        <f t="shared" si="28"/>
        <v>2.3779981698109096</v>
      </c>
      <c r="H34" s="1">
        <f t="shared" si="28"/>
        <v>1.9625688087491817</v>
      </c>
      <c r="I34" s="1">
        <f t="shared" si="28"/>
        <v>3.8501566554391911</v>
      </c>
      <c r="J34" s="1">
        <f>IF(J30-MAX(F30:I30)&lt;0,J30,MAX(F30:I30))</f>
        <v>3.0795223042433122</v>
      </c>
      <c r="K34" s="1">
        <f>IF(K30-MAX(F30:J30)&lt;0,K30,MAX(F30:J30))</f>
        <v>2.4855838727487622</v>
      </c>
      <c r="L34" s="1">
        <f>IF(L30-MAX(G30:K30)&lt;0,L30,MAX(G30:K30))</f>
        <v>3.8501566554391911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4.4341521069386314</v>
      </c>
      <c r="G35" s="1">
        <f t="shared" si="28"/>
        <v>4.3986159584710576</v>
      </c>
      <c r="H35" s="1">
        <f t="shared" si="28"/>
        <v>4.9442003537906754</v>
      </c>
      <c r="I35" s="1">
        <f t="shared" si="28"/>
        <v>3.3548132441385157</v>
      </c>
      <c r="J35" s="1">
        <f>IF(J31-MAX(F31:I31)&lt;0,J31,MAX(F31:I31))</f>
        <v>1.4619367731199082</v>
      </c>
      <c r="K35" s="1">
        <f>IF(K31-MAX(F31:J31)&lt;0,K31,MAX(F31:J31))</f>
        <v>3.6676105773945591</v>
      </c>
      <c r="L35" s="1">
        <f>IF(L31-MAX(G31:K31)&lt;0,L31,MAX(G31:K31))</f>
        <v>0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2.4842702656880998E-3</v>
      </c>
      <c r="G36" s="1">
        <f>SUM([1]Transport!C$28,[1]Transport_Aviation_Intl!C$12)</f>
        <v>1.4769009814737101E-5</v>
      </c>
      <c r="H36" s="1">
        <f>SUM([1]Transport!D$28,[1]Transport_Aviation_Intl!D$12)</f>
        <v>3.7230011209845102E-4</v>
      </c>
      <c r="I36" s="1">
        <f>SUM([1]Transport!E$28,[1]Transport_Aviation_Intl!E$12)</f>
        <v>5.2467075825699236</v>
      </c>
      <c r="J36" s="1">
        <f>IF(J32-MAX(F32:I32)&lt;0,J32,MAX(F32:I32))</f>
        <v>5.2467075825699236</v>
      </c>
      <c r="K36" s="1">
        <f>IF(K32-MAX(G32:J32)&lt;0,K32,MAX(G32:J32))</f>
        <v>18.004919021319001</v>
      </c>
      <c r="L36" s="1">
        <f>IF(L32-MAX(H32:K32)&lt;0,L32,MAX(H32:K32))</f>
        <v>30.013450784674404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12.758211438749077</v>
      </c>
      <c r="K37" s="1">
        <f t="shared" si="29"/>
        <v>12.008531763355403</v>
      </c>
      <c r="L37" s="1">
        <f t="shared" ref="L37" si="30">SUM(L38:L40)</f>
        <v>31.362857745842305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3.9826544526709586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12.758211438749077</v>
      </c>
      <c r="K40" s="1">
        <f t="shared" si="31"/>
        <v>12.008531763355403</v>
      </c>
      <c r="L40" s="1">
        <f t="shared" ref="L40" si="34">L32-L36</f>
        <v>27.380203293171348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117.19647199814379</v>
      </c>
      <c r="G41" s="1">
        <f t="shared" ref="G41:K41" si="36">G42+G45</f>
        <v>107.23650955336298</v>
      </c>
      <c r="H41" s="1">
        <f t="shared" si="36"/>
        <v>105.06956777504824</v>
      </c>
      <c r="I41" s="1">
        <f t="shared" si="36"/>
        <v>84.076814439714809</v>
      </c>
      <c r="J41" s="1">
        <f t="shared" si="36"/>
        <v>57.789096124995403</v>
      </c>
      <c r="K41" s="1">
        <f t="shared" si="36"/>
        <v>31.396723009041949</v>
      </c>
      <c r="L41" s="1">
        <f t="shared" ref="L41" si="37">L42+L45</f>
        <v>12.635712002218781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117.19647199814379</v>
      </c>
      <c r="G42" s="1">
        <f t="shared" ref="G42:K42" si="38">G43+G44</f>
        <v>106.72000712196059</v>
      </c>
      <c r="H42" s="1">
        <f t="shared" si="38"/>
        <v>104.68092671429676</v>
      </c>
      <c r="I42" s="1">
        <f t="shared" si="38"/>
        <v>80.854602441500703</v>
      </c>
      <c r="J42" s="1">
        <f t="shared" si="38"/>
        <v>51.860658286252757</v>
      </c>
      <c r="K42" s="1">
        <f t="shared" si="38"/>
        <v>27.675711931435806</v>
      </c>
      <c r="L42" s="1">
        <f t="shared" ref="L42" si="39">L43+L44</f>
        <v>10.703856669596043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117.19647199814379</v>
      </c>
      <c r="G43" s="1" cm="1">
        <f t="array" ref="G43">SUMPRODUCT(("NGA"=[1]OUT_PrimaryEnergyCons!$C$4:$C$10000)*1,[1]OUT_PrimaryEnergyCons!E$4:E$10000)</f>
        <v>106.72000712196059</v>
      </c>
      <c r="H43" s="1" cm="1">
        <f t="array" ref="H43">SUMPRODUCT(("NGA"=[1]OUT_PrimaryEnergyCons!$C$4:$C$10000)*1,[1]OUT_PrimaryEnergyCons!F$4:F$10000)</f>
        <v>104.68092671429676</v>
      </c>
      <c r="I43" s="1" cm="1">
        <f t="array" ref="I43">SUMPRODUCT(("NGA"=[1]OUT_PrimaryEnergyCons!$C$4:$C$10000)*1,[1]OUT_PrimaryEnergyCons!G$4:G$10000)</f>
        <v>80.85366590750165</v>
      </c>
      <c r="J43" s="1" cm="1">
        <f t="array" ref="J43">SUMPRODUCT(("NGA"=[2]OUT_PrimaryEnergyCons!$C$4:$C$10000)*1,[2]OUT_PrimaryEnergyCons!H$4:H$10000)</f>
        <v>51.858269672409676</v>
      </c>
      <c r="K43" s="1" cm="1">
        <f t="array" ref="K43">SUMPRODUCT(("NGA"=[2]OUT_PrimaryEnergyCons!$C$4:$C$10000)*1,[2]OUT_PrimaryEnergyCons!I$4:I$10000)</f>
        <v>27.674764606586105</v>
      </c>
      <c r="L43" s="1" cm="1">
        <f t="array" ref="L43">SUMPRODUCT(("NGA"=[2]OUT_PrimaryEnergyCons!$C$4:$C$10000)*1,[2]OUT_PrimaryEnergyCons!J$4:J$10000)</f>
        <v>10.701724584900768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9.3653399905918903E-4</v>
      </c>
      <c r="J44" s="1" cm="1">
        <f t="array" ref="J44">SUMPRODUCT(("LNGA"=[2]OUT_PrimaryEnergyCons!$C$4:$C$10000)*1,[2]OUT_PrimaryEnergyCons!H$4:H$10000)</f>
        <v>2.3886138430809509E-3</v>
      </c>
      <c r="K44" s="1" cm="1">
        <f t="array" ref="K44">SUMPRODUCT(("LNGA"=[2]OUT_PrimaryEnergyCons!$C$4:$C$10000)*1,[2]OUT_PrimaryEnergyCons!I$4:I$10000)</f>
        <v>9.4732484970036003E-4</v>
      </c>
      <c r="L44" s="1" cm="1">
        <f t="array" ref="L44">SUMPRODUCT(("LNGA"=[2]OUT_PrimaryEnergyCons!$C$4:$C$10000)*1,[2]OUT_PrimaryEnergyCons!J$4:J$10000)</f>
        <v>2.132084695273719E-3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0.51650243140238616</v>
      </c>
      <c r="H45" s="1" cm="1">
        <f t="array" ref="H45">SUMPRODUCT(("BIO"=[1]OUT_PrimaryEnergyCons!$C$4:$C$10000)*1+("LBIO"=[1]OUT_PrimaryEnergyCons!$C$4:$C$10000)*1,[1]OUT_PrimaryEnergyCons!F$4:F$10000)</f>
        <v>0.38864106075147814</v>
      </c>
      <c r="I45" s="1" cm="1">
        <f t="array" ref="I45">SUMPRODUCT(("BIO"=[1]OUT_PrimaryEnergyCons!$C$4:$C$10000)*1+("LBIO"=[1]OUT_PrimaryEnergyCons!$C$4:$C$10000)*1,[1]OUT_PrimaryEnergyCons!G$4:G$10000)</f>
        <v>3.2222119982141058</v>
      </c>
      <c r="J45" s="1" cm="1">
        <f t="array" ref="J45">SUMPRODUCT(("BIO"=[2]OUT_PrimaryEnergyCons!$C$4:$C$10000)*1+("LBIO"=[2]OUT_PrimaryEnergyCons!$C$4:$C$10000)*1,[2]OUT_PrimaryEnergyCons!H$4:H$10000)</f>
        <v>5.928437838742644</v>
      </c>
      <c r="K45" s="1" cm="1">
        <f t="array" ref="K45">SUMPRODUCT(("BIO"=[2]OUT_PrimaryEnergyCons!$C$4:$C$10000)*1+("LBIO"=[2]OUT_PrimaryEnergyCons!$C$4:$C$10000)*1,[2]OUT_PrimaryEnergyCons!I$4:I$10000)</f>
        <v>3.7210110776061409</v>
      </c>
      <c r="L45" s="1" cm="1">
        <f t="array" ref="L45">SUMPRODUCT(("BIO"=[2]OUT_PrimaryEnergyCons!$C$4:$C$10000)*1+("LBIO"=[2]OUT_PrimaryEnergyCons!$C$4:$C$10000)*1,[2]OUT_PrimaryEnergyCons!J$4:J$10000)</f>
        <v>1.9318553326227388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0.51650243140238616</v>
      </c>
      <c r="H46" s="1">
        <f t="shared" si="41"/>
        <v>0.38864106075147814</v>
      </c>
      <c r="I46" s="1">
        <f t="shared" si="41"/>
        <v>3.2222119982141058</v>
      </c>
      <c r="J46" s="1">
        <f t="shared" si="41"/>
        <v>3.2222119982141058</v>
      </c>
      <c r="K46" s="1">
        <f t="shared" si="41"/>
        <v>3.7210110776061409</v>
      </c>
      <c r="L46" s="1">
        <f t="shared" si="41"/>
        <v>1.9318553326227388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0.51650243140238616</v>
      </c>
      <c r="H47" s="1">
        <f>H45</f>
        <v>0.38864106075147814</v>
      </c>
      <c r="I47" s="1">
        <f>I45</f>
        <v>3.2222119982141058</v>
      </c>
      <c r="J47" s="1">
        <f>IF(J45-MAX(F45:I45)&lt;0,J45,MAX(F45:I45))</f>
        <v>3.2222119982141058</v>
      </c>
      <c r="K47" s="1">
        <f>IF(K45-MAX(G45:J45)&lt;0,K45,MAX(G45:J45))</f>
        <v>3.7210110776061409</v>
      </c>
      <c r="L47" s="1">
        <f>IF(L45-MAX(H45:K45)&lt;0,L45,MAX(H45:K45))</f>
        <v>1.9318553326227388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2.7062258405285382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2.7062258405285382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250.94820421254295</v>
      </c>
      <c r="G50" s="1" cm="1">
        <f t="array" ref="G50">SUMPRODUCT(("urn"=[1]OUT_PrimaryEnergyCons!$C$4:$C$10000)*1,[1]OUT_PrimaryEnergyCons!E$4:E$10000)</f>
        <v>253.29988923882391</v>
      </c>
      <c r="H50" s="1" cm="1">
        <f t="array" ref="H50">SUMPRODUCT(("urn"=[1]OUT_PrimaryEnergyCons!$C$4:$C$10000)*1,[1]OUT_PrimaryEnergyCons!F$4:F$10000)</f>
        <v>233.1760463712923</v>
      </c>
      <c r="I50" s="1" cm="1">
        <f t="array" ref="I50">SUMPRODUCT(("urn"=[1]OUT_PrimaryEnergyCons!$C$4:$C$10000)*1,[1]OUT_PrimaryEnergyCons!G$4:G$10000)</f>
        <v>187.17906433080435</v>
      </c>
      <c r="J50" s="1" cm="1">
        <f t="array" ref="J50">SUMPRODUCT(("urn"=[2]OUT_PrimaryEnergyCons!$C$4:$C$10000)*1,[2]OUT_PrimaryEnergyCons!H$4:H$10000)</f>
        <v>190.44590840650181</v>
      </c>
      <c r="K50" s="1" cm="1">
        <f t="array" ref="K50">SUMPRODUCT(("urn"=[2]OUT_PrimaryEnergyCons!$C$4:$C$10000)*1,[2]OUT_PrimaryEnergyCons!I$4:I$10000)</f>
        <v>190.44604261423163</v>
      </c>
      <c r="L50" s="1" cm="1">
        <f t="array" ref="L50">SUMPRODUCT(("urn"=[2]OUT_PrimaryEnergyCons!$C$4:$C$10000)*1,[2]OUT_PrimaryEnergyCons!J$4:J$10000)</f>
        <v>102.29636966984219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97.160024943373131</v>
      </c>
      <c r="G51" s="1">
        <f t="shared" ref="G51:K51" si="46">SUM(G52:G55)</f>
        <v>50.275985034029098</v>
      </c>
      <c r="H51" s="1">
        <f t="shared" si="46"/>
        <v>50.450407016456431</v>
      </c>
      <c r="I51" s="1">
        <f t="shared" si="46"/>
        <v>50.746452001729146</v>
      </c>
      <c r="J51" s="1">
        <f t="shared" si="46"/>
        <v>45.704239608619694</v>
      </c>
      <c r="K51" s="1">
        <f t="shared" si="46"/>
        <v>35.550089937842394</v>
      </c>
      <c r="L51" s="1">
        <f t="shared" ref="L51" si="47">SUM(L52:L55)</f>
        <v>28.886698556003505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15.013813524265686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6.7542711417497427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4.0856243113272521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4.9740521969389491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5.2381301448165098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4.3674885393114566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4.9911091726128101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28.948628668426434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20.158518745120439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25.525986122735212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17.719733799112877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16.056723670083191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9.5922320217122614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9.5764718717422941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46.398482677349214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23.362271727129965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20.838007818545432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28.052291534166443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24.408978753123172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21.590024159890678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14.318825820235709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6.7991000733317817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9.2342002894526339E-4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7.8876384854330859E-4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3.7447151087189202E-4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4.0704059681582469E-4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3.4521692799595137E-4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2.9169141269310285E-4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117.17002123919661</v>
      </c>
      <c r="G57" s="3">
        <f t="shared" ref="G57:L57" si="51">G58</f>
        <v>36.645960852044595</v>
      </c>
      <c r="H57" s="3">
        <f t="shared" si="51"/>
        <v>75.721565311365879</v>
      </c>
      <c r="I57" s="3">
        <f t="shared" si="51"/>
        <v>50.746451730566761</v>
      </c>
      <c r="J57" s="3">
        <f t="shared" si="51"/>
        <v>42.748061076610497</v>
      </c>
      <c r="K57" s="3">
        <f t="shared" si="51"/>
        <v>23.716937573972789</v>
      </c>
      <c r="L57" s="3">
        <f t="shared" si="51"/>
        <v>15.759413246036001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117.17002123919661</v>
      </c>
      <c r="G58" s="1">
        <f t="shared" ref="G58:K58" si="52">SUM(G59:G62)</f>
        <v>36.645960852044595</v>
      </c>
      <c r="H58" s="1">
        <f t="shared" si="52"/>
        <v>75.721565311365879</v>
      </c>
      <c r="I58" s="1">
        <f t="shared" si="52"/>
        <v>50.746451730566761</v>
      </c>
      <c r="J58" s="1">
        <f t="shared" si="52"/>
        <v>42.748061076610497</v>
      </c>
      <c r="K58" s="1">
        <f t="shared" si="52"/>
        <v>23.716937573972789</v>
      </c>
      <c r="L58" s="1">
        <f t="shared" ref="L58" si="53">SUM(L59:L62)</f>
        <v>15.759413246036001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6.229562760659074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1.4971965951389448E-3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2.2076983982626829E-3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3.4654900922581567E-4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3.7583471699095052E-4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3.5912309413113906E-4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2.1205663450349525E-4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12.753363555310623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1.342766871958142E-3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1.4573505727703464E-3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6.3724491979097074E-4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1.1064240462938201E-3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1.9458115383856178E-3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1.267430132833281E-3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26.492981160111754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9.8058207334531119E-4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1.2206636978015952E-3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7.3517465583475706E-4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1.4889855545761397E-3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1.925482389747024E-3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5.2974830788920125E-4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71.694113763115169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36.642140306504153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75.716679598697041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50.744732761981908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42.745089832292635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23.712707156950525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15.757404010960775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250.78973578407621</v>
      </c>
      <c r="G63" s="3">
        <f t="shared" ref="G63:K63" si="58">SUM(G64,G66,G74,G82,G130,G151,G159,G161,G169,G173,G167)</f>
        <v>229.3193018375668</v>
      </c>
      <c r="H63" s="3">
        <f t="shared" si="58"/>
        <v>256.38635031232377</v>
      </c>
      <c r="I63" s="3">
        <f t="shared" si="58"/>
        <v>280.5631129570566</v>
      </c>
      <c r="J63" s="3">
        <f t="shared" si="58"/>
        <v>276.89870843840538</v>
      </c>
      <c r="K63" s="3">
        <f t="shared" si="58"/>
        <v>286.48489304478846</v>
      </c>
      <c r="L63" s="3">
        <f t="shared" ref="L63" si="59">SUM(L64,L66,L74,L82,L130,L151,L159,L161,L169,L173,L167)</f>
        <v>283.9238034503166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82.760003935016442</v>
      </c>
      <c r="G64" s="1">
        <f t="shared" ref="G64:L64" si="60">+G65</f>
        <v>82.759946462471319</v>
      </c>
      <c r="H64" s="1">
        <f t="shared" si="60"/>
        <v>76.101792106795273</v>
      </c>
      <c r="I64" s="1">
        <f t="shared" si="60"/>
        <v>61.811234124429618</v>
      </c>
      <c r="J64" s="1">
        <f t="shared" si="60"/>
        <v>62.864125787224935</v>
      </c>
      <c r="K64" s="1">
        <f t="shared" si="60"/>
        <v>62.864129291089768</v>
      </c>
      <c r="L64" s="1">
        <f t="shared" si="60"/>
        <v>33.826126846145051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82.760003935016442</v>
      </c>
      <c r="G65" s="1">
        <f>'[1]Electricity and CHPs'!C14</f>
        <v>82.759946462471319</v>
      </c>
      <c r="H65" s="1">
        <f>'[1]Electricity and CHPs'!D14</f>
        <v>76.101792106795273</v>
      </c>
      <c r="I65" s="1">
        <f>'[1]Electricity and CHPs'!E14</f>
        <v>61.811234124429618</v>
      </c>
      <c r="J65" s="1">
        <f>'[2]Electricity and CHPs'!F14</f>
        <v>62.864125787224935</v>
      </c>
      <c r="K65" s="1">
        <f>'[2]Electricity and CHPs'!G14</f>
        <v>62.864129291089768</v>
      </c>
      <c r="L65" s="1">
        <f>'[2]Electricity and CHPs'!H14</f>
        <v>33.826126846145051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146.22000567589475</v>
      </c>
      <c r="G66" s="1">
        <f t="shared" ref="G66:K66" si="64">SUM(G67:G69)</f>
        <v>121.59879583061321</v>
      </c>
      <c r="H66" s="1">
        <f t="shared" si="64"/>
        <v>136.72454970407364</v>
      </c>
      <c r="I66" s="1">
        <f t="shared" si="64"/>
        <v>169.85414564472703</v>
      </c>
      <c r="J66" s="1">
        <f t="shared" si="64"/>
        <v>147.68801361679235</v>
      </c>
      <c r="K66" s="1">
        <f t="shared" si="64"/>
        <v>147.78006524267184</v>
      </c>
      <c r="L66" s="1">
        <f t="shared" ref="L66" si="65">SUM(L67:L69)</f>
        <v>148.38246360226421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66.745680187895957</v>
      </c>
      <c r="G67" s="1">
        <f>'[1]Electricity and CHPs'!C15</f>
        <v>49.798797958533733</v>
      </c>
      <c r="H67" s="1">
        <f>'[1]Electricity and CHPs'!D15</f>
        <v>69.082959718964602</v>
      </c>
      <c r="I67" s="1">
        <f>'[1]Electricity and CHPs'!E15</f>
        <v>69.713682638439238</v>
      </c>
      <c r="J67" s="1">
        <f>'[2]Electricity and CHPs'!F15</f>
        <v>71.585479861080117</v>
      </c>
      <c r="K67" s="1">
        <f>'[2]Electricity and CHPs'!G15</f>
        <v>72.148440675854189</v>
      </c>
      <c r="L67" s="1">
        <f>'[2]Electricity and CHPs'!H15</f>
        <v>74.655251711943095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66.632402849791305</v>
      </c>
      <c r="G68" s="1">
        <f>'[1]Electricity and CHPs'!C16</f>
        <v>55.763999829976299</v>
      </c>
      <c r="H68" s="1">
        <f>'[1]Electricity and CHPs'!D16</f>
        <v>65.56163759729597</v>
      </c>
      <c r="I68" s="1">
        <f>'[1]Electricity and CHPs'!E16</f>
        <v>64.930930936670293</v>
      </c>
      <c r="J68" s="1">
        <f>'[2]Electricity and CHPs'!F16</f>
        <v>63.394822178807196</v>
      </c>
      <c r="K68" s="1">
        <f>'[2]Electricity and CHPs'!G16</f>
        <v>62.831869373152443</v>
      </c>
      <c r="L68" s="1">
        <f>'[2]Electricity and CHPs'!H16</f>
        <v>60.662379421265889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12.841922638207519</v>
      </c>
      <c r="G69" s="1">
        <f>'[1]Electricity and CHPs'!C17</f>
        <v>16.03599804210317</v>
      </c>
      <c r="H69" s="1">
        <f>'[1]Electricity and CHPs'!D17</f>
        <v>2.0799523878130883</v>
      </c>
      <c r="I69" s="1">
        <f>'[1]Electricity and CHPs'!E17</f>
        <v>35.209532069617488</v>
      </c>
      <c r="J69" s="1">
        <f>'[2]Electricity and CHPs'!F17</f>
        <v>12.707711576905044</v>
      </c>
      <c r="K69" s="1">
        <f>'[2]Electricity and CHPs'!G17</f>
        <v>12.799755193665227</v>
      </c>
      <c r="L69" s="1">
        <f>'[2]Electricity and CHPs'!H17</f>
        <v>13.064832469055229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0.11191301076196469</v>
      </c>
      <c r="G70" s="1">
        <f t="shared" ref="G70" si="67">SUM(G71:G73)</f>
        <v>0.17153200751659867</v>
      </c>
      <c r="H70" s="1">
        <f t="shared" ref="H70" si="68">SUM(H71:H73)</f>
        <v>0.17152930881815592</v>
      </c>
      <c r="I70" s="1">
        <f t="shared" ref="I70" si="69">SUM(I71:I73)</f>
        <v>0.17153813914175306</v>
      </c>
      <c r="J70" s="1">
        <f t="shared" ref="J70" si="70">SUM(J71:J73)</f>
        <v>0.17154160695665974</v>
      </c>
      <c r="K70" s="1">
        <f t="shared" ref="K70:L70" si="71">SUM(K71:K73)</f>
        <v>6.1848590823516949E-3</v>
      </c>
      <c r="L70" s="1">
        <f t="shared" si="71"/>
        <v>4.3000542247358581E-2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3.9602824658366086E-2</v>
      </c>
      <c r="G71" s="1">
        <f>'[1]Electricity and CHPs'!C18</f>
        <v>1.0527724105199968E-4</v>
      </c>
      <c r="H71" s="1">
        <f>'[1]Electricity and CHPs'!D18</f>
        <v>8.95458388395063E-2</v>
      </c>
      <c r="I71" s="1">
        <f>'[1]Electricity and CHPs'!E18</f>
        <v>3.9292450638802397E-4</v>
      </c>
      <c r="J71" s="1">
        <f>'[2]Electricity and CHPs'!F18</f>
        <v>1.3292607996829805E-3</v>
      </c>
      <c r="K71" s="1">
        <f>'[2]Electricity and CHPs'!G18</f>
        <v>2.4973684970643626E-4</v>
      </c>
      <c r="L71" s="1">
        <f>'[2]Electricity and CHPs'!H18</f>
        <v>8.1765590949541309E-5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1.8028257651087713E-3</v>
      </c>
      <c r="G72" s="1">
        <f>'[1]Electricity and CHPs'!C28</f>
        <v>1.1264975413823808E-4</v>
      </c>
      <c r="H72" s="1">
        <f>'[1]Electricity and CHPs'!D28</f>
        <v>2.8729803407233382E-3</v>
      </c>
      <c r="I72" s="1">
        <f>'[1]Electricity and CHPs'!E28</f>
        <v>2.2250353448257808E-4</v>
      </c>
      <c r="J72" s="1">
        <f>'[2]Electricity and CHPs'!F28</f>
        <v>7.2397501914781047E-4</v>
      </c>
      <c r="K72" s="1">
        <f>'[2]Electricity and CHPs'!G28</f>
        <v>8.0959801334299164E-5</v>
      </c>
      <c r="L72" s="1">
        <f>'[2]Electricity and CHPs'!H28</f>
        <v>1.9356881226797763E-5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7.0507360338489838E-2</v>
      </c>
      <c r="G73" s="1">
        <f>'[1]Electricity and CHPs'!C41</f>
        <v>0.17131408052140842</v>
      </c>
      <c r="H73" s="1">
        <f>'[1]Electricity and CHPs'!D41</f>
        <v>7.9110489637926301E-2</v>
      </c>
      <c r="I73" s="1">
        <f>'[1]Electricity and CHPs'!E41</f>
        <v>0.17092271110088245</v>
      </c>
      <c r="J73" s="1">
        <f>'[2]Electricity and CHPs'!F41</f>
        <v>0.16948837113782894</v>
      </c>
      <c r="K73" s="1">
        <f>'[2]Electricity and CHPs'!G41</f>
        <v>5.8541624313109596E-3</v>
      </c>
      <c r="L73" s="1">
        <f>'[2]Electricity and CHPs'!H41</f>
        <v>4.2899419775182239E-2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0.11191301076196469</v>
      </c>
      <c r="G74" s="1">
        <f t="shared" ref="G74:K74" si="75">SUM(G75:G77)</f>
        <v>0.17153200751659867</v>
      </c>
      <c r="H74" s="1">
        <f t="shared" si="75"/>
        <v>0.17152930881815592</v>
      </c>
      <c r="I74" s="1">
        <f t="shared" si="75"/>
        <v>0.17153813914175306</v>
      </c>
      <c r="J74" s="1">
        <f t="shared" si="75"/>
        <v>0.17154160695665974</v>
      </c>
      <c r="K74" s="1">
        <f t="shared" si="75"/>
        <v>6.1848590823516949E-3</v>
      </c>
      <c r="L74" s="1">
        <f t="shared" ref="L74" si="76">SUM(L75:L77)</f>
        <v>4.3000542247358581E-2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3.9602824658366086E-2</v>
      </c>
      <c r="G75" s="1">
        <f t="shared" ref="G75:K75" si="77">G71</f>
        <v>1.0527724105199968E-4</v>
      </c>
      <c r="H75" s="1">
        <f t="shared" si="77"/>
        <v>8.95458388395063E-2</v>
      </c>
      <c r="I75" s="1">
        <f t="shared" si="77"/>
        <v>3.9292450638802397E-4</v>
      </c>
      <c r="J75" s="1">
        <f t="shared" si="77"/>
        <v>1.3292607996829805E-3</v>
      </c>
      <c r="K75" s="1">
        <f t="shared" si="77"/>
        <v>2.4973684970643626E-4</v>
      </c>
      <c r="L75" s="1">
        <f t="shared" ref="L75" si="78">L71</f>
        <v>8.1765590949541309E-5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1.8028257651087713E-3</v>
      </c>
      <c r="G76" s="1">
        <f>'[1]Electricity and CHPs'!C28</f>
        <v>1.1264975413823808E-4</v>
      </c>
      <c r="H76" s="1">
        <f>'[1]Electricity and CHPs'!D28</f>
        <v>2.8729803407233382E-3</v>
      </c>
      <c r="I76" s="1">
        <f>'[1]Electricity and CHPs'!E28</f>
        <v>2.2250353448257808E-4</v>
      </c>
      <c r="J76" s="1">
        <f>'[2]Electricity and CHPs'!F28</f>
        <v>7.2397501914781047E-4</v>
      </c>
      <c r="K76" s="1">
        <f>'[2]Electricity and CHPs'!G28</f>
        <v>8.0959801334299164E-5</v>
      </c>
      <c r="L76" s="1">
        <f>'[2]Electricity and CHPs'!H28</f>
        <v>1.9356881226797763E-5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7.0507360338489838E-2</v>
      </c>
      <c r="G77" s="1">
        <f>'[1]Electricity and CHPs'!C41</f>
        <v>0.17131408052140842</v>
      </c>
      <c r="H77" s="1">
        <f>'[1]Electricity and CHPs'!D41</f>
        <v>7.9110489637926301E-2</v>
      </c>
      <c r="I77" s="1">
        <f>'[1]Electricity and CHPs'!E41</f>
        <v>0.17092271110088245</v>
      </c>
      <c r="J77" s="1">
        <f>'[2]Electricity and CHPs'!F41</f>
        <v>0.16948837113782894</v>
      </c>
      <c r="K77" s="1">
        <f>'[2]Electricity and CHPs'!G41</f>
        <v>5.8541624313109596E-3</v>
      </c>
      <c r="L77" s="1">
        <f>'[2]Electricity and CHPs'!H41</f>
        <v>4.2899419775182239E-2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3.2360538301705013</v>
      </c>
      <c r="G82" s="1">
        <f t="shared" ref="G82:K82" si="82">SUM(G83:G97)</f>
        <v>2.2556187012474238</v>
      </c>
      <c r="H82" s="1">
        <f t="shared" si="82"/>
        <v>2.7121305396093618</v>
      </c>
      <c r="I82" s="1">
        <f t="shared" si="82"/>
        <v>2.9721433902447245</v>
      </c>
      <c r="J82" s="1">
        <f t="shared" si="82"/>
        <v>3.394304775946607</v>
      </c>
      <c r="K82" s="1">
        <f t="shared" si="82"/>
        <v>3.602922107076409</v>
      </c>
      <c r="L82" s="1">
        <f t="shared" ref="L82" si="83">SUM(L83:L97)</f>
        <v>1.9135296823579979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1.1198988001733588E-3</v>
      </c>
      <c r="L83" s="1">
        <f>'[2]Electricity and CHPs'!H21</f>
        <v>4.8077267279655255E-3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1.1930720764664444E-3</v>
      </c>
      <c r="J84" s="1">
        <f>'[2]Electricity and CHPs'!F22</f>
        <v>3.1973000927821515E-3</v>
      </c>
      <c r="K84" s="1">
        <f>'[2]Electricity and CHPs'!G22</f>
        <v>6.3684178209644064E-4</v>
      </c>
      <c r="L84" s="1">
        <f>'[2]Electricity and CHPs'!H22</f>
        <v>2.6685772233430955E-2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4.9231802302610447E-3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0.96588279753660633</v>
      </c>
      <c r="G86" s="1">
        <f>'[1]Electricity and CHPs'!C24</f>
        <v>4.9219561132103976E-4</v>
      </c>
      <c r="H86" s="1">
        <f>'[1]Electricity and CHPs'!D24</f>
        <v>1.1098038514362185</v>
      </c>
      <c r="I86" s="1">
        <f>'[1]Electricity and CHPs'!E24</f>
        <v>2.1734882426662681E-3</v>
      </c>
      <c r="J86" s="1">
        <f>'[2]Electricity and CHPs'!F24</f>
        <v>4.9155209091335745E-3</v>
      </c>
      <c r="K86" s="1">
        <f>'[2]Electricity and CHPs'!G24</f>
        <v>5.4978640276426164E-4</v>
      </c>
      <c r="L86" s="1">
        <f>'[2]Electricity and CHPs'!H24</f>
        <v>0.13859996210994632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3.6033751343242859E-4</v>
      </c>
      <c r="L87" s="1">
        <f>'[2]Electricity and CHPs'!H29</f>
        <v>0.59491590865006017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0.66997432288065795</v>
      </c>
      <c r="G88" s="1">
        <f>'[1]Electricity and CHPs'!C39</f>
        <v>0.51983940231616066</v>
      </c>
      <c r="H88" s="1">
        <f>'[1]Electricity and CHPs'!D39</f>
        <v>0.39631787155220649</v>
      </c>
      <c r="I88" s="1">
        <f>'[1]Electricity and CHPs'!E39</f>
        <v>3.1844582971297664E-2</v>
      </c>
      <c r="J88" s="1">
        <f>'[2]Electricity and CHPs'!F39</f>
        <v>1.9536753275659683E-2</v>
      </c>
      <c r="K88" s="1">
        <f>'[2]Electricity and CHPs'!G39</f>
        <v>7.898676321372514E-3</v>
      </c>
      <c r="L88" s="1">
        <f>'[2]Electricity and CHPs'!H39</f>
        <v>2.7180730963636971E-3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1.6282521501267734E-3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1.468277100950132E-3</v>
      </c>
      <c r="K90" s="1">
        <f>'[2]Electricity and CHPs'!G47</f>
        <v>9.1153435452655804E-4</v>
      </c>
      <c r="L90" s="1">
        <f>'[2]Electricity and CHPs'!H47</f>
        <v>1.7677287640026523E-3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1.7701694873177368E-2</v>
      </c>
      <c r="G91" s="1">
        <f>'[1]Electricity and CHPs'!C48</f>
        <v>1.7126111254576314E-3</v>
      </c>
      <c r="H91" s="1">
        <f>'[1]Electricity and CHPs'!D48</f>
        <v>7.8356944193841566E-3</v>
      </c>
      <c r="I91" s="1">
        <f>'[1]Electricity and CHPs'!E48</f>
        <v>7.9408274063398551E-3</v>
      </c>
      <c r="J91" s="1">
        <f>'[2]Electricity and CHPs'!F48</f>
        <v>9.0361811547818582E-3</v>
      </c>
      <c r="K91" s="1">
        <f>'[2]Electricity and CHPs'!G48</f>
        <v>7.1162511106422606E-3</v>
      </c>
      <c r="L91" s="1">
        <f>'[2]Electricity and CHPs'!H48</f>
        <v>2.9151934602616248E-3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6.8078172064471891E-4</v>
      </c>
      <c r="J92" s="1">
        <f>'[2]Electricity and CHPs'!F49</f>
        <v>1.380788990497938E-3</v>
      </c>
      <c r="K92" s="1">
        <f>'[2]Electricity and CHPs'!G49</f>
        <v>1.4522114390926799E-3</v>
      </c>
      <c r="L92" s="1">
        <f>'[2]Electricity and CHPs'!H49</f>
        <v>9.9845291838779847E-4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2.8716223932301638E-2</v>
      </c>
      <c r="G93" s="1">
        <f>'[1]Electricity and CHPs'!C51</f>
        <v>1.7427712055110471E-3</v>
      </c>
      <c r="H93" s="1">
        <f>'[1]Electricity and CHPs'!D51</f>
        <v>2.3115851487788459E-2</v>
      </c>
      <c r="I93" s="1">
        <f>'[1]Electricity and CHPs'!E51</f>
        <v>1.7949254230574943</v>
      </c>
      <c r="J93" s="1">
        <f>'[2]Electricity and CHPs'!F51</f>
        <v>2.1993723269083718</v>
      </c>
      <c r="K93" s="1">
        <f>'[2]Electricity and CHPs'!G51</f>
        <v>2.4432487095247164</v>
      </c>
      <c r="L93" s="1">
        <f>'[2]Electricity and CHPs'!H51</f>
        <v>1.7786934116227365E-2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3.0213982359351904E-3</v>
      </c>
      <c r="J94" s="1">
        <f>'[2]Electricity and CHPs'!F52</f>
        <v>8.9584744356177581E-3</v>
      </c>
      <c r="K94" s="1">
        <f>'[2]Electricity and CHPs'!G52</f>
        <v>1.009976989149277E-2</v>
      </c>
      <c r="L94" s="1">
        <f>'[2]Electricity and CHPs'!H52</f>
        <v>7.1578095168260292E-3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0.95937093844566002</v>
      </c>
      <c r="G95" s="1">
        <f>'[1]Electricity and CHPs'!C54</f>
        <v>1.1059519379377449</v>
      </c>
      <c r="H95" s="1">
        <f>'[1]Electricity and CHPs'!D54</f>
        <v>1.1059495448661352</v>
      </c>
      <c r="I95" s="1">
        <f>'[1]Electricity and CHPs'!E54</f>
        <v>1.1059490368898082</v>
      </c>
      <c r="J95" s="1">
        <f>'[2]Electricity and CHPs'!F54</f>
        <v>1.1059537474818835</v>
      </c>
      <c r="K95" s="1">
        <f>'[2]Electricity and CHPs'!G54</f>
        <v>1.1059546391852546</v>
      </c>
      <c r="L95" s="1">
        <f>'[2]Electricity and CHPs'!H54</f>
        <v>1.1059400478904771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0.59440785250209804</v>
      </c>
      <c r="G96" s="1">
        <f>'[1]Electricity and CHPs'!C55</f>
        <v>0.62587978305122871</v>
      </c>
      <c r="H96" s="1">
        <f>'[1]Electricity and CHPs'!D55</f>
        <v>6.9107725847629004E-2</v>
      </c>
      <c r="I96" s="1">
        <f>'[1]Electricity and CHPs'!E55</f>
        <v>2.3613882134214531E-2</v>
      </c>
      <c r="J96" s="1">
        <f>'[2]Electricity and CHPs'!F55</f>
        <v>3.6995223963978065E-2</v>
      </c>
      <c r="K96" s="1">
        <f>'[2]Electricity and CHPs'!G55</f>
        <v>1.8753776326444316E-2</v>
      </c>
      <c r="L96" s="1">
        <f>'[2]Electricity and CHPs'!H55</f>
        <v>5.8868226125206673E-4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8.0089750985742425E-4</v>
      </c>
      <c r="J97" s="1">
        <f>'[2]Electricity and CHPs'!F58</f>
        <v>3.4901816329507814E-3</v>
      </c>
      <c r="K97" s="1">
        <f>'[2]Electricity and CHPs'!G58</f>
        <v>4.8196744244007961E-3</v>
      </c>
      <c r="L97" s="1">
        <f>'[2]Electricity and CHPs'!H58</f>
        <v>2.0959582324089543E-3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2.2172537443857672</v>
      </c>
      <c r="G98" s="1">
        <f t="shared" ref="G98:K98" si="88">G82-G114</f>
        <v>1.1290758265746224</v>
      </c>
      <c r="H98" s="1">
        <f t="shared" si="88"/>
        <v>1.5869535286702774</v>
      </c>
      <c r="I98" s="1">
        <f t="shared" si="88"/>
        <v>1.6476893897281244</v>
      </c>
      <c r="J98" s="1">
        <f t="shared" si="88"/>
        <v>2.0656509797677041</v>
      </c>
      <c r="K98" s="1">
        <f t="shared" si="88"/>
        <v>2.2410001890633273</v>
      </c>
      <c r="L98" s="1">
        <f t="shared" ref="L98" si="89">L82-L114</f>
        <v>0.29237407038287322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1.0050965642094986E-3</v>
      </c>
      <c r="L99" s="1">
        <f t="shared" ref="L99" si="91">L83-L115</f>
        <v>1.7405555652910566E-3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1.0533802109306887E-3</v>
      </c>
      <c r="J100" s="1">
        <f t="shared" si="92"/>
        <v>2.886142024153457E-3</v>
      </c>
      <c r="K100" s="1">
        <f t="shared" si="92"/>
        <v>5.7155832922680338E-4</v>
      </c>
      <c r="L100" s="1">
        <f t="shared" ref="L100" si="93">L84-L116</f>
        <v>9.6611292619460318E-3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1.7823535391201235E-3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0.94066997967087707</v>
      </c>
      <c r="G102" s="1">
        <f t="shared" si="96"/>
        <v>4.8338021453179293E-4</v>
      </c>
      <c r="H102" s="1">
        <f t="shared" si="96"/>
        <v>1.0965184770164262</v>
      </c>
      <c r="I102" s="1">
        <f t="shared" si="96"/>
        <v>1.9190035109161812E-3</v>
      </c>
      <c r="J102" s="1">
        <f t="shared" si="96"/>
        <v>4.4371472976471845E-3</v>
      </c>
      <c r="K102" s="1">
        <f t="shared" si="96"/>
        <v>4.9342710643311607E-4</v>
      </c>
      <c r="L102" s="1">
        <f t="shared" ref="L102" si="97">L86-L118</f>
        <v>5.01777553196502E-2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3.2339886126377132E-4</v>
      </c>
      <c r="L103" s="1">
        <f t="shared" ref="L103" si="99">L87-L119</f>
        <v>0.21537917071239848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0.65248572010132844</v>
      </c>
      <c r="G104" s="1">
        <f t="shared" si="100"/>
        <v>0.51052889549184677</v>
      </c>
      <c r="H104" s="1">
        <f t="shared" si="100"/>
        <v>0.39157358155356181</v>
      </c>
      <c r="I104" s="1">
        <f t="shared" si="100"/>
        <v>2.8116032709989254E-2</v>
      </c>
      <c r="J104" s="1">
        <f t="shared" si="100"/>
        <v>1.7635455855923302E-2</v>
      </c>
      <c r="K104" s="1">
        <f t="shared" si="100"/>
        <v>7.0889730671963389E-3</v>
      </c>
      <c r="L104" s="1">
        <f t="shared" ref="L104" si="101">L88-L120</f>
        <v>9.8403206389097641E-4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5.8948095471299147E-4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1.3253858321653376E-3</v>
      </c>
      <c r="K106" s="1">
        <f t="shared" si="104"/>
        <v>8.180918202178117E-4</v>
      </c>
      <c r="L106" s="1">
        <f t="shared" ref="L106" si="105">L90-L122</f>
        <v>6.3997608687129184E-4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1.7239620582289897E-2</v>
      </c>
      <c r="G107" s="1">
        <f t="shared" si="106"/>
        <v>1.6819376568826747E-3</v>
      </c>
      <c r="H107" s="1">
        <f t="shared" si="106"/>
        <v>7.7418939391768861E-3</v>
      </c>
      <c r="I107" s="1">
        <f t="shared" si="106"/>
        <v>7.0110688308358303E-3</v>
      </c>
      <c r="J107" s="1">
        <f t="shared" si="106"/>
        <v>8.1567889819144281E-3</v>
      </c>
      <c r="K107" s="1">
        <f t="shared" si="106"/>
        <v>6.3867552498952261E-3</v>
      </c>
      <c r="L107" s="1">
        <f t="shared" ref="L107" si="107">L91-L123</f>
        <v>1.0553961338201183E-3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6.0107181002375977E-4</v>
      </c>
      <c r="J108" s="1">
        <f t="shared" si="108"/>
        <v>1.246411977706109E-3</v>
      </c>
      <c r="K108" s="1">
        <f t="shared" si="108"/>
        <v>1.3033434161299556E-3</v>
      </c>
      <c r="L108" s="1">
        <f t="shared" ref="L108" si="109">L92-L124</f>
        <v>3.6147287109148708E-4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2.7966633065124841E-2</v>
      </c>
      <c r="G109" s="1">
        <f t="shared" si="110"/>
        <v>1.7115575592775518E-3</v>
      </c>
      <c r="H109" s="1">
        <f t="shared" si="110"/>
        <v>2.2839133451848907E-2</v>
      </c>
      <c r="I109" s="1">
        <f t="shared" si="110"/>
        <v>1.5847650431523084</v>
      </c>
      <c r="J109" s="1">
        <f t="shared" si="110"/>
        <v>1.9853315970497263</v>
      </c>
      <c r="K109" s="1">
        <f t="shared" si="110"/>
        <v>2.1927882082492136</v>
      </c>
      <c r="L109" s="1">
        <f t="shared" ref="L109" si="111">L93-L125</f>
        <v>6.4394565076634058E-3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2.6676352366751042E-3</v>
      </c>
      <c r="J110" s="1">
        <f t="shared" si="112"/>
        <v>8.086644603460591E-3</v>
      </c>
      <c r="K110" s="1">
        <f t="shared" si="112"/>
        <v>9.0644297642559525E-3</v>
      </c>
      <c r="L110" s="1">
        <f t="shared" ref="L110" si="113">L94-L126</f>
        <v>2.5913630068314835E-3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0.57889179096614685</v>
      </c>
      <c r="G112" s="1">
        <f t="shared" si="116"/>
        <v>0.61467005565208388</v>
      </c>
      <c r="H112" s="1">
        <f t="shared" si="116"/>
        <v>6.8280442709263658E-2</v>
      </c>
      <c r="I112" s="1">
        <f t="shared" si="116"/>
        <v>2.0849030527227266E-2</v>
      </c>
      <c r="J112" s="1">
        <f t="shared" si="116"/>
        <v>3.3394885521207521E-2</v>
      </c>
      <c r="K112" s="1">
        <f t="shared" si="116"/>
        <v>1.6831303104124014E-2</v>
      </c>
      <c r="L112" s="1">
        <f t="shared" ref="L112" si="117">L96-L128</f>
        <v>2.1312238485817609E-4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7.0712373921795067E-4</v>
      </c>
      <c r="J113" s="1">
        <f t="shared" si="118"/>
        <v>3.1505206237999886E-3</v>
      </c>
      <c r="K113" s="1">
        <f t="shared" si="118"/>
        <v>4.3256035311617005E-3</v>
      </c>
      <c r="L113" s="1">
        <f t="shared" ref="L113" si="119">L97-L129</f>
        <v>7.5880597472743265E-4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1.0188000857847341</v>
      </c>
      <c r="G114" s="1">
        <f t="shared" ref="G114:K114" si="120">SUM(G115:G129)</f>
        <v>1.1265428746728015</v>
      </c>
      <c r="H114" s="1">
        <f t="shared" si="120"/>
        <v>1.1251770109390844</v>
      </c>
      <c r="I114" s="1">
        <f t="shared" si="120"/>
        <v>1.3244540005166001</v>
      </c>
      <c r="J114" s="1">
        <f t="shared" si="120"/>
        <v>1.3286537961789031</v>
      </c>
      <c r="K114" s="1">
        <f t="shared" si="120"/>
        <v>1.3619219180130815</v>
      </c>
      <c r="L114" s="1">
        <f t="shared" ref="L114" si="121">SUM(L115:L129)</f>
        <v>1.6211556119751247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1.1480223596386024E-4</v>
      </c>
      <c r="L115" s="1">
        <f>'[2]Electricity and CHPs_IN'!R$23/SUM('[2]Electricity and CHPs_IN'!R$22:R$23)*L83</f>
        <v>3.067171162674469E-3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1.396918655357557E-4</v>
      </c>
      <c r="J116" s="1">
        <f>'[2]Electricity and CHPs_IN'!P$23/SUM('[2]Electricity and CHPs_IN'!P$22:P$23)*J84</f>
        <v>3.1115806862869465E-4</v>
      </c>
      <c r="K116" s="1">
        <f>'[2]Electricity and CHPs_IN'!Q$23/SUM('[2]Electricity and CHPs_IN'!Q$22:Q$23)*K84</f>
        <v>6.5283452869637317E-5</v>
      </c>
      <c r="L116" s="1">
        <f>'[2]Electricity and CHPs_IN'!R$23/SUM('[2]Electricity and CHPs_IN'!R$22:R$23)*L84</f>
        <v>1.7024642971484923E-2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3.1408266911409212E-3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2.5212817865729226E-2</v>
      </c>
      <c r="G118" s="1">
        <f>'[1]Electricity and CHPs_IN'!M$23/SUM('[1]Electricity and CHPs_IN'!M$22:M$23)*G86</f>
        <v>8.8153967892468225E-6</v>
      </c>
      <c r="H118" s="1">
        <f>'[1]Electricity and CHPs_IN'!N$23/SUM('[1]Electricity and CHPs_IN'!N$22:N$23)*H86</f>
        <v>1.3285374419792299E-2</v>
      </c>
      <c r="I118" s="1">
        <f>'[1]Electricity and CHPs_IN'!O$23/SUM('[1]Electricity and CHPs_IN'!O$22:O$23)*I86</f>
        <v>2.5448473175008687E-4</v>
      </c>
      <c r="J118" s="1">
        <f>'[2]Electricity and CHPs_IN'!P$23/SUM('[2]Electricity and CHPs_IN'!P$22:P$23)*J86</f>
        <v>4.783736114863902E-4</v>
      </c>
      <c r="K118" s="1">
        <f>'[2]Electricity and CHPs_IN'!Q$23/SUM('[2]Electricity and CHPs_IN'!Q$22:Q$23)*K86</f>
        <v>5.6359296331145542E-5</v>
      </c>
      <c r="L118" s="1">
        <f>'[2]Electricity and CHPs_IN'!R$23/SUM('[2]Electricity and CHPs_IN'!R$22:R$23)*L86</f>
        <v>8.8422206790296123E-2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3.6938652168657285E-5</v>
      </c>
      <c r="L119" s="1">
        <f>'[2]Electricity and CHPs_IN'!R$23/SUM('[2]Electricity and CHPs_IN'!R$22:R$23)*L87</f>
        <v>0.37953673793766168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1.7488602779329551E-2</v>
      </c>
      <c r="G120" s="1">
        <f>'[1]Electricity and CHPs_IN'!M$23/SUM('[1]Electricity and CHPs_IN'!M$22:M$23)*G88</f>
        <v>9.3105068243138547E-3</v>
      </c>
      <c r="H120" s="1">
        <f>'[1]Electricity and CHPs_IN'!N$23/SUM('[1]Electricity and CHPs_IN'!N$22:N$23)*H88</f>
        <v>4.7442899986446943E-3</v>
      </c>
      <c r="I120" s="1">
        <f>'[1]Electricity and CHPs_IN'!O$23/SUM('[1]Electricity and CHPs_IN'!O$22:O$23)*I88</f>
        <v>3.72855026130841E-3</v>
      </c>
      <c r="J120" s="1">
        <f>'[2]Electricity and CHPs_IN'!P$23/SUM('[2]Electricity and CHPs_IN'!P$22:P$23)*J88</f>
        <v>1.9012974197363793E-3</v>
      </c>
      <c r="K120" s="1">
        <f>'[2]Electricity and CHPs_IN'!Q$23/SUM('[2]Electricity and CHPs_IN'!Q$22:Q$23)*K88</f>
        <v>8.0970325417617538E-4</v>
      </c>
      <c r="L120" s="1">
        <f>'[2]Electricity and CHPs_IN'!R$23/SUM('[2]Electricity and CHPs_IN'!R$22:R$23)*L88</f>
        <v>1.7340410324727207E-3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1.0387711954137819E-3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1.4289126878479425E-4</v>
      </c>
      <c r="K122" s="1">
        <f>'[2]Electricity and CHPs_IN'!Q$23/SUM('[2]Electricity and CHPs_IN'!Q$22:Q$23)*K90</f>
        <v>9.3442534308746354E-5</v>
      </c>
      <c r="L122" s="1">
        <f>'[2]Electricity and CHPs_IN'!R$23/SUM('[2]Electricity and CHPs_IN'!R$22:R$23)*L90</f>
        <v>1.1277526771313604E-3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4.6207429088747072E-4</v>
      </c>
      <c r="G123" s="1">
        <f>'[1]Electricity and CHPs_IN'!M$23/SUM('[1]Electricity and CHPs_IN'!M$22:M$23)*G91</f>
        <v>3.0673468574956853E-5</v>
      </c>
      <c r="H123" s="1">
        <f>'[1]Electricity and CHPs_IN'!N$23/SUM('[1]Electricity and CHPs_IN'!N$22:N$23)*H91</f>
        <v>9.3800480207270463E-5</v>
      </c>
      <c r="I123" s="1">
        <f>'[1]Electricity and CHPs_IN'!O$23/SUM('[1]Electricity and CHPs_IN'!O$22:O$23)*I91</f>
        <v>9.2975857550402512E-4</v>
      </c>
      <c r="J123" s="1">
        <f>'[2]Electricity and CHPs_IN'!P$23/SUM('[2]Electricity and CHPs_IN'!P$22:P$23)*J91</f>
        <v>8.7939217286742968E-4</v>
      </c>
      <c r="K123" s="1">
        <f>'[2]Electricity and CHPs_IN'!Q$23/SUM('[2]Electricity and CHPs_IN'!Q$22:Q$23)*K91</f>
        <v>7.2949586074703434E-4</v>
      </c>
      <c r="L123" s="1">
        <f>'[2]Electricity and CHPs_IN'!R$23/SUM('[2]Electricity and CHPs_IN'!R$22:R$23)*L91</f>
        <v>1.8597973264415065E-3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7.9709910620959191E-5</v>
      </c>
      <c r="J124" s="1">
        <f>'[2]Electricity and CHPs_IN'!P$23/SUM('[2]Electricity and CHPs_IN'!P$22:P$23)*J92</f>
        <v>1.3437701279182907E-4</v>
      </c>
      <c r="K124" s="1">
        <f>'[2]Electricity and CHPs_IN'!Q$23/SUM('[2]Electricity and CHPs_IN'!Q$22:Q$23)*K92</f>
        <v>1.4886802296272422E-4</v>
      </c>
      <c r="L124" s="1">
        <f>'[2]Electricity and CHPs_IN'!R$23/SUM('[2]Electricity and CHPs_IN'!R$22:R$23)*L92</f>
        <v>6.3698004729631139E-4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7.4959086717679756E-4</v>
      </c>
      <c r="G125" s="1">
        <f>'[1]Electricity and CHPs_IN'!M$23/SUM('[1]Electricity and CHPs_IN'!M$22:M$23)*G93</f>
        <v>3.1213646233495319E-5</v>
      </c>
      <c r="H125" s="1">
        <f>'[1]Electricity and CHPs_IN'!N$23/SUM('[1]Electricity and CHPs_IN'!N$22:N$23)*H93</f>
        <v>2.767180359395536E-4</v>
      </c>
      <c r="I125" s="1">
        <f>'[1]Electricity and CHPs_IN'!O$23/SUM('[1]Electricity and CHPs_IN'!O$22:O$23)*I93</f>
        <v>0.21016037990518585</v>
      </c>
      <c r="J125" s="1">
        <f>'[2]Electricity and CHPs_IN'!P$23/SUM('[2]Electricity and CHPs_IN'!P$22:P$23)*J93</f>
        <v>0.21404072985864561</v>
      </c>
      <c r="K125" s="1">
        <f>'[2]Electricity and CHPs_IN'!Q$23/SUM('[2]Electricity and CHPs_IN'!Q$22:Q$23)*K93</f>
        <v>0.25046050127550273</v>
      </c>
      <c r="L125" s="1">
        <f>'[2]Electricity and CHPs_IN'!R$23/SUM('[2]Electricity and CHPs_IN'!R$22:R$23)*L93</f>
        <v>1.134747760856396E-2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3.5376299926008606E-4</v>
      </c>
      <c r="J126" s="1">
        <f>'[2]Electricity and CHPs_IN'!P$23/SUM('[2]Electricity and CHPs_IN'!P$22:P$23)*J94</f>
        <v>8.7182983215716681E-4</v>
      </c>
      <c r="K126" s="1">
        <f>'[2]Electricity and CHPs_IN'!Q$23/SUM('[2]Electricity and CHPs_IN'!Q$22:Q$23)*K94</f>
        <v>1.0353401272368173E-3</v>
      </c>
      <c r="L126" s="1">
        <f>'[2]Electricity and CHPs_IN'!R$23/SUM('[2]Electricity and CHPs_IN'!R$22:R$23)*L94</f>
        <v>4.5664465099945458E-3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0.95937093844566002</v>
      </c>
      <c r="G127" s="1">
        <f t="shared" si="123"/>
        <v>1.1059519379377449</v>
      </c>
      <c r="H127" s="1">
        <f t="shared" si="123"/>
        <v>1.1059495448661352</v>
      </c>
      <c r="I127" s="1">
        <f t="shared" si="123"/>
        <v>1.1059490368898082</v>
      </c>
      <c r="J127" s="1">
        <f t="shared" si="123"/>
        <v>1.1059537474818835</v>
      </c>
      <c r="K127" s="1">
        <f t="shared" si="123"/>
        <v>1.1059546391852546</v>
      </c>
      <c r="L127" s="1">
        <f t="shared" ref="L127" si="124">L95</f>
        <v>1.1059400478904771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1.5516061535951161E-2</v>
      </c>
      <c r="G128" s="1">
        <f>'[1]Electricity and CHPs_IN'!M$23/SUM('[1]Electricity and CHPs_IN'!M$22:M$23)*G96</f>
        <v>1.1209727399144831E-2</v>
      </c>
      <c r="H128" s="1">
        <f>'[1]Electricity and CHPs_IN'!N$23/SUM('[1]Electricity and CHPs_IN'!N$22:N$23)*H96</f>
        <v>8.2728313836535167E-4</v>
      </c>
      <c r="I128" s="1">
        <f>'[1]Electricity and CHPs_IN'!O$23/SUM('[1]Electricity and CHPs_IN'!O$22:O$23)*I96</f>
        <v>2.7648516069872634E-3</v>
      </c>
      <c r="J128" s="1">
        <f>'[2]Electricity and CHPs_IN'!P$23/SUM('[2]Electricity and CHPs_IN'!P$22:P$23)*J96</f>
        <v>3.6003384427705466E-3</v>
      </c>
      <c r="K128" s="1">
        <f>'[2]Electricity and CHPs_IN'!Q$23/SUM('[2]Electricity and CHPs_IN'!Q$22:Q$23)*K96</f>
        <v>1.9224732223203016E-3</v>
      </c>
      <c r="L128" s="1">
        <f>'[2]Electricity and CHPs_IN'!R$23/SUM('[2]Electricity and CHPs_IN'!R$22:R$23)*L96</f>
        <v>3.7555987639389065E-4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9.3773770639473606E-5</v>
      </c>
      <c r="J129" s="1">
        <f>'[2]Electricity and CHPs_IN'!P$23/SUM('[2]Electricity and CHPs_IN'!P$22:P$23)*J97</f>
        <v>3.3966100915079275E-4</v>
      </c>
      <c r="K129" s="1">
        <f>'[2]Electricity and CHPs_IN'!Q$23/SUM('[2]Electricity and CHPs_IN'!Q$22:Q$23)*K97</f>
        <v>4.9407089323909531E-4</v>
      </c>
      <c r="L129" s="1">
        <f>'[2]Electricity and CHPs_IN'!R$23/SUM('[2]Electricity and CHPs_IN'!R$22:R$23)*L97</f>
        <v>1.3371522576815216E-3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8.2845973036853024</v>
      </c>
      <c r="G130" s="1">
        <f t="shared" ref="G130:K130" si="125">SUM(G131:G136)</f>
        <v>8.9572275612053662</v>
      </c>
      <c r="H130" s="1">
        <f t="shared" si="125"/>
        <v>9.5371919036925039</v>
      </c>
      <c r="I130" s="1">
        <f t="shared" si="125"/>
        <v>8.8240822999933819</v>
      </c>
      <c r="J130" s="1">
        <f t="shared" si="125"/>
        <v>8.9262001560116744</v>
      </c>
      <c r="K130" s="1">
        <f t="shared" si="125"/>
        <v>9.1201043597832516</v>
      </c>
      <c r="L130" s="1">
        <f t="shared" ref="L130" si="126">SUM(L131:L136)</f>
        <v>10.366766426846148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6.5070008691642389</v>
      </c>
      <c r="G131" s="1">
        <f>'[1]Electricity and CHPs'!C19</f>
        <v>7.302767945686452</v>
      </c>
      <c r="H131" s="1">
        <f>'[1]Electricity and CHPs'!D19</f>
        <v>8.1987638607941804</v>
      </c>
      <c r="I131" s="1">
        <f>'[1]Electricity and CHPs'!E19</f>
        <v>7.3981387632960764</v>
      </c>
      <c r="J131" s="1">
        <f>'[2]Electricity and CHPs'!F19</f>
        <v>7.4918618872868734</v>
      </c>
      <c r="K131" s="1">
        <f>'[2]Electricity and CHPs'!G19</f>
        <v>7.6680258652852036</v>
      </c>
      <c r="L131" s="1">
        <f>'[2]Electricity and CHPs'!H19</f>
        <v>2.1872869104297963E-3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8.5550995963850056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1.5475491633037712</v>
      </c>
      <c r="G133" s="1">
        <f>'[1]Electricity and CHPs'!C26</f>
        <v>1.4243003053066379</v>
      </c>
      <c r="H133" s="1">
        <f>'[1]Electricity and CHPs'!D26</f>
        <v>1.3364080254815884</v>
      </c>
      <c r="I133" s="1">
        <f>'[1]Electricity and CHPs'!E26</f>
        <v>1.4251031665028226</v>
      </c>
      <c r="J133" s="1">
        <f>'[2]Electricity and CHPs'!F26</f>
        <v>1.4328056296987004</v>
      </c>
      <c r="K133" s="1">
        <f>'[2]Electricity and CHPs'!G26</f>
        <v>1.4508226336396544</v>
      </c>
      <c r="L133" s="1">
        <f>'[2]Electricity and CHPs'!H26</f>
        <v>0.19714150281026624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1.3701492545253902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0.2300472712172921</v>
      </c>
      <c r="G135" s="1">
        <f>'[1]Electricity and CHPs'!C44</f>
        <v>0.23015931021227523</v>
      </c>
      <c r="H135" s="1">
        <f>'[1]Electricity and CHPs'!D44</f>
        <v>2.0200174167348183E-3</v>
      </c>
      <c r="I135" s="1">
        <f>'[1]Electricity and CHPs'!E44</f>
        <v>8.4037019448282503E-4</v>
      </c>
      <c r="J135" s="1">
        <f>'[2]Electricity and CHPs'!F44</f>
        <v>1.5326390261014486E-3</v>
      </c>
      <c r="K135" s="1">
        <f>'[2]Electricity and CHPs'!G44</f>
        <v>1.2558608583929337E-3</v>
      </c>
      <c r="L135" s="1">
        <f>'[2]Electricity and CHPs'!H44</f>
        <v>2.4681402456599132E-4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0.24194197219049121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4.0272750162340047</v>
      </c>
      <c r="G137" s="1">
        <f t="shared" ref="G137:K137" si="128">SUM(G138:G141)</f>
        <v>4.3635341254965452</v>
      </c>
      <c r="H137" s="1">
        <f t="shared" si="128"/>
        <v>4.7675859431378846</v>
      </c>
      <c r="I137" s="1">
        <f t="shared" si="128"/>
        <v>4.4116209648994493</v>
      </c>
      <c r="J137" s="1">
        <f t="shared" si="128"/>
        <v>4.4623337584927869</v>
      </c>
      <c r="K137" s="1">
        <f t="shared" si="128"/>
        <v>4.5594242494624293</v>
      </c>
      <c r="L137" s="1">
        <f t="shared" ref="L137" si="129">SUM(L138:L141)</f>
        <v>5.0622888203155458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3.2535004345821195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3.651383972843226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4.0993819303970902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3.6990693816480382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3.7459309436434367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3.8340129326426022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1.0936434552148982E-3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4.2775497981925028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0.77377458165188562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0.71215015265331894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0.66820401274079422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0.71255158325141132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0.71640281484935031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0.72541131681982707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9.8570751405133106E-2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0.68507462726269508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4.2573222874512968</v>
      </c>
      <c r="G144" s="1">
        <f t="shared" ref="G144:K144" si="130">SUM(G145:G150)</f>
        <v>4.5936934357088202</v>
      </c>
      <c r="H144" s="1">
        <f t="shared" si="130"/>
        <v>4.7696059605546193</v>
      </c>
      <c r="I144" s="1">
        <f t="shared" si="130"/>
        <v>4.4124613350939326</v>
      </c>
      <c r="J144" s="1">
        <f t="shared" si="130"/>
        <v>4.4638663975188884</v>
      </c>
      <c r="K144" s="1">
        <f t="shared" si="130"/>
        <v>4.5606801103208214</v>
      </c>
      <c r="L144" s="1">
        <f t="shared" ref="L144" si="131">SUM(L145:L150)</f>
        <v>5.304477606530603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3.2535004345821195</v>
      </c>
      <c r="G145" s="1">
        <f t="shared" ref="G145:K145" si="132">G131-G138</f>
        <v>3.651383972843226</v>
      </c>
      <c r="H145" s="1">
        <f t="shared" si="132"/>
        <v>4.0993819303970902</v>
      </c>
      <c r="I145" s="1">
        <f t="shared" si="132"/>
        <v>3.6990693816480382</v>
      </c>
      <c r="J145" s="1">
        <f t="shared" si="132"/>
        <v>3.7459309436434367</v>
      </c>
      <c r="K145" s="1">
        <f t="shared" si="132"/>
        <v>3.8340129326426013</v>
      </c>
      <c r="L145" s="1">
        <f t="shared" ref="L145" si="133">L131-L138</f>
        <v>1.0936434552148982E-3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4.2775497981925028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0.77377458165188562</v>
      </c>
      <c r="G147" s="1">
        <f t="shared" si="136"/>
        <v>0.71215015265331894</v>
      </c>
      <c r="H147" s="1">
        <f t="shared" si="136"/>
        <v>0.66820401274079422</v>
      </c>
      <c r="I147" s="1">
        <f t="shared" si="136"/>
        <v>0.71255158325141132</v>
      </c>
      <c r="J147" s="1">
        <f t="shared" si="136"/>
        <v>0.71640281484935009</v>
      </c>
      <c r="K147" s="1">
        <f t="shared" si="136"/>
        <v>0.72541131681982729</v>
      </c>
      <c r="L147" s="1">
        <f t="shared" ref="L147" si="137">L133-L140</f>
        <v>9.8570751405133133E-2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0.68507462726269508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0.2300472712172921</v>
      </c>
      <c r="G149" s="1">
        <f t="shared" si="140"/>
        <v>0.23015931021227523</v>
      </c>
      <c r="H149" s="1">
        <f t="shared" si="140"/>
        <v>2.0200174167348183E-3</v>
      </c>
      <c r="I149" s="1">
        <f t="shared" si="140"/>
        <v>8.4037019448282503E-4</v>
      </c>
      <c r="J149" s="1">
        <f t="shared" si="140"/>
        <v>1.5326390261014486E-3</v>
      </c>
      <c r="K149" s="1">
        <f t="shared" si="140"/>
        <v>1.2558608583929337E-3</v>
      </c>
      <c r="L149" s="1">
        <f t="shared" ref="L149" si="141">L135-L142</f>
        <v>2.4681402456599132E-4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0.24194197219049121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0.17375146718476639</v>
      </c>
      <c r="G151" s="1">
        <f t="shared" ref="G151:K151" si="147">SUM(G152:G158)</f>
        <v>0.17374282157629292</v>
      </c>
      <c r="H151" s="1">
        <f t="shared" si="147"/>
        <v>1.4488168469620852</v>
      </c>
      <c r="I151" s="1">
        <f t="shared" si="147"/>
        <v>3.1452156036502434</v>
      </c>
      <c r="J151" s="1">
        <f t="shared" si="147"/>
        <v>3.870025942349494</v>
      </c>
      <c r="K151" s="1">
        <f t="shared" si="147"/>
        <v>4.5422983468896154</v>
      </c>
      <c r="L151" s="1">
        <f t="shared" ref="L151" si="148">SUM(L152:L158)</f>
        <v>5.8868677535055092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1.2827316376056315E-3</v>
      </c>
      <c r="G152" s="1">
        <f>'[1]Electricity and CHPs'!C25</f>
        <v>1.1263731027348074E-2</v>
      </c>
      <c r="H152" s="1">
        <f>'[1]Electricity and CHPs'!D25</f>
        <v>1.5655743460238368E-2</v>
      </c>
      <c r="I152" s="1">
        <f>'[1]Electricity and CHPs'!E25</f>
        <v>1.2933916388017791E-3</v>
      </c>
      <c r="J152" s="1">
        <f>'[2]Electricity and CHPs'!F25</f>
        <v>2.4454152907868397E-3</v>
      </c>
      <c r="K152" s="1">
        <f>'[2]Electricity and CHPs'!G25</f>
        <v>2.2737357822534771E-3</v>
      </c>
      <c r="L152" s="1">
        <f>'[2]Electricity and CHPs'!H25</f>
        <v>1.2980194931589612E-3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2.2120736434052851E-2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0.17246873554716075</v>
      </c>
      <c r="G154" s="1">
        <f>'[1]Electricity and CHPs'!C42</f>
        <v>0.16247909054894485</v>
      </c>
      <c r="H154" s="1">
        <f>'[1]Electricity and CHPs'!D42</f>
        <v>1.4331611035018468</v>
      </c>
      <c r="I154" s="1">
        <f>'[1]Electricity and CHPs'!E42</f>
        <v>3.1396111070305972</v>
      </c>
      <c r="J154" s="1">
        <f>'[2]Electricity and CHPs'!F42</f>
        <v>3.8583801077210618</v>
      </c>
      <c r="K154" s="1">
        <f>'[2]Electricity and CHPs'!G42</f>
        <v>4.4619862870105171</v>
      </c>
      <c r="L154" s="1">
        <f>'[2]Electricity and CHPs'!H42</f>
        <v>3.4985274495448784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1.3445230886150112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1.427479427739518E-3</v>
      </c>
      <c r="J156" s="1">
        <f>'[2]Electricity and CHPs'!F50</f>
        <v>2.6528938960166757E-3</v>
      </c>
      <c r="K156" s="1">
        <f>'[2]Electricity and CHPs'!G50</f>
        <v>2.9663262952686112E-3</v>
      </c>
      <c r="L156" s="1">
        <f>'[2]Electricity and CHPs'!H50</f>
        <v>2.8472223560317257E-3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2.0850292386061439E-3</v>
      </c>
      <c r="J157" s="1">
        <f>'[2]Electricity and CHPs'!F53</f>
        <v>4.8316407929876407E-3</v>
      </c>
      <c r="K157" s="1">
        <f>'[2]Electricity and CHPs'!G53</f>
        <v>7.3562356540294166E-2</v>
      </c>
      <c r="L157" s="1">
        <f>'[2]Electricity and CHPs'!H53</f>
        <v>1.0168319717853826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7.9859631449864007E-4</v>
      </c>
      <c r="J158" s="1">
        <f>'[2]Electricity and CHPs'!F56</f>
        <v>1.7158846486409075E-3</v>
      </c>
      <c r="K158" s="1">
        <f>'[2]Electricity and CHPs'!G56</f>
        <v>1.5096412612818175E-3</v>
      </c>
      <c r="L158" s="1">
        <f>'[2]Electricity and CHPs'!H56</f>
        <v>7.1926527699324471E-4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0.54529224331287351</v>
      </c>
      <c r="H159" s="1">
        <f t="shared" si="149"/>
        <v>0.50316484164642317</v>
      </c>
      <c r="I159" s="1">
        <f t="shared" si="149"/>
        <v>1.6453367237501542</v>
      </c>
      <c r="J159" s="1">
        <f t="shared" si="149"/>
        <v>0.88048814439042689</v>
      </c>
      <c r="K159" s="1">
        <f t="shared" si="149"/>
        <v>0.88052878257614553</v>
      </c>
      <c r="L159" s="1">
        <f t="shared" si="149"/>
        <v>0.88053843110220575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0.54529224331287351</v>
      </c>
      <c r="H160" s="1">
        <f>'[1]Electricity and CHPs'!D33</f>
        <v>0.50316484164642317</v>
      </c>
      <c r="I160" s="1">
        <f>'[1]Electricity and CHPs'!E33</f>
        <v>1.6453367237501542</v>
      </c>
      <c r="J160" s="1">
        <f>'[2]Electricity and CHPs'!F33</f>
        <v>0.88048814439042689</v>
      </c>
      <c r="K160" s="1">
        <f>'[2]Electricity and CHPs'!G33</f>
        <v>0.88052878257614553</v>
      </c>
      <c r="L160" s="1">
        <f>'[2]Electricity and CHPs'!H33</f>
        <v>0.88053843110220575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12.821412724156708</v>
      </c>
      <c r="H161" s="1">
        <f t="shared" si="150"/>
        <v>28.800005811017826</v>
      </c>
      <c r="I161" s="1">
        <f t="shared" si="150"/>
        <v>31.1749998053978</v>
      </c>
      <c r="J161" s="1">
        <f t="shared" si="150"/>
        <v>48.057737766763218</v>
      </c>
      <c r="K161" s="1">
        <f t="shared" si="150"/>
        <v>56.315945218749327</v>
      </c>
      <c r="L161" s="1">
        <f t="shared" ref="L161" si="151">SUM(L162:L166)</f>
        <v>80.097240546564933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0.14080434674055581</v>
      </c>
      <c r="I162" s="1">
        <f>'[1]Electricity and CHPs'!E34</f>
        <v>0.15585162782118711</v>
      </c>
      <c r="J162" s="1">
        <f>'[2]Electricity and CHPs'!F34</f>
        <v>0.19115005553398742</v>
      </c>
      <c r="K162" s="1">
        <f>'[2]Electricity and CHPs'!G34</f>
        <v>0.19186797926130883</v>
      </c>
      <c r="L162" s="1">
        <f>'[2]Electricity and CHPs'!H34</f>
        <v>1.5236548026746457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4.848622423149628</v>
      </c>
      <c r="H163" s="1">
        <f>'[1]Electricity and CHPs'!D35</f>
        <v>11.161489912978602</v>
      </c>
      <c r="I163" s="1">
        <f>'[1]Electricity and CHPs'!E35</f>
        <v>12.114544139753489</v>
      </c>
      <c r="J163" s="1">
        <f>'[2]Electricity and CHPs'!F35</f>
        <v>27.952199311364673</v>
      </c>
      <c r="K163" s="1">
        <f>'[2]Electricity and CHPs'!G35</f>
        <v>35.145616836081508</v>
      </c>
      <c r="L163" s="1">
        <f>'[2]Electricity and CHPs'!H35</f>
        <v>55.292138380096802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3.3907066836683386</v>
      </c>
      <c r="H164" s="1">
        <f>'[1]Electricity and CHPs'!D36</f>
        <v>4.0431317335185133</v>
      </c>
      <c r="I164" s="1">
        <f>'[1]Electricity and CHPs'!E36</f>
        <v>4.3470234397317018</v>
      </c>
      <c r="J164" s="1">
        <f>'[2]Electricity and CHPs'!F36</f>
        <v>4.6138580767758626</v>
      </c>
      <c r="K164" s="1">
        <f>'[2]Electricity and CHPs'!G36</f>
        <v>4.8974019742463524</v>
      </c>
      <c r="L164" s="1">
        <f>'[2]Electricity and CHPs'!H36</f>
        <v>5.517834197817912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1.2876283870134038</v>
      </c>
      <c r="H165" s="1">
        <f>'[1]Electricity and CHPs'!D37</f>
        <v>3.4879951224680696</v>
      </c>
      <c r="I165" s="1">
        <f>'[1]Electricity and CHPs'!E37</f>
        <v>3.8198681208559986</v>
      </c>
      <c r="J165" s="1">
        <f>'[2]Electricity and CHPs'!F37</f>
        <v>4.0150497660213933</v>
      </c>
      <c r="K165" s="1">
        <f>'[2]Electricity and CHPs'!G37</f>
        <v>4.2198783738302748</v>
      </c>
      <c r="L165" s="1">
        <f>'[2]Electricity and CHPs'!H37</f>
        <v>4.6614116495291018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3.294455230325338</v>
      </c>
      <c r="H166" s="1">
        <f>'[1]Electricity and CHPs'!D38</f>
        <v>9.9665846953120827</v>
      </c>
      <c r="I166" s="1">
        <f>'[1]Electricity and CHPs'!E38</f>
        <v>10.737712477235423</v>
      </c>
      <c r="J166" s="1">
        <f>'[2]Electricity and CHPs'!F38</f>
        <v>11.2854805570673</v>
      </c>
      <c r="K166" s="1">
        <f>'[2]Electricity and CHPs'!G38</f>
        <v>11.861180055329882</v>
      </c>
      <c r="L166" s="1">
        <f>'[2]Electricity and CHPs'!H38</f>
        <v>13.102201516446467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</v>
      </c>
      <c r="L167" s="1">
        <f>'[2]Electricity and CHPs'!H32</f>
        <v>0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</v>
      </c>
      <c r="L168" s="1">
        <f t="shared" ref="L168" si="156">L167</f>
        <v>0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3.4912072766099212E-3</v>
      </c>
      <c r="J169" s="1">
        <f t="shared" si="157"/>
        <v>1.1199954725584403E-2</v>
      </c>
      <c r="K169" s="1">
        <f t="shared" si="157"/>
        <v>0.1709837146629444</v>
      </c>
      <c r="L169" s="1">
        <f t="shared" ref="L169" si="158">SUM(L170:L172)</f>
        <v>0.2515612916630256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0.16017310118403544</v>
      </c>
      <c r="L170" s="1">
        <f>'[2]Electricity and CHPs'!H30</f>
        <v>0.16017631786784745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7.56994958936562E-3</v>
      </c>
      <c r="K171" s="1">
        <f>'[2]Electricity and CHPs'!G46</f>
        <v>5.4377220847546103E-3</v>
      </c>
      <c r="L171" s="1">
        <f>'[2]Electricity and CHPs'!H46</f>
        <v>8.4122990941276676E-2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3.4912072766099212E-3</v>
      </c>
      <c r="J172" s="1">
        <f>'[2]Electricity and CHPs'!F57</f>
        <v>3.6300051362187832E-3</v>
      </c>
      <c r="K172" s="1">
        <f>'[2]Electricity and CHPs'!G57</f>
        <v>5.3728913941543596E-3</v>
      </c>
      <c r="L172" s="1">
        <f>'[2]Electricity and CHPs'!H57</f>
        <v>7.2619828539014853E-3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0.12441056136247287</v>
      </c>
      <c r="G173" s="1">
        <f t="shared" ref="G173:K173" si="160">SUM(G174:G180)</f>
        <v>3.5733485467003466E-2</v>
      </c>
      <c r="H173" s="1">
        <f t="shared" si="160"/>
        <v>0.3871692497084942</v>
      </c>
      <c r="I173" s="1">
        <f t="shared" si="160"/>
        <v>0.96092601844527592</v>
      </c>
      <c r="J173" s="1">
        <f t="shared" si="160"/>
        <v>1.0350706872443904</v>
      </c>
      <c r="K173" s="1">
        <f t="shared" si="160"/>
        <v>1.2017311222068336</v>
      </c>
      <c r="L173" s="1">
        <f t="shared" ref="L173" si="161">SUM(L174:L180)</f>
        <v>2.2757083276201926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9.4649346157739914E-2</v>
      </c>
      <c r="G174" s="1">
        <f>'[1]Electricity and CHPs'!C70</f>
        <v>9.2480422020363318E-3</v>
      </c>
      <c r="H174" s="1">
        <f>'[1]Electricity and CHPs'!D70</f>
        <v>1.6223413305628723E-2</v>
      </c>
      <c r="I174" s="1">
        <f>'[1]Electricity and CHPs'!E70</f>
        <v>9.4495531609855785E-2</v>
      </c>
      <c r="J174" s="1">
        <f>'[2]Electricity and CHPs'!F70</f>
        <v>6.9252479043945192E-3</v>
      </c>
      <c r="K174" s="1">
        <f>'[2]Electricity and CHPs'!G70</f>
        <v>4.1943803166278422E-3</v>
      </c>
      <c r="L174" s="1">
        <f>'[2]Electricity and CHPs'!H70</f>
        <v>9.4385875440153949E-2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8.207220085840539E-3</v>
      </c>
      <c r="G175" s="1">
        <f>'[1]Electricity and CHPs'!C71</f>
        <v>6.4812219877681664E-3</v>
      </c>
      <c r="H175" s="1">
        <f>'[1]Electricity and CHPs'!D71</f>
        <v>1.69887701673322E-2</v>
      </c>
      <c r="I175" s="1">
        <f>'[1]Electricity and CHPs'!E71</f>
        <v>6.080785064613288E-2</v>
      </c>
      <c r="J175" s="1">
        <f>'[2]Electricity and CHPs'!F71</f>
        <v>5.3029446037478285E-2</v>
      </c>
      <c r="K175" s="1">
        <f>'[2]Electricity and CHPs'!G71</f>
        <v>5.321069605631213E-2</v>
      </c>
      <c r="L175" s="1">
        <f>'[2]Electricity and CHPs'!H71</f>
        <v>0.41676617804465577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7.4947440367819579E-3</v>
      </c>
      <c r="G176" s="1">
        <f>'[1]Electricity and CHPs'!C72</f>
        <v>6.0133670478198856E-3</v>
      </c>
      <c r="H176" s="1">
        <f>'[1]Electricity and CHPs'!D72</f>
        <v>1.6188380842646694E-2</v>
      </c>
      <c r="I176" s="1">
        <f>'[1]Electricity and CHPs'!E72</f>
        <v>7.3629627395918232E-2</v>
      </c>
      <c r="J176" s="1">
        <f>'[2]Electricity and CHPs'!F72</f>
        <v>3.7874707112608305E-2</v>
      </c>
      <c r="K176" s="1">
        <f>'[2]Electricity and CHPs'!G72</f>
        <v>3.0693026980531623E-2</v>
      </c>
      <c r="L176" s="1">
        <f>'[2]Electricity and CHPs'!H72</f>
        <v>6.4435367561274728E-2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2.3644084781318576E-3</v>
      </c>
      <c r="G177" s="1">
        <f>'[1]Electricity and CHPs'!C73</f>
        <v>2.3532494802306755E-3</v>
      </c>
      <c r="H177" s="1">
        <f>'[1]Electricity and CHPs'!D73</f>
        <v>7.495623688775982E-2</v>
      </c>
      <c r="I177" s="1">
        <f>'[1]Electricity and CHPs'!E73</f>
        <v>0.17059199404176825</v>
      </c>
      <c r="J177" s="1">
        <f>'[2]Electricity and CHPs'!F73</f>
        <v>0.40098227339177023</v>
      </c>
      <c r="K177" s="1">
        <f>'[2]Electricity and CHPs'!G73</f>
        <v>0.58324388366246682</v>
      </c>
      <c r="L177" s="1">
        <f>'[2]Electricity and CHPs'!H73</f>
        <v>1.1458121075441323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4.6248206482256728E-3</v>
      </c>
      <c r="G178" s="1">
        <f>'[1]Electricity and CHPs'!C74</f>
        <v>4.6026407655491161E-3</v>
      </c>
      <c r="H178" s="1">
        <f>'[1]Electricity and CHPs'!D74</f>
        <v>0.11316847797645557</v>
      </c>
      <c r="I178" s="1">
        <f>'[1]Electricity and CHPs'!E74</f>
        <v>0.23784486725944753</v>
      </c>
      <c r="J178" s="1">
        <f>'[2]Electricity and CHPs'!F74</f>
        <v>0.22395090924531863</v>
      </c>
      <c r="K178" s="1">
        <f>'[2]Electricity and CHPs'!G74</f>
        <v>0.21864535371843347</v>
      </c>
      <c r="L178" s="1">
        <f>'[2]Electricity and CHPs'!H74</f>
        <v>0.22747847474729854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4.6647648968557104E-3</v>
      </c>
      <c r="G179" s="1">
        <f>'[1]Electricity and CHPs'!C75</f>
        <v>4.6416063765355731E-3</v>
      </c>
      <c r="H179" s="1">
        <f>'[1]Electricity and CHPs'!D75</f>
        <v>5.2266956915542395E-2</v>
      </c>
      <c r="I179" s="1">
        <f>'[1]Electricity and CHPs'!E75</f>
        <v>9.576486680705576E-2</v>
      </c>
      <c r="J179" s="1">
        <f>'[2]Electricity and CHPs'!F75</f>
        <v>0.10010872666927809</v>
      </c>
      <c r="K179" s="1">
        <f>'[2]Electricity and CHPs'!G75</f>
        <v>9.6976007833720318E-2</v>
      </c>
      <c r="L179" s="1">
        <f>'[2]Electricity and CHPs'!H75</f>
        <v>9.9172876506697372E-2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2.4052570588972118E-3</v>
      </c>
      <c r="G180" s="1">
        <f>'[1]Electricity and CHPs'!C76</f>
        <v>2.3933576070637201E-3</v>
      </c>
      <c r="H180" s="1">
        <f>'[1]Electricity and CHPs'!D76</f>
        <v>9.7377013613128768E-2</v>
      </c>
      <c r="I180" s="1">
        <f>'[1]Electricity and CHPs'!E76</f>
        <v>0.22779128068509741</v>
      </c>
      <c r="J180" s="1">
        <f>'[2]Electricity and CHPs'!F76</f>
        <v>0.21219937688354232</v>
      </c>
      <c r="K180" s="1">
        <f>'[2]Electricity and CHPs'!G76</f>
        <v>0.21476777363874136</v>
      </c>
      <c r="L180" s="1">
        <f>'[2]Electricity and CHPs'!H76</f>
        <v>0.22765744777598002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31.032784143598139</v>
      </c>
      <c r="G181" s="3">
        <f t="shared" ref="G181:K181" si="162">SUM(G182,G233)</f>
        <v>36.766325986287171</v>
      </c>
      <c r="H181" s="3">
        <f t="shared" si="162"/>
        <v>34.746672157243538</v>
      </c>
      <c r="I181" s="3">
        <f t="shared" si="162"/>
        <v>45.066754079173137</v>
      </c>
      <c r="J181" s="3">
        <f t="shared" si="162"/>
        <v>49.410650329360564</v>
      </c>
      <c r="K181" s="3">
        <f t="shared" si="162"/>
        <v>52.162291256811983</v>
      </c>
      <c r="L181" s="3">
        <f t="shared" ref="L181" si="163">SUM(L182,L233)</f>
        <v>51.023332758907969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24.507995876386723</v>
      </c>
      <c r="G182" s="1">
        <f t="shared" si="164"/>
        <v>29.347003913259904</v>
      </c>
      <c r="H182" s="1">
        <f t="shared" si="164"/>
        <v>27.570147001011911</v>
      </c>
      <c r="I182" s="1">
        <f t="shared" si="164"/>
        <v>31.963676288835714</v>
      </c>
      <c r="J182" s="1">
        <f t="shared" si="164"/>
        <v>34.5852159968628</v>
      </c>
      <c r="K182" s="1">
        <f t="shared" si="164"/>
        <v>36.479969292223558</v>
      </c>
      <c r="L182" s="1">
        <f t="shared" ref="L182" si="165">L183+L210</f>
        <v>36.032023070568059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16.613277850375955</v>
      </c>
      <c r="G183" s="1">
        <f t="shared" si="166"/>
        <v>13.331160925595972</v>
      </c>
      <c r="H183" s="1">
        <f t="shared" si="166"/>
        <v>14.895974913407592</v>
      </c>
      <c r="I183" s="1">
        <f t="shared" si="166"/>
        <v>12.78881297245591</v>
      </c>
      <c r="J183" s="1">
        <f t="shared" si="166"/>
        <v>12.363528147579109</v>
      </c>
      <c r="K183" s="1">
        <f t="shared" si="166"/>
        <v>12.23727264274523</v>
      </c>
      <c r="L183" s="1">
        <f t="shared" ref="L183" si="167">SUM(L185,L189,L190,L198,L199,L207,L209)</f>
        <v>13.425723628461302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9.2716753634165365E-3</v>
      </c>
      <c r="G184" s="1">
        <f t="shared" ref="G184:L184" si="168">G185</f>
        <v>5.7934159271093852E-4</v>
      </c>
      <c r="H184" s="1">
        <f t="shared" si="168"/>
        <v>1.4775327466577157E-2</v>
      </c>
      <c r="I184" s="1">
        <f t="shared" si="168"/>
        <v>1.1443038916246868E-3</v>
      </c>
      <c r="J184" s="1">
        <f t="shared" si="168"/>
        <v>3.7233000984744488E-3</v>
      </c>
      <c r="K184" s="1">
        <f t="shared" si="168"/>
        <v>4.1636469257639561E-4</v>
      </c>
      <c r="L184" s="1">
        <f t="shared" si="168"/>
        <v>9.9549674880674137E-5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9.2716753634165365E-3</v>
      </c>
      <c r="G185" s="1">
        <f>'[1]Electricity and CHPs'!C$94</f>
        <v>5.7934159271093852E-4</v>
      </c>
      <c r="H185" s="1">
        <f>'[1]Electricity and CHPs'!D$94</f>
        <v>1.4775327466577157E-2</v>
      </c>
      <c r="I185" s="1">
        <f>'[1]Electricity and CHPs'!E$94</f>
        <v>1.1443038916246868E-3</v>
      </c>
      <c r="J185" s="1">
        <f>'[2]Electricity and CHPs'!F$94</f>
        <v>3.7233000984744488E-3</v>
      </c>
      <c r="K185" s="1">
        <f>'[2]Electricity and CHPs'!G$94</f>
        <v>4.1636469257639561E-4</v>
      </c>
      <c r="L185" s="1">
        <f>'[2]Electricity and CHPs'!H$94</f>
        <v>9.9549674880674137E-5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9.2716753634165365E-3</v>
      </c>
      <c r="G186" s="1">
        <f t="shared" ref="G186:K186" si="169">G185-G187</f>
        <v>5.7934159271093852E-4</v>
      </c>
      <c r="H186" s="1">
        <f t="shared" si="169"/>
        <v>1.4775327466577157E-2</v>
      </c>
      <c r="I186" s="1">
        <f t="shared" si="169"/>
        <v>1.1443038916246868E-3</v>
      </c>
      <c r="J186" s="1">
        <f t="shared" si="169"/>
        <v>3.7233000984744488E-3</v>
      </c>
      <c r="K186" s="1">
        <f t="shared" si="169"/>
        <v>4.1636469257639561E-4</v>
      </c>
      <c r="L186" s="1">
        <f t="shared" ref="L186" si="170">L185-L187</f>
        <v>9.9549674880674137E-5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1.8035550439674291</v>
      </c>
      <c r="G188" s="1">
        <f t="shared" ref="G188:K188" si="173">SUM(G189:G190)</f>
        <v>9.4578092083984471E-4</v>
      </c>
      <c r="H188" s="1">
        <f t="shared" si="173"/>
        <v>2.2229329830406335</v>
      </c>
      <c r="I188" s="1">
        <f t="shared" si="173"/>
        <v>4.6485084160176925E-3</v>
      </c>
      <c r="J188" s="1">
        <f t="shared" si="173"/>
        <v>1.0456459466968819E-2</v>
      </c>
      <c r="K188" s="1">
        <f t="shared" si="173"/>
        <v>1.6226324892993824E-3</v>
      </c>
      <c r="L188" s="1">
        <f t="shared" ref="L188" si="174">SUM(L189:L190)</f>
        <v>1.07838474322226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1.8035550439674291</v>
      </c>
      <c r="G189" s="1">
        <f>'[1]Electricity and CHPs'!C$91</f>
        <v>9.4578092083984471E-4</v>
      </c>
      <c r="H189" s="1">
        <f>'[1]Electricity and CHPs'!D$91</f>
        <v>2.2229329830406335</v>
      </c>
      <c r="I189" s="1">
        <f>'[1]Electricity and CHPs'!E$91</f>
        <v>4.6485084160176925E-3</v>
      </c>
      <c r="J189" s="1">
        <f>'[2]Electricity and CHPs'!F$91</f>
        <v>1.0456459466968819E-2</v>
      </c>
      <c r="K189" s="1">
        <f>'[2]Electricity and CHPs'!G$91</f>
        <v>1.1632021596730358E-3</v>
      </c>
      <c r="L189" s="1">
        <f>'[2]Electricity and CHPs'!H$91</f>
        <v>0.29012116426093015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4.5943032962634671E-4</v>
      </c>
      <c r="L190" s="1">
        <f>'[2]Electricity and CHPs'!H$95</f>
        <v>0.78826357896132981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1.7564761385864223</v>
      </c>
      <c r="G191" s="1">
        <f t="shared" ref="G191:K191" si="175">SUM(G192:G193)</f>
        <v>9.2884165136825189E-4</v>
      </c>
      <c r="H191" s="1">
        <f t="shared" si="175"/>
        <v>2.196322427534287</v>
      </c>
      <c r="I191" s="1">
        <f t="shared" si="175"/>
        <v>4.1042338282531402E-3</v>
      </c>
      <c r="J191" s="1">
        <f t="shared" si="175"/>
        <v>9.4388472197539826E-3</v>
      </c>
      <c r="K191" s="1">
        <f t="shared" si="175"/>
        <v>1.4562943899190301E-3</v>
      </c>
      <c r="L191" s="1">
        <f t="shared" ref="L191" si="176">SUM(L192:L193)</f>
        <v>0.39041082668497518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1.7564761385864223</v>
      </c>
      <c r="G192" s="1">
        <f t="shared" ref="G192:K192" si="177">G189-G195</f>
        <v>9.2884165136825189E-4</v>
      </c>
      <c r="H192" s="1">
        <f t="shared" si="177"/>
        <v>2.196322427534287</v>
      </c>
      <c r="I192" s="1">
        <f t="shared" si="177"/>
        <v>4.1042338282531402E-3</v>
      </c>
      <c r="J192" s="1">
        <f t="shared" si="177"/>
        <v>9.4388472197539826E-3</v>
      </c>
      <c r="K192" s="1">
        <f t="shared" si="177"/>
        <v>1.0439608418077214E-3</v>
      </c>
      <c r="L192" s="1">
        <f t="shared" ref="L192" si="178">L189-L195</f>
        <v>0.10503342549104711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4.1233354811130864E-4</v>
      </c>
      <c r="L193" s="1">
        <f t="shared" ref="L193" si="180">L190-L196</f>
        <v>0.28537740119392807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4.7078905381006821E-2</v>
      </c>
      <c r="G194" s="1">
        <f t="shared" ref="G194:K194" si="181">SUM(G195:G196)</f>
        <v>1.6939269471592852E-5</v>
      </c>
      <c r="H194" s="1">
        <f t="shared" si="181"/>
        <v>2.66105555063465E-2</v>
      </c>
      <c r="I194" s="1">
        <f t="shared" si="181"/>
        <v>5.4427458776455206E-4</v>
      </c>
      <c r="J194" s="1">
        <f t="shared" si="181"/>
        <v>1.0176122472148356E-3</v>
      </c>
      <c r="K194" s="1">
        <f t="shared" si="181"/>
        <v>1.6633809938035248E-4</v>
      </c>
      <c r="L194" s="1">
        <f t="shared" ref="L194" si="182">SUM(L195:L196)</f>
        <v>0.68797391653728479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4.7078905381006821E-2</v>
      </c>
      <c r="G195" s="1">
        <f t="shared" si="183"/>
        <v>1.6939269471592852E-5</v>
      </c>
      <c r="H195" s="1">
        <f t="shared" si="183"/>
        <v>2.66105555063465E-2</v>
      </c>
      <c r="I195" s="1">
        <f t="shared" si="183"/>
        <v>5.4427458776455206E-4</v>
      </c>
      <c r="J195" s="1">
        <f t="shared" si="183"/>
        <v>1.0176122472148356E-3</v>
      </c>
      <c r="K195" s="1">
        <f t="shared" si="183"/>
        <v>1.1924131786531441E-4</v>
      </c>
      <c r="L195" s="1">
        <f t="shared" ref="L195" si="184">L189*IFERROR(L118/L86,0)</f>
        <v>0.18508773876988305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4.7096781515038066E-5</v>
      </c>
      <c r="L196" s="1">
        <f t="shared" ref="L196" si="185">L190*IFERROR(L119/L87,0)</f>
        <v>0.50288617776740174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14.461267807514632</v>
      </c>
      <c r="G197" s="1">
        <f t="shared" ref="G197:K197" si="186">SUM(G198:G199)</f>
        <v>13.051649634971081</v>
      </c>
      <c r="H197" s="1">
        <f t="shared" si="186"/>
        <v>12.148021152353042</v>
      </c>
      <c r="I197" s="1">
        <f t="shared" si="186"/>
        <v>12.779637702077476</v>
      </c>
      <c r="J197" s="1">
        <f t="shared" si="186"/>
        <v>12.342953175273294</v>
      </c>
      <c r="K197" s="1">
        <f t="shared" si="186"/>
        <v>12.034791497872481</v>
      </c>
      <c r="L197" s="1">
        <f t="shared" ref="L197" si="187">SUM(L198:L199)</f>
        <v>12.141717516537492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14.461267807514632</v>
      </c>
      <c r="G198" s="1">
        <f>'[1]Electricity and CHPs'!C$93-G199</f>
        <v>13.051649634971081</v>
      </c>
      <c r="H198" s="1">
        <f>'[1]Electricity and CHPs'!D$93-H199</f>
        <v>12.148021152353042</v>
      </c>
      <c r="I198" s="1">
        <f>'[1]Electricity and CHPs'!E$93-I199</f>
        <v>12.779637702077476</v>
      </c>
      <c r="J198" s="1">
        <f>'[2]Electricity and CHPs'!F$93-J199</f>
        <v>12.342953175273294</v>
      </c>
      <c r="K198" s="1">
        <f>'[2]Electricity and CHPs'!G$93-K199</f>
        <v>12.034791497872481</v>
      </c>
      <c r="L198" s="1">
        <f>'[2]Electricity and CHPs'!H$93-L199</f>
        <v>2.1951214425453003E-3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12.139522395094946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7.2306339037573162</v>
      </c>
      <c r="G200" s="1">
        <f t="shared" ref="G200:K200" si="188">SUM(G201:G202)</f>
        <v>6.5258248174855407</v>
      </c>
      <c r="H200" s="1">
        <f t="shared" si="188"/>
        <v>6.0740105761765211</v>
      </c>
      <c r="I200" s="1">
        <f t="shared" si="188"/>
        <v>6.3898188510387373</v>
      </c>
      <c r="J200" s="1">
        <f t="shared" si="188"/>
        <v>6.171476587636648</v>
      </c>
      <c r="K200" s="1">
        <f t="shared" si="188"/>
        <v>6.0173957489362389</v>
      </c>
      <c r="L200" s="1">
        <f t="shared" ref="L200" si="189">SUM(L201:L202)</f>
        <v>6.0708587582687459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7.2306339037573162</v>
      </c>
      <c r="G201" s="1">
        <f t="shared" si="190"/>
        <v>6.5258248174855407</v>
      </c>
      <c r="H201" s="1">
        <f t="shared" si="190"/>
        <v>6.0740105761765211</v>
      </c>
      <c r="I201" s="1">
        <f t="shared" si="190"/>
        <v>6.3898188510387373</v>
      </c>
      <c r="J201" s="1">
        <f t="shared" si="190"/>
        <v>6.171476587636648</v>
      </c>
      <c r="K201" s="1">
        <f t="shared" si="190"/>
        <v>6.0173957489362389</v>
      </c>
      <c r="L201" s="1">
        <f t="shared" ref="L201" si="191">L198*L140/L133</f>
        <v>1.0975607212726499E-3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6.0697611975474732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7.2306339037573162</v>
      </c>
      <c r="G203" s="1">
        <f t="shared" ref="G203:K203" si="194">SUM(G204:G205)</f>
        <v>6.5258248174855407</v>
      </c>
      <c r="H203" s="1">
        <f t="shared" si="194"/>
        <v>6.0740105761765211</v>
      </c>
      <c r="I203" s="1">
        <f t="shared" si="194"/>
        <v>6.389818851038739</v>
      </c>
      <c r="J203" s="1">
        <f t="shared" si="194"/>
        <v>6.1714765876366462</v>
      </c>
      <c r="K203" s="1">
        <f t="shared" si="194"/>
        <v>6.0173957489362424</v>
      </c>
      <c r="L203" s="1">
        <f t="shared" ref="L203" si="195">SUM(L204:L205)</f>
        <v>6.0708587582687459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7.2306339037573162</v>
      </c>
      <c r="G204" s="1">
        <f t="shared" si="196"/>
        <v>6.5258248174855407</v>
      </c>
      <c r="H204" s="1">
        <f t="shared" si="196"/>
        <v>6.0740105761765211</v>
      </c>
      <c r="I204" s="1">
        <f t="shared" si="196"/>
        <v>6.389818851038739</v>
      </c>
      <c r="J204" s="1">
        <f t="shared" si="196"/>
        <v>6.1714765876366462</v>
      </c>
      <c r="K204" s="1">
        <f t="shared" si="196"/>
        <v>6.0173957489362424</v>
      </c>
      <c r="L204" s="1">
        <f t="shared" ref="L204" si="197">L198-L201</f>
        <v>1.0975607212726504E-3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6.0697611975474732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0.33918332353047803</v>
      </c>
      <c r="G206" s="1">
        <f t="shared" ref="G206:L206" si="199">G207</f>
        <v>0.27798616811134103</v>
      </c>
      <c r="H206" s="1">
        <f t="shared" si="199"/>
        <v>0.51024545054733927</v>
      </c>
      <c r="I206" s="1">
        <f t="shared" si="199"/>
        <v>3.3824580707897765E-3</v>
      </c>
      <c r="J206" s="1">
        <f t="shared" si="199"/>
        <v>6.395212740371168E-3</v>
      </c>
      <c r="K206" s="1">
        <f t="shared" si="199"/>
        <v>5.9462391102602834E-3</v>
      </c>
      <c r="L206" s="1">
        <f t="shared" si="199"/>
        <v>3.3945607648626988E-3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0.33918332353047803</v>
      </c>
      <c r="G207" s="1">
        <f>'[1]Electricity and CHPs'!C$92</f>
        <v>0.27798616811134103</v>
      </c>
      <c r="H207" s="1">
        <f>'[1]Electricity and CHPs'!D$92</f>
        <v>0.51024545054733927</v>
      </c>
      <c r="I207" s="1">
        <f>'[1]Electricity and CHPs'!E$92</f>
        <v>3.3824580707897765E-3</v>
      </c>
      <c r="J207" s="1">
        <f>'[2]Electricity and CHPs'!F$92</f>
        <v>6.395212740371168E-3</v>
      </c>
      <c r="K207" s="1">
        <f>'[2]Electricity and CHPs'!G$92</f>
        <v>5.9462391102602834E-3</v>
      </c>
      <c r="L207" s="1">
        <f>'[2]Electricity and CHPs'!H$92</f>
        <v>3.3945607648626988E-3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0.19449590858061377</v>
      </c>
      <c r="L208" s="1">
        <f t="shared" si="200"/>
        <v>0.20212725826180752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0.19449590858061377</v>
      </c>
      <c r="L209" s="1">
        <f>'[2]Electricity and CHPs'!H$96</f>
        <v>0.20212725826180752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7.8947180260107697</v>
      </c>
      <c r="G210" s="1">
        <f t="shared" ref="G210:K210" si="201">SUM(G211,G217,G219,G225,G227,G229,G231)</f>
        <v>16.01584298766393</v>
      </c>
      <c r="H210" s="1">
        <f t="shared" si="201"/>
        <v>12.674172087604317</v>
      </c>
      <c r="I210" s="1">
        <f t="shared" si="201"/>
        <v>19.174863316379806</v>
      </c>
      <c r="J210" s="1">
        <f t="shared" si="201"/>
        <v>22.221687849283693</v>
      </c>
      <c r="K210" s="1">
        <f t="shared" si="201"/>
        <v>24.242696649478329</v>
      </c>
      <c r="L210" s="1">
        <f t="shared" ref="L210" si="202">SUM(L211,L217,L219,L225,L227,L229,L231)</f>
        <v>22.60629944210676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2.6346993287384817</v>
      </c>
      <c r="G211" s="1">
        <f t="shared" ref="G211:L211" si="203">+G212</f>
        <v>3.7601531313483401</v>
      </c>
      <c r="H211" s="1">
        <f t="shared" si="203"/>
        <v>0.90877702491213108</v>
      </c>
      <c r="I211" s="1">
        <f t="shared" si="203"/>
        <v>9.9557768192856457</v>
      </c>
      <c r="J211" s="1">
        <f t="shared" si="203"/>
        <v>11.204171067621864</v>
      </c>
      <c r="K211" s="1">
        <f t="shared" si="203"/>
        <v>9.0140689424173477</v>
      </c>
      <c r="L211" s="1">
        <f t="shared" si="203"/>
        <v>6.6800532855164327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2.6346993287384817</v>
      </c>
      <c r="G212" s="1">
        <f>'[1]Electricity and CHPs'!C$97+G216</f>
        <v>3.7601531313483401</v>
      </c>
      <c r="H212" s="1">
        <f>'[1]Electricity and CHPs'!D$97+H216</f>
        <v>0.90877702491213108</v>
      </c>
      <c r="I212" s="1">
        <f>'[1]Electricity and CHPs'!E$97+I216</f>
        <v>9.9557768192856457</v>
      </c>
      <c r="J212" s="1">
        <f>'[2]Electricity and CHPs'!F$97+J216</f>
        <v>11.204171067621864</v>
      </c>
      <c r="K212" s="1">
        <f>'[2]Electricity and CHPs'!G$97+K216</f>
        <v>9.0140689424173477</v>
      </c>
      <c r="L212" s="1">
        <f>'[2]Electricity and CHPs'!H$97+L216</f>
        <v>6.6800532855164327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1.7329088002385729</v>
      </c>
      <c r="G213" s="1">
        <f t="shared" ref="G213:L213" si="204">G214</f>
        <v>2.8583756915671827</v>
      </c>
      <c r="H213" s="1">
        <f t="shared" si="204"/>
        <v>6.9897156225164903E-3</v>
      </c>
      <c r="I213" s="1">
        <f t="shared" si="204"/>
        <v>6.1208971189790118</v>
      </c>
      <c r="J213" s="1">
        <f t="shared" si="204"/>
        <v>5.9469290235236665</v>
      </c>
      <c r="K213" s="1">
        <f t="shared" si="204"/>
        <v>2.3344752339329826</v>
      </c>
      <c r="L213" s="1">
        <f t="shared" si="204"/>
        <v>4.6485291408426832E-4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1.7329088002385729</v>
      </c>
      <c r="G214" s="1">
        <f t="shared" ref="G214:K214" si="205">G212-G216</f>
        <v>2.8583756915671827</v>
      </c>
      <c r="H214" s="1">
        <f t="shared" si="205"/>
        <v>6.9897156225164903E-3</v>
      </c>
      <c r="I214" s="1">
        <f t="shared" si="205"/>
        <v>6.1208971189790118</v>
      </c>
      <c r="J214" s="1">
        <f t="shared" si="205"/>
        <v>5.9469290235236665</v>
      </c>
      <c r="K214" s="1">
        <f t="shared" si="205"/>
        <v>2.3344752339329826</v>
      </c>
      <c r="L214" s="1">
        <f t="shared" ref="L214" si="206">L212-L216</f>
        <v>4.6485291408426832E-4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0.90179052849990871</v>
      </c>
      <c r="G215" s="1">
        <f t="shared" ref="G215:L215" si="207">G216</f>
        <v>0.90177743978115743</v>
      </c>
      <c r="H215" s="1">
        <f t="shared" si="207"/>
        <v>0.90178730928961459</v>
      </c>
      <c r="I215" s="1">
        <f t="shared" si="207"/>
        <v>3.8348797003066339</v>
      </c>
      <c r="J215" s="1">
        <f t="shared" si="207"/>
        <v>5.2572420440981977</v>
      </c>
      <c r="K215" s="1">
        <f t="shared" si="207"/>
        <v>6.6795937084843651</v>
      </c>
      <c r="L215" s="1">
        <f t="shared" si="207"/>
        <v>6.6795884326023485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0.90179052849990871</v>
      </c>
      <c r="G216" s="1">
        <f>'[1]Electricity and CHPs'!C$98</f>
        <v>0.90177743978115743</v>
      </c>
      <c r="H216" s="1">
        <f>'[1]Electricity and CHPs'!D$98</f>
        <v>0.90178730928961459</v>
      </c>
      <c r="I216" s="1">
        <f>'[1]Electricity and CHPs'!E$98</f>
        <v>3.8348797003066339</v>
      </c>
      <c r="J216" s="1">
        <f>'[2]Electricity and CHPs'!F$98</f>
        <v>5.2572420440981977</v>
      </c>
      <c r="K216" s="1">
        <f>'[2]Electricity and CHPs'!G$98</f>
        <v>6.6795937084843651</v>
      </c>
      <c r="L216" s="1">
        <f>'[2]Electricity and CHPs'!H$98</f>
        <v>6.6795884326023485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2.9000451281762638</v>
      </c>
      <c r="G217" s="1">
        <f t="shared" ref="G217:L217" si="208">+G218</f>
        <v>7.6037617079209756</v>
      </c>
      <c r="H217" s="1">
        <f t="shared" si="208"/>
        <v>7.5010089329936518</v>
      </c>
      <c r="I217" s="1">
        <f t="shared" si="208"/>
        <v>1.6708935627527237</v>
      </c>
      <c r="J217" s="1">
        <f t="shared" si="208"/>
        <v>1.7118154259200888</v>
      </c>
      <c r="K217" s="1">
        <f t="shared" si="208"/>
        <v>1.7120627069816243</v>
      </c>
      <c r="L217" s="1">
        <f t="shared" si="208"/>
        <v>0.56221897648074026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2.9000451281762638</v>
      </c>
      <c r="G218" s="1">
        <f>'[1]Electricity and CHPs'!C$99</f>
        <v>7.6037617079209756</v>
      </c>
      <c r="H218" s="1">
        <f>'[1]Electricity and CHPs'!D$99</f>
        <v>7.5010089329936518</v>
      </c>
      <c r="I218" s="1">
        <f>'[1]Electricity and CHPs'!E$99</f>
        <v>1.6708935627527237</v>
      </c>
      <c r="J218" s="1">
        <f>'[2]Electricity and CHPs'!F$99</f>
        <v>1.7118154259200888</v>
      </c>
      <c r="K218" s="1">
        <f>'[2]Electricity and CHPs'!G$99</f>
        <v>1.7120627069816243</v>
      </c>
      <c r="L218" s="1">
        <f>'[2]Electricity and CHPs'!H$99</f>
        <v>0.56221897648074026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0.18408031036455724</v>
      </c>
      <c r="G219" s="1">
        <f t="shared" ref="G219:L219" si="209">+G220</f>
        <v>0.18577393448735277</v>
      </c>
      <c r="H219" s="1">
        <f t="shared" si="209"/>
        <v>2.472203904412394E-3</v>
      </c>
      <c r="I219" s="1">
        <f t="shared" si="209"/>
        <v>7.3038173683884048E-4</v>
      </c>
      <c r="J219" s="1">
        <f t="shared" si="209"/>
        <v>3.1847967844157618E-4</v>
      </c>
      <c r="K219" s="1">
        <f t="shared" si="209"/>
        <v>4.2706403960359528E-5</v>
      </c>
      <c r="L219" s="1">
        <f t="shared" si="209"/>
        <v>8.440804201715238E-6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0.18408031036455724</v>
      </c>
      <c r="G220" s="1">
        <f>'[1]Electricity and CHPs'!C$100</f>
        <v>0.18577393448735277</v>
      </c>
      <c r="H220" s="1">
        <f>'[1]Electricity and CHPs'!D$100</f>
        <v>2.472203904412394E-3</v>
      </c>
      <c r="I220" s="1">
        <f>'[1]Electricity and CHPs'!E$100</f>
        <v>7.3038173683884048E-4</v>
      </c>
      <c r="J220" s="1">
        <f>'[2]Electricity and CHPs'!F$100</f>
        <v>3.1847967844157618E-4</v>
      </c>
      <c r="K220" s="1">
        <f>'[2]Electricity and CHPs'!G$100</f>
        <v>4.2706403960359528E-5</v>
      </c>
      <c r="L220" s="1">
        <f>'[2]Electricity and CHPs'!H$100</f>
        <v>8.440804201715238E-6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0.18408031036455724</v>
      </c>
      <c r="G221" s="1">
        <f t="shared" ref="G221:L221" si="210">G222</f>
        <v>0.18577393448735277</v>
      </c>
      <c r="H221" s="1">
        <f t="shared" si="210"/>
        <v>2.472203904412394E-3</v>
      </c>
      <c r="I221" s="1">
        <f t="shared" si="210"/>
        <v>7.3038173683884048E-4</v>
      </c>
      <c r="J221" s="1">
        <f t="shared" si="210"/>
        <v>3.1847967844157618E-4</v>
      </c>
      <c r="K221" s="1">
        <f t="shared" si="210"/>
        <v>4.2706403960359528E-5</v>
      </c>
      <c r="L221" s="1">
        <f t="shared" si="210"/>
        <v>8.440804201715238E-6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0.18408031036455724</v>
      </c>
      <c r="G222" s="1">
        <f t="shared" ref="G222:K222" si="211">G220-G224</f>
        <v>0.18577393448735277</v>
      </c>
      <c r="H222" s="1">
        <f t="shared" si="211"/>
        <v>2.472203904412394E-3</v>
      </c>
      <c r="I222" s="1">
        <f t="shared" si="211"/>
        <v>7.3038173683884048E-4</v>
      </c>
      <c r="J222" s="1">
        <f t="shared" si="211"/>
        <v>3.1847967844157618E-4</v>
      </c>
      <c r="K222" s="1">
        <f t="shared" si="211"/>
        <v>4.2706403960359528E-5</v>
      </c>
      <c r="L222" s="1">
        <f t="shared" ref="L222" si="212">L220-L224</f>
        <v>8.440804201715238E-6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2.1758932587314663</v>
      </c>
      <c r="G225" s="1">
        <f t="shared" ref="G225:L225" si="214">+G226</f>
        <v>1.9637402507917983</v>
      </c>
      <c r="H225" s="1">
        <f t="shared" si="214"/>
        <v>1.6836723089451413</v>
      </c>
      <c r="I225" s="1">
        <f t="shared" si="214"/>
        <v>3.6048033668827109</v>
      </c>
      <c r="J225" s="1">
        <f t="shared" si="214"/>
        <v>4.0528132241679762</v>
      </c>
      <c r="K225" s="1">
        <f t="shared" si="214"/>
        <v>4.5042823324393213</v>
      </c>
      <c r="L225" s="1">
        <f t="shared" si="214"/>
        <v>5.4088979896839264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2.1758932587314663</v>
      </c>
      <c r="G226" s="1">
        <f>'[1]Electricity and CHPs'!C$101</f>
        <v>1.9637402507917983</v>
      </c>
      <c r="H226" s="1">
        <f>'[1]Electricity and CHPs'!D$101</f>
        <v>1.6836723089451413</v>
      </c>
      <c r="I226" s="1">
        <f>'[1]Electricity and CHPs'!E$101</f>
        <v>3.6048033668827109</v>
      </c>
      <c r="J226" s="1">
        <f>'[2]Electricity and CHPs'!F$101</f>
        <v>4.0528132241679762</v>
      </c>
      <c r="K226" s="1">
        <f>'[2]Electricity and CHPs'!G$101</f>
        <v>4.5042823324393213</v>
      </c>
      <c r="L226" s="1">
        <f>'[2]Electricity and CHPs'!H$101</f>
        <v>5.4088979896839264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0</v>
      </c>
      <c r="J227" s="1">
        <f t="shared" si="215"/>
        <v>0</v>
      </c>
      <c r="K227" s="1">
        <f t="shared" si="215"/>
        <v>0</v>
      </c>
      <c r="L227" s="1">
        <f t="shared" si="215"/>
        <v>0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0</v>
      </c>
      <c r="J228" s="1">
        <f>'[2]Electricity and CHPs'!F$102</f>
        <v>0</v>
      </c>
      <c r="K228" s="1">
        <f>'[2]Electricity and CHPs'!G$102</f>
        <v>0</v>
      </c>
      <c r="L228" s="1">
        <f>'[2]Electricity and CHPs'!H$102</f>
        <v>0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0</v>
      </c>
      <c r="L229" s="1">
        <f t="shared" si="216"/>
        <v>0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0</v>
      </c>
      <c r="L230" s="1">
        <f>'[2]Electricity and CHPs'!H$90</f>
        <v>0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2.5024139631154618</v>
      </c>
      <c r="H231" s="1">
        <f t="shared" si="217"/>
        <v>2.5782416168489815</v>
      </c>
      <c r="I231" s="1">
        <f t="shared" si="217"/>
        <v>3.9426591857218853</v>
      </c>
      <c r="J231" s="1">
        <f t="shared" si="217"/>
        <v>5.2525696518953247</v>
      </c>
      <c r="K231" s="1">
        <f t="shared" si="217"/>
        <v>9.0122399612360766</v>
      </c>
      <c r="L231" s="1">
        <f t="shared" si="217"/>
        <v>9.9551207496214609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2.5024139631154618</v>
      </c>
      <c r="H232" s="1">
        <f>'[1]Electricity and CHPs'!D$123</f>
        <v>2.5782416168489815</v>
      </c>
      <c r="I232" s="1">
        <f>'[1]Electricity and CHPs'!E$123</f>
        <v>3.9426591857218853</v>
      </c>
      <c r="J232" s="1">
        <f>'[2]Electricity and CHPs'!F$123</f>
        <v>5.2525696518953247</v>
      </c>
      <c r="K232" s="1">
        <f>'[2]Electricity and CHPs'!G$123</f>
        <v>9.0122399612360766</v>
      </c>
      <c r="L232" s="1">
        <f>'[2]Electricity and CHPs'!H$123</f>
        <v>9.9551207496214609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6.5247882672114157</v>
      </c>
      <c r="G233" s="1">
        <f t="shared" ref="G233:K233" si="218">SUM(G234,G240,G273,G282,G288)</f>
        <v>7.4193220730272698</v>
      </c>
      <c r="H233" s="1">
        <f t="shared" si="218"/>
        <v>7.1765251562316266</v>
      </c>
      <c r="I233" s="1">
        <f t="shared" si="218"/>
        <v>13.103077790337425</v>
      </c>
      <c r="J233" s="1">
        <f t="shared" si="218"/>
        <v>14.825434332497762</v>
      </c>
      <c r="K233" s="1">
        <f t="shared" si="218"/>
        <v>15.682321964588423</v>
      </c>
      <c r="L233" s="1">
        <f t="shared" ref="L233" si="219">SUM(L234,L240,L273,L282,L288)</f>
        <v>14.991309688339912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0.92941520446191328</v>
      </c>
      <c r="G234" s="1">
        <f t="shared" ref="G234:L234" si="220">+G235</f>
        <v>2.0703834895038904</v>
      </c>
      <c r="H234" s="1">
        <f t="shared" si="220"/>
        <v>0.82595651843136164</v>
      </c>
      <c r="I234" s="1">
        <f t="shared" si="220"/>
        <v>1.3159799433697916</v>
      </c>
      <c r="J234" s="1">
        <f t="shared" si="220"/>
        <v>0.84032241494347748</v>
      </c>
      <c r="K234" s="1">
        <f t="shared" si="220"/>
        <v>1.2977038729395712E-2</v>
      </c>
      <c r="L234" s="1">
        <f t="shared" si="220"/>
        <v>9.5096000226026767E-2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0.92941520446191328</v>
      </c>
      <c r="G235" s="1">
        <f>'[1]Electricity and CHPs'!C$104</f>
        <v>2.0703834895038904</v>
      </c>
      <c r="H235" s="1">
        <f>'[1]Electricity and CHPs'!D$104</f>
        <v>0.82595651843136164</v>
      </c>
      <c r="I235" s="1">
        <f>'[1]Electricity and CHPs'!E$104</f>
        <v>1.3159799433697916</v>
      </c>
      <c r="J235" s="1">
        <f>'[2]Electricity and CHPs'!F$104</f>
        <v>0.84032241494347748</v>
      </c>
      <c r="K235" s="1">
        <f>'[2]Electricity and CHPs'!G$104</f>
        <v>1.2977038729395712E-2</v>
      </c>
      <c r="L235" s="1">
        <f>'[2]Electricity and CHPs'!H$104</f>
        <v>9.5096000226026767E-2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0.92941520446191328</v>
      </c>
      <c r="G236" s="1">
        <f t="shared" ref="G236:L236" si="221">G237</f>
        <v>2.0703834895038904</v>
      </c>
      <c r="H236" s="1">
        <f t="shared" si="221"/>
        <v>0.82595651843136164</v>
      </c>
      <c r="I236" s="1">
        <f t="shared" si="221"/>
        <v>1.3159799433697916</v>
      </c>
      <c r="J236" s="1">
        <f t="shared" si="221"/>
        <v>0.84032241494347748</v>
      </c>
      <c r="K236" s="1">
        <f t="shared" si="221"/>
        <v>1.2977038729395712E-2</v>
      </c>
      <c r="L236" s="1">
        <f t="shared" si="221"/>
        <v>9.5096000226026767E-2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0.92941520446191328</v>
      </c>
      <c r="G237" s="1">
        <f t="shared" ref="G237:K237" si="222">G235-G239</f>
        <v>2.0703834895038904</v>
      </c>
      <c r="H237" s="1">
        <f t="shared" si="222"/>
        <v>0.82595651843136164</v>
      </c>
      <c r="I237" s="1">
        <f t="shared" si="222"/>
        <v>1.3159799433697916</v>
      </c>
      <c r="J237" s="1">
        <f t="shared" si="222"/>
        <v>0.84032241494347748</v>
      </c>
      <c r="K237" s="1">
        <f t="shared" si="222"/>
        <v>1.2977038729395712E-2</v>
      </c>
      <c r="L237" s="1">
        <f t="shared" ref="L237" si="223">L235-L239</f>
        <v>9.5096000226026767E-2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3.0009380663320893</v>
      </c>
      <c r="G240" s="1">
        <f t="shared" ref="G240:K240" si="227">SUM(G241:G250)</f>
        <v>2.9243044358169952</v>
      </c>
      <c r="H240" s="1">
        <f t="shared" si="227"/>
        <v>2.0789141746702722</v>
      </c>
      <c r="I240" s="1">
        <f t="shared" si="227"/>
        <v>5.1266458491232472</v>
      </c>
      <c r="J240" s="1">
        <f t="shared" si="227"/>
        <v>5.7839507913695147</v>
      </c>
      <c r="K240" s="1">
        <f t="shared" si="227"/>
        <v>6.0118518933248648</v>
      </c>
      <c r="L240" s="1">
        <f t="shared" ref="L240" si="228">SUM(L241:L250)</f>
        <v>1.070562932986918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0.77903370510879599</v>
      </c>
      <c r="G241" s="1">
        <f>'[1]Electricity and CHPs_IN'!C$39*0.75-G88-G242</f>
        <v>0.58792414981164998</v>
      </c>
      <c r="H241" s="1">
        <f>'[1]Electricity and CHPs_IN'!D$39*0.75-H88-H242</f>
        <v>0.44229531125113303</v>
      </c>
      <c r="I241" s="1">
        <f>'[1]Electricity and CHPs_IN'!E$39*0.75-I88-I242</f>
        <v>3.5057400812382497E-2</v>
      </c>
      <c r="J241" s="1">
        <f>'[2]Electricity and CHPs'!F$103-J242</f>
        <v>3.1795897799291463E-2</v>
      </c>
      <c r="K241" s="1">
        <f>'[2]Electricity and CHPs'!G$103-K242</f>
        <v>8.9461047567104077E-3</v>
      </c>
      <c r="L241" s="1">
        <f>'[2]Electricity and CHPs'!H$103-L242</f>
        <v>3.0041860538756703E-3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1.7996471132980165E-3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6.9709486214834197E-4</v>
      </c>
      <c r="K243" s="1">
        <f>'[2]Electricity and CHPs'!G$107</f>
        <v>4.0977232451193862E-4</v>
      </c>
      <c r="L243" s="1">
        <f>'[2]Electricity and CHPs'!H$107</f>
        <v>7.132940626677377E-4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4.2615191361352965E-2</v>
      </c>
      <c r="G244" s="1">
        <f>'[1]Electricity and CHPs'!C$109</f>
        <v>4.0812701106143819E-3</v>
      </c>
      <c r="H244" s="1">
        <f>'[1]Electricity and CHPs'!D$109</f>
        <v>1.8386933730142194E-2</v>
      </c>
      <c r="I244" s="1">
        <f>'[1]Electricity and CHPs'!E$109</f>
        <v>1.9675413697306739E-2</v>
      </c>
      <c r="J244" s="1">
        <f>'[2]Electricity and CHPs'!F$109</f>
        <v>2.3483071788565735E-2</v>
      </c>
      <c r="K244" s="1">
        <f>'[2]Electricity and CHPs'!G$109</f>
        <v>1.9059041622143315E-2</v>
      </c>
      <c r="L244" s="1">
        <f>'[2]Electricity and CHPs'!H$109</f>
        <v>8.3299123194129215E-3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6.2383520956379494E-2</v>
      </c>
      <c r="G246" s="1">
        <f>'[1]Electricity and CHPs'!C$112</f>
        <v>3.7491615956718126E-3</v>
      </c>
      <c r="H246" s="1">
        <f>'[1]Electricity and CHPs'!D$112</f>
        <v>4.8994977176416078E-2</v>
      </c>
      <c r="I246" s="1">
        <f>'[1]Electricity and CHPs'!E$112</f>
        <v>3.7162804730339927</v>
      </c>
      <c r="J246" s="1">
        <f>'[2]Electricity and CHPs'!F$112</f>
        <v>4.5096141810071799</v>
      </c>
      <c r="K246" s="1">
        <f>'[2]Electricity and CHPs'!G$112</f>
        <v>4.9479621887525873</v>
      </c>
      <c r="L246" s="1">
        <f>'[2]Electricity and CHPs'!H$112</f>
        <v>4.9315715197841378E-2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1.4243177642094775</v>
      </c>
      <c r="G248" s="1">
        <f>'[1]Electricity and CHPs'!C$115</f>
        <v>1.5783355758304463</v>
      </c>
      <c r="H248" s="1">
        <f>'[1]Electricity and CHPs'!D$115</f>
        <v>1.4829297215062558</v>
      </c>
      <c r="I248" s="1">
        <f>'[1]Electricity and CHPs'!E$115</f>
        <v>1.3239249428329605</v>
      </c>
      <c r="J248" s="1">
        <f>'[2]Electricity and CHPs'!F$115</f>
        <v>1.1649259893480313</v>
      </c>
      <c r="K248" s="1">
        <f>'[2]Electricity and CHPs'!G$115</f>
        <v>1.0059219223687661</v>
      </c>
      <c r="L248" s="1">
        <f>'[2]Electricity and CHPs'!H$115</f>
        <v>1.0059086508449866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0.69258788469608357</v>
      </c>
      <c r="G249" s="1">
        <f>'[1]Electricity and CHPs'!C$116</f>
        <v>0.75021427846861288</v>
      </c>
      <c r="H249" s="1">
        <f>'[1]Electricity and CHPs'!D$116</f>
        <v>8.6307231006324869E-2</v>
      </c>
      <c r="I249" s="1">
        <f>'[1]Electricity and CHPs'!E$116</f>
        <v>3.1467538637219281E-2</v>
      </c>
      <c r="J249" s="1">
        <f>'[2]Electricity and CHPs'!F$116</f>
        <v>5.2396084488264147E-2</v>
      </c>
      <c r="K249" s="1">
        <f>'[2]Electricity and CHPs'!G$116</f>
        <v>2.8130664489666481E-2</v>
      </c>
      <c r="L249" s="1">
        <f>'[2]Electricity and CHPs'!H$116</f>
        <v>8.8302339187809977E-4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2.4008010938561037E-4</v>
      </c>
      <c r="J250" s="1">
        <f>'[2]Electricity and CHPs'!F$118</f>
        <v>1.038472076033717E-3</v>
      </c>
      <c r="K250" s="1">
        <f>'[2]Electricity and CHPs'!G$118</f>
        <v>1.4221990104789253E-3</v>
      </c>
      <c r="L250" s="1">
        <f>'[2]Electricity and CHPs'!H$118</f>
        <v>6.0850400295743763E-4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1.5354651634016308</v>
      </c>
      <c r="G251" s="1">
        <f t="shared" ref="G251:K251" si="229">SUM(G252:G261)</f>
        <v>1.3218620835467805</v>
      </c>
      <c r="H251" s="1">
        <f t="shared" si="229"/>
        <v>0.58884997025659747</v>
      </c>
      <c r="I251" s="1">
        <f t="shared" si="229"/>
        <v>3.3574760732330859</v>
      </c>
      <c r="J251" s="1">
        <f t="shared" si="229"/>
        <v>4.1695058971211889</v>
      </c>
      <c r="K251" s="1">
        <f t="shared" si="229"/>
        <v>4.4927657871429716</v>
      </c>
      <c r="L251" s="1">
        <f t="shared" ref="L251" si="230">SUM(L252:L261)</f>
        <v>2.340698150488631E-2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0.75869828245889848</v>
      </c>
      <c r="G252" s="1">
        <f t="shared" si="231"/>
        <v>0.57739422117482242</v>
      </c>
      <c r="H252" s="1">
        <f t="shared" si="231"/>
        <v>0.43700062894625047</v>
      </c>
      <c r="I252" s="1">
        <f t="shared" si="231"/>
        <v>3.0952675023458911E-2</v>
      </c>
      <c r="J252" s="1">
        <f t="shared" si="231"/>
        <v>2.8701552613527571E-2</v>
      </c>
      <c r="K252" s="1">
        <f t="shared" si="231"/>
        <v>8.029028294910201E-3</v>
      </c>
      <c r="L252" s="1">
        <f t="shared" ref="L252" si="232">L241-L263</f>
        <v>1.0876143864058179E-3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6.5153158152488674E-4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6.2925428270235023E-4</v>
      </c>
      <c r="K254" s="1">
        <f t="shared" si="231"/>
        <v>3.6776604762085084E-4</v>
      </c>
      <c r="L254" s="1">
        <f t="shared" ref="L254" si="234">L243-L265</f>
        <v>2.5823596487788999E-4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4.1502790290697943E-2</v>
      </c>
      <c r="G255" s="1">
        <f t="shared" ref="G255:K255" si="235">G244-G266</f>
        <v>4.0081731251849608E-3</v>
      </c>
      <c r="H255" s="1">
        <f t="shared" si="235"/>
        <v>1.8166825195899208E-2</v>
      </c>
      <c r="I255" s="1">
        <f t="shared" si="235"/>
        <v>1.7371701039220873E-2</v>
      </c>
      <c r="J255" s="1">
        <f t="shared" si="235"/>
        <v>2.1197722571676646E-2</v>
      </c>
      <c r="K255" s="1">
        <f t="shared" si="235"/>
        <v>1.7105275270030404E-2</v>
      </c>
      <c r="L255" s="1">
        <f t="shared" ref="L255" si="236">L244-L266</f>
        <v>3.0157028604818528E-3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6.0755099417340246E-2</v>
      </c>
      <c r="G257" s="1">
        <f t="shared" si="239"/>
        <v>3.6820127907400773E-3</v>
      </c>
      <c r="H257" s="1">
        <f t="shared" si="239"/>
        <v>4.8408462166907411E-2</v>
      </c>
      <c r="I257" s="1">
        <f t="shared" si="239"/>
        <v>3.2811565921115982</v>
      </c>
      <c r="J257" s="1">
        <f t="shared" si="239"/>
        <v>4.0707430090485417</v>
      </c>
      <c r="K257" s="1">
        <f t="shared" si="239"/>
        <v>4.4407403552748645</v>
      </c>
      <c r="L257" s="1">
        <f t="shared" ref="L257" si="240">L246-L268</f>
        <v>1.7853914625516762E-2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0.67450899123469421</v>
      </c>
      <c r="G260" s="1">
        <f t="shared" si="245"/>
        <v>0.73677767645603287</v>
      </c>
      <c r="H260" s="1">
        <f t="shared" si="245"/>
        <v>8.527405394754041E-2</v>
      </c>
      <c r="I260" s="1">
        <f t="shared" si="245"/>
        <v>2.7783134934577375E-2</v>
      </c>
      <c r="J260" s="1">
        <f t="shared" si="245"/>
        <v>4.7296949599462512E-2</v>
      </c>
      <c r="K260" s="1">
        <f t="shared" si="245"/>
        <v>2.5246954656186028E-2</v>
      </c>
      <c r="L260" s="1">
        <f t="shared" ref="L260" si="246">L249-L271</f>
        <v>3.1968357728726397E-4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2.1197012423078854E-4</v>
      </c>
      <c r="J261" s="1">
        <f t="shared" si="247"/>
        <v>9.3740900527819416E-4</v>
      </c>
      <c r="K261" s="1">
        <f t="shared" si="247"/>
        <v>1.2764075993591921E-3</v>
      </c>
      <c r="L261" s="1">
        <f t="shared" ref="L261" si="248">L250-L272</f>
        <v>2.2029850879183501E-4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1.4654729029304587</v>
      </c>
      <c r="G262" s="1">
        <f t="shared" ref="G262:K262" si="249">SUM(G263:G272)</f>
        <v>1.6024423522702151</v>
      </c>
      <c r="H262" s="1">
        <f t="shared" si="249"/>
        <v>1.4900642044136745</v>
      </c>
      <c r="I262" s="1">
        <f t="shared" si="249"/>
        <v>1.7691697758901612</v>
      </c>
      <c r="J262" s="1">
        <f t="shared" si="249"/>
        <v>1.6144448942483258</v>
      </c>
      <c r="K262" s="1">
        <f t="shared" si="249"/>
        <v>1.5190861061818932</v>
      </c>
      <c r="L262" s="1">
        <f t="shared" ref="L262" si="250">SUM(L263:L272)</f>
        <v>1.0471559514820314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2.0335422649897524E-2</v>
      </c>
      <c r="G263" s="1">
        <f t="shared" si="251"/>
        <v>1.0529928636827607E-2</v>
      </c>
      <c r="H263" s="1">
        <f t="shared" si="251"/>
        <v>5.2946823048825743E-3</v>
      </c>
      <c r="I263" s="1">
        <f t="shared" si="251"/>
        <v>4.1047257889235871E-3</v>
      </c>
      <c r="J263" s="1">
        <f t="shared" si="251"/>
        <v>3.0943451857638918E-3</v>
      </c>
      <c r="K263" s="1">
        <f t="shared" si="251"/>
        <v>9.1707646180020687E-4</v>
      </c>
      <c r="L263" s="1">
        <f t="shared" ref="L263" si="252">L241*IFERROR(L120/L88,0)</f>
        <v>1.9165716674698523E-3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1.1481155317731298E-3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6.7840579445991719E-5</v>
      </c>
      <c r="K265" s="1">
        <f t="shared" si="251"/>
        <v>4.200627689108778E-5</v>
      </c>
      <c r="L265" s="1">
        <f t="shared" ref="L265" si="254">L243*IFERROR(L122/L90,0)</f>
        <v>4.5505809778984772E-4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1.1124010706550231E-3</v>
      </c>
      <c r="G266" s="1">
        <f t="shared" si="251"/>
        <v>7.309698542942108E-5</v>
      </c>
      <c r="H266" s="1">
        <f t="shared" si="251"/>
        <v>2.2010853424298657E-4</v>
      </c>
      <c r="I266" s="1">
        <f t="shared" si="251"/>
        <v>2.3037126580858682E-3</v>
      </c>
      <c r="J266" s="1">
        <f t="shared" si="251"/>
        <v>2.2853492168890886E-3</v>
      </c>
      <c r="K266" s="1">
        <f t="shared" si="251"/>
        <v>1.9537663521129122E-3</v>
      </c>
      <c r="L266" s="1">
        <f t="shared" ref="L266" si="255">L244*IFERROR(L123/L91,0)</f>
        <v>5.3142094589310688E-3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1.6284215390392519E-3</v>
      </c>
      <c r="G268" s="1">
        <f t="shared" si="251"/>
        <v>6.714880493173547E-5</v>
      </c>
      <c r="H268" s="1">
        <f t="shared" si="251"/>
        <v>5.8651500950866406E-4</v>
      </c>
      <c r="I268" s="1">
        <f t="shared" si="251"/>
        <v>0.43512388092239446</v>
      </c>
      <c r="J268" s="1">
        <f t="shared" si="251"/>
        <v>0.43887117195863862</v>
      </c>
      <c r="K268" s="1">
        <f t="shared" si="251"/>
        <v>0.50722183347772276</v>
      </c>
      <c r="L268" s="1">
        <f t="shared" ref="L268" si="257">L246*IFERROR(L125/L93,0)</f>
        <v>3.1461800572324616E-2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1.4243177642094775</v>
      </c>
      <c r="G270" s="1">
        <f t="shared" si="251"/>
        <v>1.5783355758304463</v>
      </c>
      <c r="H270" s="1">
        <f t="shared" si="251"/>
        <v>1.4829297215062558</v>
      </c>
      <c r="I270" s="1">
        <f t="shared" si="251"/>
        <v>1.3239249428329605</v>
      </c>
      <c r="J270" s="1">
        <f t="shared" si="251"/>
        <v>1.1649259893480313</v>
      </c>
      <c r="K270" s="1">
        <f t="shared" si="251"/>
        <v>1.0059219223687661</v>
      </c>
      <c r="L270" s="1">
        <f t="shared" ref="L270" si="259">L248*IFERROR(L127/L95,0)</f>
        <v>1.0059086508449866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1.8078893461389377E-2</v>
      </c>
      <c r="G271" s="1">
        <f t="shared" si="251"/>
        <v>1.3436602012580011E-2</v>
      </c>
      <c r="H271" s="1">
        <f t="shared" si="251"/>
        <v>1.0331770587844555E-3</v>
      </c>
      <c r="I271" s="1">
        <f t="shared" si="251"/>
        <v>3.684403702641904E-3</v>
      </c>
      <c r="J271" s="1">
        <f t="shared" si="251"/>
        <v>5.0991348888016364E-3</v>
      </c>
      <c r="K271" s="1">
        <f t="shared" si="251"/>
        <v>2.883709833480453E-3</v>
      </c>
      <c r="L271" s="1">
        <f t="shared" ref="L271" si="260">L249*IFERROR(L128/L96,0)</f>
        <v>5.6333981459083581E-4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2.8109985154821826E-5</v>
      </c>
      <c r="J272" s="1">
        <f t="shared" si="251"/>
        <v>1.0106307075552284E-4</v>
      </c>
      <c r="K272" s="1">
        <f t="shared" si="251"/>
        <v>1.4579141111973324E-4</v>
      </c>
      <c r="L272" s="1">
        <f t="shared" ref="L272" si="261">L250*IFERROR(L129/L97,0)</f>
        <v>3.8820549416560262E-4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1.9348406886931981</v>
      </c>
      <c r="G273" s="1">
        <f t="shared" ref="G273:K273" si="262">SUM(G274:G275)</f>
        <v>1.858781292415014</v>
      </c>
      <c r="H273" s="1">
        <f t="shared" si="262"/>
        <v>1.5300069227797846E-2</v>
      </c>
      <c r="I273" s="1">
        <f t="shared" si="262"/>
        <v>5.6622719877645472E-3</v>
      </c>
      <c r="J273" s="1">
        <f t="shared" si="262"/>
        <v>9.0447692111480429E-3</v>
      </c>
      <c r="K273" s="1">
        <f t="shared" si="262"/>
        <v>6.360984141957759E-3</v>
      </c>
      <c r="L273" s="1">
        <f t="shared" ref="L273" si="263">SUM(L274:L275)</f>
        <v>0.8215642547060783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1.9348406886931981</v>
      </c>
      <c r="G274" s="1">
        <f>'[1]Electricity and CHPs'!C$106-G275</f>
        <v>1.858781292415014</v>
      </c>
      <c r="H274" s="1">
        <f>'[1]Electricity and CHPs'!D$106-H275</f>
        <v>1.5300069227797846E-2</v>
      </c>
      <c r="I274" s="1">
        <f>'[1]Electricity and CHPs'!E$106-I275</f>
        <v>5.6622719877645472E-3</v>
      </c>
      <c r="J274" s="1">
        <f>'[2]Electricity and CHPs'!F$106-J275</f>
        <v>9.0447692111480429E-3</v>
      </c>
      <c r="K274" s="1">
        <f>'[2]Electricity and CHPs'!G$106-K275</f>
        <v>6.360984141957759E-3</v>
      </c>
      <c r="L274" s="1">
        <f>'[2]Electricity and CHPs'!H$106-L275</f>
        <v>8.3725420698677055E-4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0.82072700049909153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1.9348406886931981</v>
      </c>
      <c r="G279" s="1">
        <f t="shared" ref="G279:K279" si="266">SUM(G280:G281)</f>
        <v>1.858781292415014</v>
      </c>
      <c r="H279" s="1">
        <f t="shared" si="266"/>
        <v>1.5300069227797846E-2</v>
      </c>
      <c r="I279" s="1">
        <f t="shared" si="266"/>
        <v>5.6622719877645472E-3</v>
      </c>
      <c r="J279" s="1">
        <f t="shared" si="266"/>
        <v>9.0447692111480429E-3</v>
      </c>
      <c r="K279" s="1">
        <f t="shared" si="266"/>
        <v>6.360984141957759E-3</v>
      </c>
      <c r="L279" s="1">
        <f t="shared" ref="L279" si="267">SUM(L280:L281)</f>
        <v>0.8215642547060783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1.9348406886931981</v>
      </c>
      <c r="G280" s="1">
        <f t="shared" ref="G280:K280" si="268">G274</f>
        <v>1.858781292415014</v>
      </c>
      <c r="H280" s="1">
        <f t="shared" si="268"/>
        <v>1.5300069227797846E-2</v>
      </c>
      <c r="I280" s="1">
        <f t="shared" si="268"/>
        <v>5.6622719877645472E-3</v>
      </c>
      <c r="J280" s="1">
        <f t="shared" si="268"/>
        <v>9.0447692111480429E-3</v>
      </c>
      <c r="K280" s="1">
        <f t="shared" si="268"/>
        <v>6.360984141957759E-3</v>
      </c>
      <c r="L280" s="1">
        <f t="shared" ref="L280" si="269">L274</f>
        <v>8.3725420698677055E-4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0.82072700049909153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0.65959430772421512</v>
      </c>
      <c r="G282" s="1">
        <f t="shared" ref="G282:K282" si="272">SUM(G283:G287)</f>
        <v>0.56585285529137075</v>
      </c>
      <c r="H282" s="1">
        <f t="shared" si="272"/>
        <v>4.2563543939021944</v>
      </c>
      <c r="I282" s="1">
        <f t="shared" si="272"/>
        <v>6.6521621330115943</v>
      </c>
      <c r="J282" s="1">
        <f t="shared" si="272"/>
        <v>8.1845074313311041</v>
      </c>
      <c r="K282" s="1">
        <f t="shared" si="272"/>
        <v>9.6444866408499905</v>
      </c>
      <c r="L282" s="1">
        <f t="shared" ref="L282" si="273">SUM(L283:L287)</f>
        <v>12.957921007740923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0.65959430772421512</v>
      </c>
      <c r="G283" s="1">
        <f>'[1]Electricity and CHPs'!C$105-G284</f>
        <v>0.56585285529137075</v>
      </c>
      <c r="H283" s="1">
        <f>'[1]Electricity and CHPs'!D$105-H284</f>
        <v>4.2563543939021944</v>
      </c>
      <c r="I283" s="1">
        <f>'[1]Electricity and CHPs'!E$105-I284</f>
        <v>6.6414850341032015</v>
      </c>
      <c r="J283" s="1">
        <f>'[2]Electricity and CHPs'!F$105-J284</f>
        <v>8.1619579201791943</v>
      </c>
      <c r="K283" s="1">
        <f>'[2]Electricity and CHPs'!G$105-K284</f>
        <v>9.4388171455991987</v>
      </c>
      <c r="L283" s="1">
        <f>'[2]Electricity and CHPs'!H$105-L284</f>
        <v>7.4007311432680325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2.8441834566856081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3.853577529963367E-3</v>
      </c>
      <c r="J285" s="1">
        <f>'[2]Electricity and CHPs'!F$110</f>
        <v>7.0136986709781433E-3</v>
      </c>
      <c r="K285" s="1">
        <f>'[2]Electricity and CHPs'!G$110</f>
        <v>7.6768982310032284E-3</v>
      </c>
      <c r="L285" s="1">
        <f>'[2]Electricity and CHPs'!H$110</f>
        <v>7.0762484379018878E-3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5.5463831962922084E-3</v>
      </c>
      <c r="J286" s="1">
        <f>'[2]Electricity and CHPs'!F$113</f>
        <v>1.2852640533070578E-2</v>
      </c>
      <c r="K286" s="1">
        <f>'[2]Electricity and CHPs'!G$113</f>
        <v>0.19568311591999449</v>
      </c>
      <c r="L286" s="1">
        <f>'[2]Electricity and CHPs'!H$113</f>
        <v>2.7048732254389534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1.277138182137035E-3</v>
      </c>
      <c r="J287" s="1">
        <f>'[2]Electricity and CHPs'!F$117</f>
        <v>2.6831719478607415E-3</v>
      </c>
      <c r="K287" s="1">
        <f>'[2]Electricity and CHPs'!G$117</f>
        <v>2.3094810997954674E-3</v>
      </c>
      <c r="L287" s="1">
        <f>'[2]Electricity and CHPs'!H$117</f>
        <v>1.0569339104285307E-3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2.6275928450274657E-3</v>
      </c>
      <c r="J288" s="1">
        <f t="shared" si="274"/>
        <v>7.6089256425159128E-3</v>
      </c>
      <c r="K288" s="1">
        <f t="shared" si="274"/>
        <v>6.645407542214727E-3</v>
      </c>
      <c r="L288" s="1">
        <f t="shared" ref="L288" si="275">SUM(L289:L290)</f>
        <v>4.6165492679965614E-2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5.1001579556635068E-3</v>
      </c>
      <c r="K289" s="1">
        <f>'[2]Electricity and CHPs'!G$108</f>
        <v>3.26263325085277E-3</v>
      </c>
      <c r="L289" s="1">
        <f>'[2]Electricity and CHPs'!H$108</f>
        <v>4.2061495470638352E-2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2.6275928450274657E-3</v>
      </c>
      <c r="J290" s="1">
        <f>'[2]Electricity and CHPs'!F$119</f>
        <v>2.5087676868524055E-3</v>
      </c>
      <c r="K290" s="1">
        <f>'[2]Electricity and CHPs'!G$119</f>
        <v>3.382774291361957E-3</v>
      </c>
      <c r="L290" s="1">
        <f>'[2]Electricity and CHPs'!H$119</f>
        <v>4.1039972093272611E-3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437.35170272844698</v>
      </c>
      <c r="G291" s="3">
        <f t="shared" ref="G291" si="276">SUM(G292,G294,G302,G310,G358,G379,G387,G389,G397,G401,G395)</f>
        <v>421.78381140289133</v>
      </c>
      <c r="H291" s="3">
        <f t="shared" ref="H291" si="277">SUM(H292,H294,H302,H310,H358,H379,H387,H389,H397,H401,H395)</f>
        <v>431.87407142846592</v>
      </c>
      <c r="I291" s="3">
        <f t="shared" ref="I291" si="278">SUM(I292,I294,I302,I310,I358,I379,I387,I389,I397,I401,I395)</f>
        <v>431.33357905522388</v>
      </c>
      <c r="J291" s="3">
        <f t="shared" ref="J291" si="279">SUM(J292,J294,J302,J310,J358,J379,J387,J389,J397,J401,J395)</f>
        <v>425.00992350640144</v>
      </c>
      <c r="K291" s="3">
        <f t="shared" ref="K291:L291" si="280">SUM(K292,K294,K302,K310,K358,K379,K387,K389,K397,K401,K395)</f>
        <v>436.12499819378235</v>
      </c>
      <c r="L291" s="3">
        <f t="shared" si="280"/>
        <v>392.50288842992808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250.94820421254272</v>
      </c>
      <c r="G292" s="1">
        <f t="shared" ref="G292:L292" si="281">G293</f>
        <v>253.29988923882391</v>
      </c>
      <c r="H292" s="1">
        <f t="shared" si="281"/>
        <v>233.17604637129213</v>
      </c>
      <c r="I292" s="1">
        <f t="shared" si="281"/>
        <v>187.17896763960835</v>
      </c>
      <c r="J292" s="1">
        <f t="shared" si="281"/>
        <v>190.4459084065019</v>
      </c>
      <c r="K292" s="1">
        <f t="shared" si="281"/>
        <v>190.44604261423186</v>
      </c>
      <c r="L292" s="1">
        <f t="shared" si="281"/>
        <v>102.29629433192633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250.94820421254272</v>
      </c>
      <c r="G293" s="1">
        <f>'[1]Electricity and CHPs_IN'!C$14</f>
        <v>253.29988923882391</v>
      </c>
      <c r="H293" s="1">
        <f>'[1]Electricity and CHPs_IN'!D$14</f>
        <v>233.17604637129213</v>
      </c>
      <c r="I293" s="1">
        <f>'[1]Electricity and CHPs_IN'!E$14</f>
        <v>187.17896763960835</v>
      </c>
      <c r="J293" s="1">
        <f>'[2]Electricity and CHPs_IN'!F$14</f>
        <v>190.4459084065019</v>
      </c>
      <c r="K293" s="1">
        <f>'[2]Electricity and CHPs_IN'!G$14</f>
        <v>190.44604261423186</v>
      </c>
      <c r="L293" s="1">
        <f>'[2]Electricity and CHPs_IN'!H$14</f>
        <v>102.29629433192633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149.43048821932658</v>
      </c>
      <c r="G294" s="1">
        <f t="shared" ref="G294:K294" si="283">SUM(G295:G297)</f>
        <v>125.60779835461643</v>
      </c>
      <c r="H294" s="1">
        <f t="shared" si="283"/>
        <v>137.24453937980664</v>
      </c>
      <c r="I294" s="1">
        <f t="shared" si="283"/>
        <v>178.65652776019766</v>
      </c>
      <c r="J294" s="1">
        <f t="shared" si="283"/>
        <v>150.86493941381841</v>
      </c>
      <c r="K294" s="1">
        <f t="shared" si="283"/>
        <v>150.98000193718866</v>
      </c>
      <c r="L294" s="1">
        <f t="shared" ref="L294" si="284">SUM(L295:L297)</f>
        <v>151.64867002504775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66.745680187895957</v>
      </c>
      <c r="G295" s="1">
        <f>'[1]Electricity and CHPs_IN'!C$15</f>
        <v>49.798797958533733</v>
      </c>
      <c r="H295" s="1">
        <f>'[1]Electricity and CHPs_IN'!D$15</f>
        <v>69.082959718964602</v>
      </c>
      <c r="I295" s="1">
        <f>'[1]Electricity and CHPs_IN'!E$15</f>
        <v>69.713682638439238</v>
      </c>
      <c r="J295" s="1">
        <f>'[2]Electricity and CHPs_IN'!F$15</f>
        <v>71.585479861080117</v>
      </c>
      <c r="K295" s="1">
        <f>'[2]Electricity and CHPs_IN'!G$15</f>
        <v>72.148440675854189</v>
      </c>
      <c r="L295" s="1">
        <f>'[2]Electricity and CHPs_IN'!H$15</f>
        <v>74.655251711943095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66.632402849791305</v>
      </c>
      <c r="G296" s="1">
        <f>'[1]Electricity and CHPs_IN'!C$16</f>
        <v>55.763999829976299</v>
      </c>
      <c r="H296" s="1">
        <f>'[1]Electricity and CHPs_IN'!D$16</f>
        <v>65.56163759729597</v>
      </c>
      <c r="I296" s="1">
        <f>'[1]Electricity and CHPs_IN'!E$16</f>
        <v>64.930930936670293</v>
      </c>
      <c r="J296" s="1">
        <f>'[2]Electricity and CHPs_IN'!F$16</f>
        <v>63.394822178807196</v>
      </c>
      <c r="K296" s="1">
        <f>'[2]Electricity and CHPs_IN'!G$16</f>
        <v>62.831869373152443</v>
      </c>
      <c r="L296" s="1">
        <f>'[2]Electricity and CHPs_IN'!H$16</f>
        <v>60.662379421265889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16.05240518163934</v>
      </c>
      <c r="G297" s="1">
        <f>'[1]Electricity and CHPs_IN'!C$13</f>
        <v>20.045000566106399</v>
      </c>
      <c r="H297" s="1">
        <f>'[1]Electricity and CHPs_IN'!D$13</f>
        <v>2.5999420635460826</v>
      </c>
      <c r="I297" s="1">
        <f>'[1]Electricity and CHPs_IN'!E$13</f>
        <v>44.011914185088131</v>
      </c>
      <c r="J297" s="1">
        <f>'[2]Electricity and CHPs_IN'!F$13</f>
        <v>15.884637373931088</v>
      </c>
      <c r="K297" s="1">
        <f>'[2]Electricity and CHPs_IN'!G$13</f>
        <v>15.999691888182046</v>
      </c>
      <c r="L297" s="1">
        <f>'[2]Electricity and CHPs_IN'!H$13</f>
        <v>16.331038891838759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0.15781820475709477</v>
      </c>
      <c r="G298" s="1">
        <f t="shared" ref="G298:K298" si="285">SUM(G299:G301)</f>
        <v>1.9362694026477476</v>
      </c>
      <c r="H298" s="1">
        <f t="shared" si="285"/>
        <v>0.29472857458081236</v>
      </c>
      <c r="I298" s="1">
        <f t="shared" si="285"/>
        <v>7.6360353645710963E-2</v>
      </c>
      <c r="J298" s="1">
        <f t="shared" si="285"/>
        <v>0.11379863630818401</v>
      </c>
      <c r="K298" s="1">
        <f t="shared" si="285"/>
        <v>8.0052813084763516E-3</v>
      </c>
      <c r="L298" s="1">
        <f t="shared" ref="L298" si="286">SUM(L299:L301)</f>
        <v>5.1202802512086885E-2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0.13159457279192607</v>
      </c>
      <c r="G299" s="1">
        <f>'[1]Electricity and CHPs_IN'!C$18</f>
        <v>1.5399205996043113</v>
      </c>
      <c r="H299" s="1">
        <f>'[1]Electricity and CHPs_IN'!D$18</f>
        <v>0.26197867055615592</v>
      </c>
      <c r="I299" s="1">
        <f>'[1]Electricity and CHPs_IN'!E$18</f>
        <v>1.3891990917154846E-3</v>
      </c>
      <c r="J299" s="1">
        <f>'[2]Electricity and CHPs_IN'!F$18</f>
        <v>4.4569580816995842E-3</v>
      </c>
      <c r="K299" s="1">
        <f>'[2]Electricity and CHPs_IN'!G$18</f>
        <v>9.1956982291204891E-4</v>
      </c>
      <c r="L299" s="1">
        <f>'[2]Electricity and CHPs_IN'!H$18</f>
        <v>2.6006756143286163E-4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4.5003325247763709E-3</v>
      </c>
      <c r="G300" s="1">
        <f>IFERROR(G72/SUM(G72,G185),0)*'[1]Electricity and CHPs_IN'!C$28</f>
        <v>0.34325763479358939</v>
      </c>
      <c r="H300" s="1">
        <f>IFERROR(H72/SUM(H72,H185),0)*'[1]Electricity and CHPs_IN'!D$28</f>
        <v>5.2155705593914126E-3</v>
      </c>
      <c r="I300" s="1">
        <f>IFERROR(I72/SUM(I72,I185),0)*'[1]Electricity and CHPs_IN'!E$28</f>
        <v>3.6338497340363007E-4</v>
      </c>
      <c r="J300" s="1">
        <f>IFERROR(J72/SUM(J72,J185),0)*'[2]Electricity and CHPs_IN'!F$28</f>
        <v>1.1353704479695919E-3</v>
      </c>
      <c r="K300" s="1">
        <f>IFERROR(K72/SUM(K72,K185),0)*'[2]Electricity and CHPs_IN'!G$28</f>
        <v>1.5178387740506875E-4</v>
      </c>
      <c r="L300" s="1">
        <f>IFERROR(L72/SUM(L72,L185),0)*'[2]Electricity and CHPs_IN'!H$28</f>
        <v>3.0831799642818436E-5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2.1723299440392339E-2</v>
      </c>
      <c r="G301" s="1">
        <f>IFERROR(G73/SUM(G73,G235),0)*'[1]Electricity and CHPs_IN'!C$41</f>
        <v>5.3091168249846887E-2</v>
      </c>
      <c r="H301" s="1">
        <f>IFERROR(H73/SUM(H73,H235),0)*'[1]Electricity and CHPs_IN'!D$41</f>
        <v>2.7534333465265039E-2</v>
      </c>
      <c r="I301" s="1">
        <f>IFERROR(I73/SUM(I73,I235),0)*'[1]Electricity and CHPs_IN'!E$41</f>
        <v>7.4607769580591843E-2</v>
      </c>
      <c r="J301" s="1">
        <f>IFERROR(J73/SUM(J73,J235),0)*'[2]Electricity and CHPs_IN'!F$41</f>
        <v>0.10820630777851484</v>
      </c>
      <c r="K301" s="1">
        <f>IFERROR(K73/SUM(K73,K235),0)*'[2]Electricity and CHPs_IN'!G$41</f>
        <v>6.9339276081592342E-3</v>
      </c>
      <c r="L301" s="1">
        <f>IFERROR(L73/SUM(L73,L235),0)*'[2]Electricity and CHPs_IN'!H$41</f>
        <v>5.0911903151011205E-2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0.15781820475709477</v>
      </c>
      <c r="G302" s="1">
        <f t="shared" ref="G302:K302" si="287">G298</f>
        <v>1.9362694026477476</v>
      </c>
      <c r="H302" s="1">
        <f t="shared" si="287"/>
        <v>0.29472857458081236</v>
      </c>
      <c r="I302" s="1">
        <f t="shared" si="287"/>
        <v>7.6360353645710963E-2</v>
      </c>
      <c r="J302" s="1">
        <f t="shared" si="287"/>
        <v>0.11379863630818401</v>
      </c>
      <c r="K302" s="1">
        <f t="shared" si="287"/>
        <v>8.0052813084763516E-3</v>
      </c>
      <c r="L302" s="1">
        <f t="shared" ref="L302" si="288">L298</f>
        <v>5.1202802512086885E-2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0.13159457279192607</v>
      </c>
      <c r="G303" s="1">
        <f t="shared" si="289"/>
        <v>1.5399205996043113</v>
      </c>
      <c r="H303" s="1">
        <f t="shared" si="289"/>
        <v>0.26197867055615592</v>
      </c>
      <c r="I303" s="1">
        <f t="shared" si="289"/>
        <v>1.3891990917154846E-3</v>
      </c>
      <c r="J303" s="1">
        <f t="shared" si="289"/>
        <v>4.4569580816995842E-3</v>
      </c>
      <c r="K303" s="1">
        <f t="shared" si="289"/>
        <v>9.1956982291204891E-4</v>
      </c>
      <c r="L303" s="1">
        <f t="shared" ref="L303" si="290">L299</f>
        <v>2.6006756143286163E-4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4.5003325247763709E-3</v>
      </c>
      <c r="G304" s="1">
        <f t="shared" si="291"/>
        <v>0.34325763479358939</v>
      </c>
      <c r="H304" s="1">
        <f t="shared" si="291"/>
        <v>5.2155705593914126E-3</v>
      </c>
      <c r="I304" s="1">
        <f t="shared" si="291"/>
        <v>3.6338497340363007E-4</v>
      </c>
      <c r="J304" s="1">
        <f t="shared" si="291"/>
        <v>1.1353704479695919E-3</v>
      </c>
      <c r="K304" s="1">
        <f t="shared" si="291"/>
        <v>1.5178387740506875E-4</v>
      </c>
      <c r="L304" s="1">
        <f t="shared" ref="L304" si="292">L300</f>
        <v>3.0831799642818436E-5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2.1723299440392339E-2</v>
      </c>
      <c r="G305" s="1">
        <f t="shared" si="293"/>
        <v>5.3091168249846887E-2</v>
      </c>
      <c r="H305" s="1">
        <f t="shared" si="293"/>
        <v>2.7534333465265039E-2</v>
      </c>
      <c r="I305" s="1">
        <f t="shared" si="293"/>
        <v>7.4607769580591843E-2</v>
      </c>
      <c r="J305" s="1">
        <f t="shared" si="293"/>
        <v>0.10820630777851484</v>
      </c>
      <c r="K305" s="1">
        <f t="shared" si="293"/>
        <v>6.9339276081592342E-3</v>
      </c>
      <c r="L305" s="1">
        <f t="shared" ref="L305" si="294">L301</f>
        <v>5.0911903151011205E-2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4.0910650123415344</v>
      </c>
      <c r="G310" s="1">
        <f t="shared" ref="G310:K310" si="295">SUM(G311:G325)</f>
        <v>2.7435364881801383</v>
      </c>
      <c r="H310" s="1">
        <f t="shared" si="295"/>
        <v>3.5318152292122535</v>
      </c>
      <c r="I310" s="1">
        <f t="shared" si="295"/>
        <v>3.4284253243362453</v>
      </c>
      <c r="J310" s="1">
        <f t="shared" si="295"/>
        <v>3.9665571250856075</v>
      </c>
      <c r="K310" s="1">
        <f t="shared" si="295"/>
        <v>4.2796327907854694</v>
      </c>
      <c r="L310" s="1">
        <f t="shared" ref="L310" si="296">SUM(L311:L325)</f>
        <v>2.4523663573190331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2.121903453165461E-3</v>
      </c>
      <c r="L311" s="1">
        <f>'[2]Electricity and CHPs_IN'!H$21</f>
        <v>8.2378589793382744E-3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3.2226226929708847E-3</v>
      </c>
      <c r="J312" s="1">
        <f>'[2]Electricity and CHPs_IN'!F$22</f>
        <v>8.4679301218689267E-3</v>
      </c>
      <c r="K312" s="1">
        <f>'[2]Electricity and CHPs_IN'!G$22</f>
        <v>1.8151567481222673E-3</v>
      </c>
      <c r="L312" s="1">
        <f>'[2]Electricity and CHPs_IN'!H$22</f>
        <v>6.4556413584654526E-2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1.4143895778894995E-4</v>
      </c>
      <c r="L313" s="1">
        <f>'[2]Electricity and CHPs_IN'!H$23</f>
        <v>9.4726675094143811E-3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1.2884280604418652</v>
      </c>
      <c r="G314" s="1">
        <f>IFERROR(G86/SUM(G86+G189),0)*'[1]Electricity and CHPs_IN'!C$24</f>
        <v>8.0970212633909796E-4</v>
      </c>
      <c r="H314" s="1">
        <f>IFERROR(H86/SUM(H86+H189),0)*'[1]Electricity and CHPs_IN'!D$24</f>
        <v>1.4530881647953635</v>
      </c>
      <c r="I314" s="1">
        <f>IFERROR(I86/SUM(I86+I189),0)*'[1]Electricity and CHPs_IN'!E$24</f>
        <v>2.9701659563960811E-3</v>
      </c>
      <c r="J314" s="1">
        <f>IFERROR(J86/SUM(J86+J189),0)*'[2]Electricity and CHPs_IN'!F$24</f>
        <v>6.4990343587318479E-3</v>
      </c>
      <c r="K314" s="1">
        <f>IFERROR(K86/SUM(K86+K189),0)*'[2]Electricity and CHPs_IN'!G$24</f>
        <v>8.0855627299710169E-4</v>
      </c>
      <c r="L314" s="1">
        <f>IFERROR(L86/SUM(L86+L189),0)*'[2]Electricity and CHPs_IN'!H$24</f>
        <v>0.1779740708488658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3.9597528948618542E-4</v>
      </c>
      <c r="L315" s="1">
        <f>IFERROR(L87/SUM(L87+L190),0)*'[2]Electricity and CHPs_IN'!H$29</f>
        <v>0.63969452543017213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0.89329909717421063</v>
      </c>
      <c r="G316" s="1">
        <f>G88/SUM(G88,G241)*'[1]Electricity and CHPs_IN'!C$39</f>
        <v>0.69311920308821429</v>
      </c>
      <c r="H316" s="1">
        <f>H88/SUM(H88,H241)*'[1]Electricity and CHPs_IN'!D$39</f>
        <v>0.52842382873627536</v>
      </c>
      <c r="I316" s="1">
        <f>I88/SUM(I88,I241)*'[1]Electricity and CHPs_IN'!E$39</f>
        <v>4.2459443961730216E-2</v>
      </c>
      <c r="J316" s="1">
        <f>J88/SUM(J88,J241)*'[2]Electricity and CHPs_IN'!F$39</f>
        <v>2.089140426627005E-2</v>
      </c>
      <c r="K316" s="1">
        <f>K88/SUM(K88,K241)*'[2]Electricity and CHPs_IN'!G$39</f>
        <v>1.0429612779185232E-2</v>
      </c>
      <c r="L316" s="1">
        <f>L88/SUM(L88,L241)*'[2]Electricity and CHPs_IN'!H$39</f>
        <v>6.390530065629894E-3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2.5825532663255068E-3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2.7298684575692282E-2</v>
      </c>
      <c r="G319" s="1">
        <f>G91/SUM(G91,G244)*'[1]Electricity and CHPs_IN'!C$48</f>
        <v>1.9096414638737451E-3</v>
      </c>
      <c r="H319" s="1">
        <f>H91/SUM(H91,H244)*'[1]Electricity and CHPs_IN'!D$48</f>
        <v>1.1261897180317284E-2</v>
      </c>
      <c r="I319" s="1">
        <f>I91/SUM(I91,I244)*'[1]Electricity and CHPs_IN'!E$48</f>
        <v>9.4062520274089071E-3</v>
      </c>
      <c r="J319" s="1">
        <f>J91/SUM(J91,J244)*'[2]Electricity and CHPs_IN'!F$48</f>
        <v>1.0428828226206865E-2</v>
      </c>
      <c r="K319" s="1">
        <f>K91/SUM(K91,K244)*'[2]Electricity and CHPs_IN'!G$48</f>
        <v>7.5151357251361725E-3</v>
      </c>
      <c r="L319" s="1">
        <f>L91/SUM(L91,L244)*'[2]Electricity and CHPs_IN'!H$48</f>
        <v>2.7726399064757702E-3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1.6209088586779021E-3</v>
      </c>
      <c r="J320" s="1">
        <f>IFERROR(J92/SUM(J92,J245),0)*'[2]Electricity and CHPs_IN'!F$49</f>
        <v>3.2111371872045073E-3</v>
      </c>
      <c r="K320" s="1">
        <f>IFERROR(K92/SUM(K92,K245),0)*'[2]Electricity and CHPs_IN'!G$49</f>
        <v>3.3004805433924549E-3</v>
      </c>
      <c r="L320" s="1">
        <f>IFERROR(L92/SUM(L92,L245),0)*'[2]Electricity and CHPs_IN'!H$49</f>
        <v>2.2187842630839952E-3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4.0230705903139652E-2</v>
      </c>
      <c r="G321" s="1">
        <f>IFERROR(G93/SUM(G93,G246),0)*'[1]Electricity and CHPs_IN'!C$51</f>
        <v>1.9498564483527031E-3</v>
      </c>
      <c r="H321" s="1">
        <f>IFERROR(H93/SUM(H93,H246),0)*'[1]Electricity and CHPs_IN'!D$51</f>
        <v>2.8002395182308085E-2</v>
      </c>
      <c r="I321" s="1">
        <f>IFERROR(I93/SUM(I93,I246),0)*'[1]Electricity and CHPs_IN'!E$51</f>
        <v>1.9512303501548516</v>
      </c>
      <c r="J321" s="1">
        <f>IFERROR(J93/SUM(J93,J246),0)*'[2]Electricity and CHPs_IN'!F$51</f>
        <v>2.3901641046142319</v>
      </c>
      <c r="K321" s="1">
        <f>IFERROR(K93/SUM(K93,K246),0)*'[2]Electricity and CHPs_IN'!G$51</f>
        <v>2.6556422745096326</v>
      </c>
      <c r="L321" s="1">
        <f>IFERROR(L93/SUM(L93,L246),0)*'[2]Electricity and CHPs_IN'!H$51</f>
        <v>1.5370614963801542E-2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7.1938053236552104E-3</v>
      </c>
      <c r="J322" s="1">
        <f>IFERROR(J94/SUM(J94,J247),0)*'[2]Electricity and CHPs_IN'!F$52</f>
        <v>2.0833661478180839E-2</v>
      </c>
      <c r="K322" s="1">
        <f>IFERROR(K94/SUM(K94,K247),0)*'[2]Electricity and CHPs_IN'!G$52</f>
        <v>2.2954022480665394E-2</v>
      </c>
      <c r="L322" s="1">
        <f>IFERROR(L94/SUM(L94,L247),0)*'[2]Electricity and CHPs_IN'!H$52</f>
        <v>1.5906243370724521E-2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1.0647037863800024</v>
      </c>
      <c r="G323" s="1">
        <f>IFERROR(G95/SUM(G95,G248),0)*'[1]Electricity and CHPs_IN'!C$54</f>
        <v>1.2550084958122114</v>
      </c>
      <c r="H323" s="1">
        <f>IFERROR(H95/SUM(H95,H248),0)*'[1]Electricity and CHPs_IN'!D$54</f>
        <v>1.423737067064474</v>
      </c>
      <c r="I323" s="1">
        <f>IFERROR(I95/SUM(I95,I248),0)*'[1]Electricity and CHPs_IN'!E$54</f>
        <v>1.3801768242348689</v>
      </c>
      <c r="J323" s="1">
        <f>IFERROR(J95/SUM(J95,J248),0)*'[2]Electricity and CHPs_IN'!F$54</f>
        <v>1.4581887440574446</v>
      </c>
      <c r="K323" s="1">
        <f>IFERROR(K95/SUM(K95,K248),0)*'[2]Electricity and CHPs_IN'!G$54</f>
        <v>1.5471436930125271</v>
      </c>
      <c r="L323" s="1">
        <f>IFERROR(L95/SUM(L95,L248),0)*'[2]Electricity and CHPs_IN'!H$54</f>
        <v>1.5037743865168831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0.77710467786662418</v>
      </c>
      <c r="G324" s="1">
        <f>IFERROR(G96/SUM(G96,G249),0)*'[1]Electricity and CHPs_IN'!C$55</f>
        <v>0.79073958924114707</v>
      </c>
      <c r="H324" s="1">
        <f>IFERROR(H96/SUM(H96,H249),0)*'[1]Electricity and CHPs_IN'!D$55</f>
        <v>8.7301876253514932E-2</v>
      </c>
      <c r="I324" s="1">
        <f>IFERROR(I96/SUM(I96,I249),0)*'[1]Electricity and CHPs_IN'!E$55</f>
        <v>2.9117972880366438E-2</v>
      </c>
      <c r="J324" s="1">
        <f>IFERROR(J96/SUM(J96,J249),0)*'[2]Electricity and CHPs_IN'!F$55</f>
        <v>4.3426259159224809E-2</v>
      </c>
      <c r="K324" s="1">
        <f>IFERROR(K96/SUM(K96,K249),0)*'[2]Electricity and CHPs_IN'!G$55</f>
        <v>2.1263687311597571E-2</v>
      </c>
      <c r="L324" s="1">
        <f>IFERROR(L96/SUM(L96,L249),0)*'[2]Electricity and CHPs_IN'!H$55</f>
        <v>7.9512082315225509E-4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1.0269782453188178E-3</v>
      </c>
      <c r="J325" s="1">
        <f>IFERROR(J97/SUM(J97,J250),0)*'[2]Electricity and CHPs_IN'!F$58</f>
        <v>4.4460216162427778E-3</v>
      </c>
      <c r="K325" s="1">
        <f>IFERROR(K97/SUM(K97,K250),0)*'[2]Electricity and CHPs_IN'!G$58</f>
        <v>6.1008537017731559E-3</v>
      </c>
      <c r="L325" s="1">
        <f>IFERROR(L97/SUM(L97,L250),0)*'[2]Electricity and CHPs_IN'!H$58</f>
        <v>2.6199477905111891E-3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2.9473629307432332</v>
      </c>
      <c r="G326" s="1">
        <f t="shared" ref="G326:K326" si="297">G310-G342</f>
        <v>1.4618679316465293</v>
      </c>
      <c r="H326" s="1">
        <f t="shared" si="297"/>
        <v>2.0828425246483451</v>
      </c>
      <c r="I326" s="1">
        <f t="shared" si="297"/>
        <v>1.8084275708349775</v>
      </c>
      <c r="J326" s="1">
        <f t="shared" si="297"/>
        <v>2.2642564621588734</v>
      </c>
      <c r="K326" s="1">
        <f t="shared" si="297"/>
        <v>2.4522512602708915</v>
      </c>
      <c r="L326" s="1">
        <f t="shared" ref="L326" si="298">L310-L342</f>
        <v>0.34342156436765192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1.9043844586946015E-3</v>
      </c>
      <c r="L327" s="1">
        <f t="shared" ref="L327" si="300">IFERROR(L99/L83,0)*L311</f>
        <v>2.9823765167779626E-3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2.8452991558780907E-3</v>
      </c>
      <c r="J328" s="1">
        <f t="shared" si="301"/>
        <v>7.6438395749879378E-3</v>
      </c>
      <c r="K328" s="1">
        <f t="shared" si="301"/>
        <v>1.6290827445809939E-3</v>
      </c>
      <c r="L328" s="1">
        <f t="shared" ref="L328" si="302">IFERROR(L100/L84,0)*L312</f>
        <v>2.3371549860852929E-2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3.4294179109135921E-3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1.2547957169485704</v>
      </c>
      <c r="G330" s="1">
        <f t="shared" si="305"/>
        <v>7.9520007601480071E-4</v>
      </c>
      <c r="H330" s="1">
        <f t="shared" si="305"/>
        <v>1.4356933609214244</v>
      </c>
      <c r="I330" s="1">
        <f t="shared" si="305"/>
        <v>2.6224015324489498E-3</v>
      </c>
      <c r="J330" s="1">
        <f t="shared" si="305"/>
        <v>5.8665547914933305E-3</v>
      </c>
      <c r="K330" s="1">
        <f t="shared" si="305"/>
        <v>7.2567015147585018E-4</v>
      </c>
      <c r="L330" s="1">
        <f t="shared" ref="L330" si="306">IFERROR(L102/L86,0)*L314</f>
        <v>6.4432480675661097E-2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3.5538336402612247E-4</v>
      </c>
      <c r="L331" s="1">
        <f t="shared" ref="L331" si="308">IFERROR(L103/L87,0)*L315</f>
        <v>0.2315905061423639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0.86998096013510462</v>
      </c>
      <c r="G332" s="1">
        <f t="shared" si="309"/>
        <v>0.6807051939891291</v>
      </c>
      <c r="H332" s="1">
        <f t="shared" si="309"/>
        <v>0.52209810873808249</v>
      </c>
      <c r="I332" s="1">
        <f t="shared" si="309"/>
        <v>3.7488043613318998E-2</v>
      </c>
      <c r="J332" s="1">
        <f t="shared" si="309"/>
        <v>1.8858273557923751E-2</v>
      </c>
      <c r="K332" s="1">
        <f t="shared" si="309"/>
        <v>9.3604600422572456E-3</v>
      </c>
      <c r="L332" s="1">
        <f t="shared" ref="L332" si="310">IFERROR(L104/L88,0)*L316</f>
        <v>2.3135825516436659E-3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0</v>
      </c>
      <c r="L333" s="1">
        <f t="shared" ref="L333" si="312">IFERROR(L105/L89,0)*L317</f>
        <v>9.3496941791981357E-4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2.6586096294861208E-2</v>
      </c>
      <c r="G335" s="1">
        <f t="shared" si="315"/>
        <v>1.8754391125279813E-3</v>
      </c>
      <c r="H335" s="1">
        <f t="shared" si="315"/>
        <v>1.1127081896946178E-2</v>
      </c>
      <c r="I335" s="1">
        <f t="shared" si="315"/>
        <v>8.3049129555064979E-3</v>
      </c>
      <c r="J335" s="1">
        <f t="shared" si="315"/>
        <v>9.4139050238923536E-3</v>
      </c>
      <c r="K335" s="1">
        <f t="shared" si="315"/>
        <v>6.7447497003596786E-3</v>
      </c>
      <c r="L335" s="1">
        <f t="shared" ref="L335" si="316">IFERROR(L107/L91,0)*L319</f>
        <v>1.0037870479811268E-3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1.4311233571994281E-3</v>
      </c>
      <c r="J336" s="1">
        <f t="shared" si="317"/>
        <v>2.8986325062932772E-3</v>
      </c>
      <c r="K336" s="1">
        <f t="shared" si="317"/>
        <v>2.9621441275680814E-3</v>
      </c>
      <c r="L336" s="1">
        <f t="shared" ref="L336" si="318">IFERROR(L108/L92,0)*L320</f>
        <v>8.0327304686997076E-4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3.9180547992539602E-2</v>
      </c>
      <c r="G337" s="1">
        <f t="shared" si="319"/>
        <v>1.9149338324680014E-3</v>
      </c>
      <c r="H337" s="1">
        <f t="shared" si="319"/>
        <v>2.7667180717007297E-2</v>
      </c>
      <c r="I337" s="1">
        <f t="shared" si="319"/>
        <v>1.722768874038171</v>
      </c>
      <c r="J337" s="1">
        <f t="shared" si="319"/>
        <v>2.157555708493915</v>
      </c>
      <c r="K337" s="1">
        <f t="shared" si="319"/>
        <v>2.3834090414829849</v>
      </c>
      <c r="L337" s="1">
        <f t="shared" ref="L337" si="320">IFERROR(L109/L93,0)*L321</f>
        <v>5.5646693189885061E-3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6.3515124682740533E-3</v>
      </c>
      <c r="J338" s="1">
        <f t="shared" si="321"/>
        <v>1.8806150240606032E-2</v>
      </c>
      <c r="K338" s="1">
        <f t="shared" si="321"/>
        <v>2.0600976736945355E-2</v>
      </c>
      <c r="L338" s="1">
        <f t="shared" ref="L338" si="322">IFERROR(L110/L94,0)*L322</f>
        <v>5.7585844596255223E-3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0.7568196093721572</v>
      </c>
      <c r="G340" s="1">
        <f t="shared" si="325"/>
        <v>0.77657716463638948</v>
      </c>
      <c r="H340" s="1">
        <f t="shared" si="325"/>
        <v>8.6256792374884178E-2</v>
      </c>
      <c r="I340" s="1">
        <f t="shared" si="325"/>
        <v>2.5708670095973989E-2</v>
      </c>
      <c r="J340" s="1">
        <f t="shared" si="325"/>
        <v>3.9200058760251434E-2</v>
      </c>
      <c r="K340" s="1">
        <f t="shared" si="325"/>
        <v>1.9083919954198954E-2</v>
      </c>
      <c r="L340" s="1">
        <f t="shared" ref="L340" si="326">IFERROR(L112/L96,0)*L324</f>
        <v>2.8785994964445645E-4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9.0673361820616785E-4</v>
      </c>
      <c r="J341" s="1">
        <f t="shared" si="327"/>
        <v>4.0133392095101205E-3</v>
      </c>
      <c r="K341" s="1">
        <f t="shared" si="327"/>
        <v>5.4754475077996171E-3</v>
      </c>
      <c r="L341" s="1">
        <f t="shared" ref="L341" si="328">IFERROR(L113/L97,0)*L325</f>
        <v>9.4850746840928946E-4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1.1437020815983012</v>
      </c>
      <c r="G342" s="1">
        <f t="shared" ref="G342:K342" si="329">SUM(G343:G357)</f>
        <v>1.281668556533609</v>
      </c>
      <c r="H342" s="1">
        <f t="shared" si="329"/>
        <v>1.4489727045639085</v>
      </c>
      <c r="I342" s="1">
        <f t="shared" si="329"/>
        <v>1.6199977535012677</v>
      </c>
      <c r="J342" s="1">
        <f t="shared" si="329"/>
        <v>1.7023006629267339</v>
      </c>
      <c r="K342" s="1">
        <f t="shared" si="329"/>
        <v>1.8273815305145782</v>
      </c>
      <c r="L342" s="1">
        <f t="shared" ref="L342" si="330">SUM(L343:L357)</f>
        <v>2.1089447929513812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2.1751899447085949E-4</v>
      </c>
      <c r="L343" s="1">
        <f t="shared" ref="L343" si="332">L311-L327</f>
        <v>5.2554824625603118E-3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3.7732353709279401E-4</v>
      </c>
      <c r="J344" s="1">
        <f t="shared" si="333"/>
        <v>8.2409054688098882E-4</v>
      </c>
      <c r="K344" s="1">
        <f t="shared" si="333"/>
        <v>1.8607400354127344E-4</v>
      </c>
      <c r="L344" s="1">
        <f t="shared" ref="L344" si="334">L312-L328</f>
        <v>4.1184863723801597E-2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1.4143895778894995E-4</v>
      </c>
      <c r="L345" s="1">
        <f t="shared" ref="L345" si="336">L313-L329</f>
        <v>6.0432495985007894E-3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3.3632343493294803E-2</v>
      </c>
      <c r="G346" s="1">
        <f t="shared" si="337"/>
        <v>1.4502050324297251E-5</v>
      </c>
      <c r="H346" s="1">
        <f t="shared" si="337"/>
        <v>1.7394803873939102E-2</v>
      </c>
      <c r="I346" s="1">
        <f t="shared" si="337"/>
        <v>3.4776442394713128E-4</v>
      </c>
      <c r="J346" s="1">
        <f t="shared" si="337"/>
        <v>6.3247956723851747E-4</v>
      </c>
      <c r="K346" s="1">
        <f t="shared" si="337"/>
        <v>8.2886121521251509E-5</v>
      </c>
      <c r="L346" s="1">
        <f t="shared" ref="L346" si="338">L314-L330</f>
        <v>0.1135415901732047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4.0591925460062945E-5</v>
      </c>
      <c r="L347" s="1">
        <f t="shared" ref="L347" si="340">L315-L331</f>
        <v>0.40810401928780826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2.3318137039106013E-2</v>
      </c>
      <c r="G348" s="1">
        <f t="shared" si="341"/>
        <v>1.2414009099085188E-2</v>
      </c>
      <c r="H348" s="1">
        <f t="shared" si="341"/>
        <v>6.3257199981928691E-3</v>
      </c>
      <c r="I348" s="1">
        <f t="shared" si="341"/>
        <v>4.9714003484112174E-3</v>
      </c>
      <c r="J348" s="1">
        <f t="shared" si="341"/>
        <v>2.0331307083462993E-3</v>
      </c>
      <c r="K348" s="1">
        <f t="shared" si="341"/>
        <v>1.0691527369279859E-3</v>
      </c>
      <c r="L348" s="1">
        <f t="shared" ref="L348" si="342">L316-L332</f>
        <v>4.0769475139862277E-3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0</v>
      </c>
      <c r="L349" s="1">
        <f t="shared" ref="L349" si="344">L317-L333</f>
        <v>1.6475838484056931E-3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7.1258828083107378E-4</v>
      </c>
      <c r="G351" s="1">
        <f t="shared" si="347"/>
        <v>3.4202351345763785E-5</v>
      </c>
      <c r="H351" s="1">
        <f t="shared" si="347"/>
        <v>1.3481528337110603E-4</v>
      </c>
      <c r="I351" s="1">
        <f t="shared" si="347"/>
        <v>1.1013390719024092E-3</v>
      </c>
      <c r="J351" s="1">
        <f t="shared" si="347"/>
        <v>1.0149232023145115E-3</v>
      </c>
      <c r="K351" s="1">
        <f t="shared" si="347"/>
        <v>7.7038602477649386E-4</v>
      </c>
      <c r="L351" s="1">
        <f t="shared" ref="L351" si="348">L319-L335</f>
        <v>1.7688528584946434E-3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1.8978550147847402E-4</v>
      </c>
      <c r="J352" s="1">
        <f t="shared" si="349"/>
        <v>3.1250468091123008E-4</v>
      </c>
      <c r="K352" s="1">
        <f t="shared" si="349"/>
        <v>3.3833641582437348E-4</v>
      </c>
      <c r="L352" s="1">
        <f t="shared" ref="L352" si="350">L320-L336</f>
        <v>1.4155112162140245E-3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1.0501579106000497E-3</v>
      </c>
      <c r="G353" s="1">
        <f t="shared" si="351"/>
        <v>3.4922615884701693E-5</v>
      </c>
      <c r="H353" s="1">
        <f t="shared" si="351"/>
        <v>3.3521446530078783E-4</v>
      </c>
      <c r="I353" s="1">
        <f t="shared" si="351"/>
        <v>0.22846147611668055</v>
      </c>
      <c r="J353" s="1">
        <f t="shared" si="351"/>
        <v>0.23260839612031692</v>
      </c>
      <c r="K353" s="1">
        <f t="shared" si="351"/>
        <v>0.2722332330266477</v>
      </c>
      <c r="L353" s="1">
        <f t="shared" ref="L353" si="352">L321-L337</f>
        <v>9.8059456448130362E-3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8.4229285538115709E-4</v>
      </c>
      <c r="J354" s="1">
        <f t="shared" si="353"/>
        <v>2.0275112375748063E-3</v>
      </c>
      <c r="K354" s="1">
        <f t="shared" si="353"/>
        <v>2.3530457437200385E-3</v>
      </c>
      <c r="L354" s="1">
        <f t="shared" ref="L354" si="354">L322-L338</f>
        <v>1.0147658911098999E-2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1.0647037863800024</v>
      </c>
      <c r="G355" s="1">
        <f t="shared" si="355"/>
        <v>1.2550084958122114</v>
      </c>
      <c r="H355" s="1">
        <f t="shared" si="355"/>
        <v>1.423737067064474</v>
      </c>
      <c r="I355" s="1">
        <f t="shared" si="355"/>
        <v>1.3801768242348689</v>
      </c>
      <c r="J355" s="1">
        <f t="shared" si="355"/>
        <v>1.4581887440574446</v>
      </c>
      <c r="K355" s="1">
        <f t="shared" si="355"/>
        <v>1.5471436930125271</v>
      </c>
      <c r="L355" s="1">
        <f t="shared" ref="L355" si="356">L323-L339</f>
        <v>1.5037743865168831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2.0285068494466985E-2</v>
      </c>
      <c r="G356" s="1">
        <f t="shared" si="357"/>
        <v>1.4162424604757584E-2</v>
      </c>
      <c r="H356" s="1">
        <f t="shared" si="357"/>
        <v>1.0450838786307537E-3</v>
      </c>
      <c r="I356" s="1">
        <f t="shared" si="357"/>
        <v>3.4093027843924498E-3</v>
      </c>
      <c r="J356" s="1">
        <f t="shared" si="357"/>
        <v>4.2262003989733746E-3</v>
      </c>
      <c r="K356" s="1">
        <f t="shared" si="357"/>
        <v>2.1797673573986168E-3</v>
      </c>
      <c r="L356" s="1">
        <f t="shared" ref="L356" si="358">L324-L340</f>
        <v>5.0726087350779869E-4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1.2024462711264993E-4</v>
      </c>
      <c r="J357" s="1">
        <f t="shared" si="359"/>
        <v>4.3268240673265731E-4</v>
      </c>
      <c r="K357" s="1">
        <f t="shared" si="359"/>
        <v>6.2540619397353885E-4</v>
      </c>
      <c r="L357" s="1">
        <f t="shared" ref="L357" si="360">L325-L341</f>
        <v>1.6714403221018996E-3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22.495513724299485</v>
      </c>
      <c r="G358" s="1">
        <f t="shared" ref="G358:K358" si="362">SUM(G359:G364)</f>
        <v>24.624386410689073</v>
      </c>
      <c r="H358" s="1">
        <f t="shared" si="362"/>
        <v>26.540375356185571</v>
      </c>
      <c r="I358" s="1">
        <f t="shared" si="362"/>
        <v>24.62579737847101</v>
      </c>
      <c r="J358" s="1">
        <f t="shared" si="362"/>
        <v>25.172242037069768</v>
      </c>
      <c r="K358" s="1">
        <f t="shared" si="362"/>
        <v>25.956624722065101</v>
      </c>
      <c r="L358" s="1">
        <f t="shared" ref="L358" si="363">SUM(L359:L364)</f>
        <v>45.37271715321495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18.203592910183175</v>
      </c>
      <c r="G359" s="1">
        <f>'[1]Electricity and CHPs_IN'!C$19</f>
        <v>20.429782855997278</v>
      </c>
      <c r="H359" s="1">
        <f>'[1]Electricity and CHPs_IN'!D$19</f>
        <v>22.936366951459874</v>
      </c>
      <c r="I359" s="1">
        <f>'[1]Electricity and CHPs_IN'!E$19</f>
        <v>20.696586499362994</v>
      </c>
      <c r="J359" s="1">
        <f>'[2]Electricity and CHPs_IN'!F$19</f>
        <v>20.95878065450507</v>
      </c>
      <c r="K359" s="1">
        <f>'[2]Electricity and CHPs_IN'!G$19</f>
        <v>21.451606367210381</v>
      </c>
      <c r="L359" s="1">
        <f>'[2]Electricity and CHPs_IN'!H$19</f>
        <v>6.1190218498234829E-3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25.058686054193746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3.8974753770779271</v>
      </c>
      <c r="G361" s="1">
        <f>IFERROR(G133/SUM(G133,G198),0)*'[1]Electricity and CHPs_IN'!C$26</f>
        <v>3.7854107878246226</v>
      </c>
      <c r="H361" s="1">
        <f>IFERROR(H133/SUM(H133,H198),0)*'[1]Electricity and CHPs_IN'!D$26</f>
        <v>3.6002068600699579</v>
      </c>
      <c r="I361" s="1">
        <f>IFERROR(I133/SUM(I133,I198),0)*'[1]Electricity and CHPs_IN'!E$26</f>
        <v>3.9274584060361821</v>
      </c>
      <c r="J361" s="1">
        <f>IFERROR(J133/SUM(J133,J198),0)*'[2]Electricity and CHPs_IN'!F$26</f>
        <v>4.2098779402126452</v>
      </c>
      <c r="K361" s="1">
        <f>IFERROR(K133/SUM(K133,K198),0)*'[2]Electricity and CHPs_IN'!G$26</f>
        <v>4.5016771134036002</v>
      </c>
      <c r="L361" s="1">
        <f>IFERROR(L133/SUM(L133,L198),0)*'[2]Electricity and CHPs_IN'!H$26</f>
        <v>16.74606338749156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2.573340197065193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0.3944454370383807</v>
      </c>
      <c r="G363" s="1">
        <f>IFERROR(G135/SUM(G135,G274),0)*'[1]Electricity and CHPs_IN'!C$44</f>
        <v>0.40919276686717115</v>
      </c>
      <c r="H363" s="1">
        <f>IFERROR(H135/SUM(H135,H274),0)*'[1]Electricity and CHPs_IN'!D$44</f>
        <v>3.8015446557410782E-3</v>
      </c>
      <c r="I363" s="1">
        <f>IFERROR(I135/SUM(I135,I274),0)*'[1]Electricity and CHPs_IN'!E$44</f>
        <v>1.7524730718346182E-3</v>
      </c>
      <c r="J363" s="1">
        <f>IFERROR(J135/SUM(J135,J274),0)*'[2]Electricity and CHPs_IN'!F$44</f>
        <v>3.5834423520514627E-3</v>
      </c>
      <c r="K363" s="1">
        <f>IFERROR(K135/SUM(K135,K274),0)*'[2]Electricity and CHPs_IN'!G$44</f>
        <v>3.3412414511174494E-3</v>
      </c>
      <c r="L363" s="1">
        <f>IFERROR(L135/SUM(L135,L274),0)*'[2]Electricity and CHPs_IN'!H$44</f>
        <v>9.0674042551353322E-4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0.98760175218911317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11.050534143630552</v>
      </c>
      <c r="G365" s="1">
        <f t="shared" ref="G365:K365" si="364">SUM(G366:G369)</f>
        <v>12.107596821910951</v>
      </c>
      <c r="H365" s="1">
        <f t="shared" si="364"/>
        <v>13.268286905764915</v>
      </c>
      <c r="I365" s="1">
        <f t="shared" si="364"/>
        <v>12.312022452699587</v>
      </c>
      <c r="J365" s="1">
        <f t="shared" si="364"/>
        <v>12.584329297358858</v>
      </c>
      <c r="K365" s="1">
        <f t="shared" si="364"/>
        <v>12.976641740306992</v>
      </c>
      <c r="L365" s="1">
        <f t="shared" ref="L365" si="365">SUM(L366:L369)</f>
        <v>22.192104330300161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9.1017964550915877</v>
      </c>
      <c r="G366" s="1">
        <f t="shared" ref="G366:K366" si="366">G359*IFERROR(G138/G131,0)</f>
        <v>10.214891427998639</v>
      </c>
      <c r="H366" s="1">
        <f t="shared" si="366"/>
        <v>11.468183475729937</v>
      </c>
      <c r="I366" s="1">
        <f t="shared" si="366"/>
        <v>10.348293249681497</v>
      </c>
      <c r="J366" s="1">
        <f t="shared" si="366"/>
        <v>10.479390327252535</v>
      </c>
      <c r="K366" s="1">
        <f t="shared" si="366"/>
        <v>10.725803183605192</v>
      </c>
      <c r="L366" s="1">
        <f t="shared" ref="L366" si="367">L359*IFERROR(L138/L131,0)</f>
        <v>3.0595109249117415E-3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0</v>
      </c>
      <c r="L367" s="1">
        <f t="shared" ref="L367" si="369">L360*IFERROR(L139/L132,0)</f>
        <v>12.529343027096873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1.9487376885389636</v>
      </c>
      <c r="G368" s="1">
        <f t="shared" si="370"/>
        <v>1.8927053939123113</v>
      </c>
      <c r="H368" s="1">
        <f t="shared" si="370"/>
        <v>1.800103430034979</v>
      </c>
      <c r="I368" s="1">
        <f t="shared" si="370"/>
        <v>1.9637292030180911</v>
      </c>
      <c r="J368" s="1">
        <f t="shared" si="370"/>
        <v>2.104938970106323</v>
      </c>
      <c r="K368" s="1">
        <f t="shared" si="370"/>
        <v>2.2508385567017997</v>
      </c>
      <c r="L368" s="1">
        <f t="shared" ref="L368" si="371">L361*IFERROR(L140/L133,0)</f>
        <v>8.3730316937457783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</v>
      </c>
      <c r="L369" s="1">
        <f t="shared" ref="L369" si="373">L362*IFERROR(L141/L134,0)</f>
        <v>1.2866700985325965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11.444979580668932</v>
      </c>
      <c r="G372" s="1">
        <f t="shared" ref="G372:K372" si="378">SUM(G373:G378)</f>
        <v>12.516789588778122</v>
      </c>
      <c r="H372" s="1">
        <f t="shared" si="378"/>
        <v>13.272088450420656</v>
      </c>
      <c r="I372" s="1">
        <f t="shared" si="378"/>
        <v>12.313774925771421</v>
      </c>
      <c r="J372" s="1">
        <f t="shared" si="378"/>
        <v>12.587912739710907</v>
      </c>
      <c r="K372" s="1">
        <f t="shared" si="378"/>
        <v>12.979982981758109</v>
      </c>
      <c r="L372" s="1">
        <f t="shared" ref="L372" si="379">SUM(L373:L378)</f>
        <v>23.180612822914789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9.1017964550915877</v>
      </c>
      <c r="G373" s="1">
        <f t="shared" si="380"/>
        <v>10.214891427998639</v>
      </c>
      <c r="H373" s="1">
        <f t="shared" si="380"/>
        <v>11.468183475729937</v>
      </c>
      <c r="I373" s="1">
        <f t="shared" si="380"/>
        <v>10.348293249681497</v>
      </c>
      <c r="J373" s="1">
        <f t="shared" si="380"/>
        <v>10.479390327252535</v>
      </c>
      <c r="K373" s="1">
        <f t="shared" si="380"/>
        <v>10.725803183605191</v>
      </c>
      <c r="L373" s="1">
        <f t="shared" ref="L373" si="381">L366*IFERROR(L145/L138,0)</f>
        <v>3.0595109249117415E-3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0</v>
      </c>
      <c r="L374" s="1">
        <f t="shared" ref="L374" si="383">L367*IFERROR(L146/L139,0)</f>
        <v>12.529343027096873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1.9487376885389636</v>
      </c>
      <c r="G375" s="1">
        <f t="shared" si="384"/>
        <v>1.8927053939123113</v>
      </c>
      <c r="H375" s="1">
        <f t="shared" si="384"/>
        <v>1.800103430034979</v>
      </c>
      <c r="I375" s="1">
        <f t="shared" si="384"/>
        <v>1.9637292030180911</v>
      </c>
      <c r="J375" s="1">
        <f t="shared" si="384"/>
        <v>2.1049389701063221</v>
      </c>
      <c r="K375" s="1">
        <f t="shared" si="384"/>
        <v>2.2508385567018001</v>
      </c>
      <c r="L375" s="1">
        <f t="shared" ref="L375" si="385">L368*IFERROR(L147/L140,0)</f>
        <v>8.37303169374578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</v>
      </c>
      <c r="L376" s="1">
        <f t="shared" ref="L376" si="387">L369*IFERROR(L148/L141,0)</f>
        <v>1.2866700985325965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0.3944454370383807</v>
      </c>
      <c r="G377" s="1">
        <f t="shared" ref="G377:K377" si="388">G363</f>
        <v>0.40919276686717115</v>
      </c>
      <c r="H377" s="1">
        <f t="shared" si="388"/>
        <v>3.8015446557410782E-3</v>
      </c>
      <c r="I377" s="1">
        <f t="shared" si="388"/>
        <v>1.7524730718346182E-3</v>
      </c>
      <c r="J377" s="1">
        <f t="shared" si="388"/>
        <v>3.5834423520514627E-3</v>
      </c>
      <c r="K377" s="1">
        <f t="shared" si="388"/>
        <v>3.3412414511174494E-3</v>
      </c>
      <c r="L377" s="1">
        <f t="shared" ref="L377" si="389">L363</f>
        <v>9.0674042551353322E-4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0</v>
      </c>
      <c r="L378" s="1">
        <f t="shared" ref="L378" si="391">L364</f>
        <v>0.98760175218911317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0.18092069480103751</v>
      </c>
      <c r="G379" s="1">
        <f t="shared" ref="G379:K379" si="392">SUM(G380:G386)</f>
        <v>0.16227120255614966</v>
      </c>
      <c r="H379" s="1">
        <f t="shared" si="392"/>
        <v>1.3489875366597841</v>
      </c>
      <c r="I379" s="1">
        <f t="shared" si="392"/>
        <v>3.4460066155266373</v>
      </c>
      <c r="J379" s="1">
        <f t="shared" si="392"/>
        <v>4.3454736939180396</v>
      </c>
      <c r="K379" s="1">
        <f t="shared" si="392"/>
        <v>5.7404771152950476</v>
      </c>
      <c r="L379" s="1">
        <f t="shared" ref="L379" si="393">SUM(L380:L386)</f>
        <v>6.8660332635812402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2.1184558060533713E-5</v>
      </c>
      <c r="G380" s="1">
        <f>IFERROR(G152/SUM(G152,G207),0)*'[1]Electricity and CHPs_IN'!C$25</f>
        <v>1.7563899792516411E-3</v>
      </c>
      <c r="H380" s="1">
        <f>IFERROR(H152/SUM(H152,H207),0)*'[1]Electricity and CHPs_IN'!D$25</f>
        <v>1.8731940686671591E-3</v>
      </c>
      <c r="I380" s="1">
        <f>IFERROR(I152/SUM(I152,I207),0)*'[1]Electricity and CHPs_IN'!E$25</f>
        <v>7.7195045685218344E-2</v>
      </c>
      <c r="J380" s="1">
        <f>IFERROR(J152/SUM(J152,J207),0)*'[2]Electricity and CHPs_IN'!F$25</f>
        <v>0.13273205347520184</v>
      </c>
      <c r="K380" s="1">
        <f>IFERROR(K152/SUM(K152,K207),0)*'[2]Electricity and CHPs_IN'!G$25</f>
        <v>0.13887717782435488</v>
      </c>
      <c r="L380" s="1">
        <f>IFERROR(L152/SUM(L152,L207),0)*'[2]Electricity and CHPs_IN'!H$25</f>
        <v>0.12982714184089453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0.49492368809265735</v>
      </c>
      <c r="L381" s="1">
        <f>'[2]Electricity and CHPs_IN'!H$31</f>
        <v>0.55949240527088928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0.18089951024297699</v>
      </c>
      <c r="G382" s="1">
        <f>IFERROR(G154/SUM(G154,G283),0)*'[1]Electricity and CHPs_IN'!C$42</f>
        <v>0.16051481257689801</v>
      </c>
      <c r="H382" s="1">
        <f>IFERROR(H154/SUM(H154,H283),0)*'[1]Electricity and CHPs_IN'!D$42</f>
        <v>1.347114342591117</v>
      </c>
      <c r="I382" s="1">
        <f>IFERROR(I154/SUM(I154,I283),0)*'[1]Electricity and CHPs_IN'!E$42</f>
        <v>3.0312221501609025</v>
      </c>
      <c r="J382" s="1">
        <f>IFERROR(J154/SUM(J154,J283),0)*'[2]Electricity and CHPs_IN'!F$42</f>
        <v>3.6603048895105901</v>
      </c>
      <c r="K382" s="1">
        <f>IFERROR(K154/SUM(K154,K283),0)*'[2]Electricity and CHPs_IN'!G$42</f>
        <v>4.1833443112032667</v>
      </c>
      <c r="L382" s="1">
        <f>IFERROR(L154/SUM(L154,L283),0)*'[2]Electricity and CHPs_IN'!H$42</f>
        <v>3.1669960391011864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1.3595662165558817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0.12319404709015754</v>
      </c>
      <c r="J384" s="1">
        <f>IFERROR(J156/SUM(J285,J156),0)*'[2]Electricity and CHPs_IN'!F$50</f>
        <v>0.17993763623257145</v>
      </c>
      <c r="K384" s="1">
        <f>IFERROR(K156/SUM(K285,K156),0)*'[2]Electricity and CHPs_IN'!G$50</f>
        <v>0.28026044634175984</v>
      </c>
      <c r="L384" s="1">
        <f>IFERROR(L156/SUM(L285,L156),0)*'[2]Electricity and CHPs_IN'!H$50</f>
        <v>0.24791973239109263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0.12497476185647073</v>
      </c>
      <c r="J385" s="1">
        <f>IFERROR(J157/SUM(J286,J157),0)*'[2]Electricity and CHPs_IN'!F$53</f>
        <v>0.18130679349594395</v>
      </c>
      <c r="K385" s="1">
        <f>IFERROR(K157/SUM(K286,K157),0)*'[2]Electricity and CHPs_IN'!G$53</f>
        <v>0.34368506849012892</v>
      </c>
      <c r="L385" s="1">
        <f>IFERROR(L157/SUM(L286,L157),0)*'[2]Electricity and CHPs_IN'!H$53</f>
        <v>1.2010771707640953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8.9420610733888226E-2</v>
      </c>
      <c r="J386" s="1">
        <f>IFERROR(J158/SUM(J287,J158),0)*'[2]Electricity and CHPs_IN'!F$56</f>
        <v>0.19119232120373184</v>
      </c>
      <c r="K386" s="1">
        <f>IFERROR(K158/SUM(K287,K158),0)*'[2]Electricity and CHPs_IN'!G$56</f>
        <v>0.29938642334287885</v>
      </c>
      <c r="L386" s="1">
        <f>IFERROR(L158/SUM(L287,L158),0)*'[2]Electricity and CHPs_IN'!H$56</f>
        <v>0.20115455765720081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0.54529224331287351</v>
      </c>
      <c r="H387" s="1">
        <f t="shared" si="394"/>
        <v>0.50316484164642317</v>
      </c>
      <c r="I387" s="1">
        <f t="shared" si="394"/>
        <v>1.6453367237501542</v>
      </c>
      <c r="J387" s="1">
        <f t="shared" si="394"/>
        <v>0.88048814439042689</v>
      </c>
      <c r="K387" s="1">
        <f t="shared" si="394"/>
        <v>0.88052878257614553</v>
      </c>
      <c r="L387" s="1">
        <f t="shared" si="394"/>
        <v>0.88053843110220575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0.54529224331287351</v>
      </c>
      <c r="H388" s="1">
        <f>'[1]Electricity and CHPs_IN'!D$33</f>
        <v>0.50316484164642317</v>
      </c>
      <c r="I388" s="1">
        <f>'[1]Electricity and CHPs_IN'!E$33</f>
        <v>1.6453367237501542</v>
      </c>
      <c r="J388" s="1">
        <f>'[2]Electricity and CHPs_IN'!F$33</f>
        <v>0.88048814439042689</v>
      </c>
      <c r="K388" s="1">
        <f>'[2]Electricity and CHPs_IN'!G$33</f>
        <v>0.88052878257614553</v>
      </c>
      <c r="L388" s="1">
        <f>'[2]Electricity and CHPs_IN'!H$33</f>
        <v>0.88053843110220575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12.821412724156708</v>
      </c>
      <c r="H389" s="1">
        <f t="shared" si="395"/>
        <v>28.800005811017826</v>
      </c>
      <c r="I389" s="1">
        <f t="shared" si="395"/>
        <v>31.1749998053978</v>
      </c>
      <c r="J389" s="1">
        <f t="shared" si="395"/>
        <v>48.057737766763218</v>
      </c>
      <c r="K389" s="1">
        <f t="shared" si="395"/>
        <v>56.315945218749327</v>
      </c>
      <c r="L389" s="1">
        <f t="shared" ref="L389" si="396">SUM(L390:L394)</f>
        <v>80.097240546564933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0.14080434674055581</v>
      </c>
      <c r="I390" s="1">
        <f>'[1]Electricity and CHPs_IN'!E34</f>
        <v>0.15585162782118711</v>
      </c>
      <c r="J390" s="1">
        <f>'[2]Electricity and CHPs_IN'!F34</f>
        <v>0.19115005553398742</v>
      </c>
      <c r="K390" s="1">
        <f>'[2]Electricity and CHPs_IN'!G34</f>
        <v>0.19186797926130883</v>
      </c>
      <c r="L390" s="1">
        <f>'[2]Electricity and CHPs_IN'!H34</f>
        <v>1.5236548026746457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4.848622423149628</v>
      </c>
      <c r="H391" s="1">
        <f>'[1]Electricity and CHPs_IN'!D35</f>
        <v>11.161489912978602</v>
      </c>
      <c r="I391" s="1">
        <f>'[1]Electricity and CHPs_IN'!E35</f>
        <v>12.114544139753489</v>
      </c>
      <c r="J391" s="1">
        <f>'[2]Electricity and CHPs_IN'!F35</f>
        <v>27.952199311364673</v>
      </c>
      <c r="K391" s="1">
        <f>'[2]Electricity and CHPs_IN'!G35</f>
        <v>35.145616836081508</v>
      </c>
      <c r="L391" s="1">
        <f>'[2]Electricity and CHPs_IN'!H35</f>
        <v>55.292138380096802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3.3907066836683386</v>
      </c>
      <c r="H392" s="1">
        <f>'[1]Electricity and CHPs_IN'!D36</f>
        <v>4.0431317335185133</v>
      </c>
      <c r="I392" s="1">
        <f>'[1]Electricity and CHPs_IN'!E36</f>
        <v>4.3470234397317018</v>
      </c>
      <c r="J392" s="1">
        <f>'[2]Electricity and CHPs_IN'!F36</f>
        <v>4.6138580767758626</v>
      </c>
      <c r="K392" s="1">
        <f>'[2]Electricity and CHPs_IN'!G36</f>
        <v>4.8974019742463524</v>
      </c>
      <c r="L392" s="1">
        <f>'[2]Electricity and CHPs_IN'!H36</f>
        <v>5.517834197817912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1.2876283870134038</v>
      </c>
      <c r="H393" s="1">
        <f>'[1]Electricity and CHPs_IN'!D37</f>
        <v>3.4879951224680696</v>
      </c>
      <c r="I393" s="1">
        <f>'[1]Electricity and CHPs_IN'!E37</f>
        <v>3.8198681208559986</v>
      </c>
      <c r="J393" s="1">
        <f>'[2]Electricity and CHPs_IN'!F37</f>
        <v>4.0150497660213933</v>
      </c>
      <c r="K393" s="1">
        <f>'[2]Electricity and CHPs_IN'!G37</f>
        <v>4.2198783738302748</v>
      </c>
      <c r="L393" s="1">
        <f>'[2]Electricity and CHPs_IN'!H37</f>
        <v>4.6614116495291018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3.294455230325338</v>
      </c>
      <c r="H394" s="1">
        <f>'[1]Electricity and CHPs_IN'!D38</f>
        <v>9.9665846953120827</v>
      </c>
      <c r="I394" s="1">
        <f>'[1]Electricity and CHPs_IN'!E38</f>
        <v>10.737712477235423</v>
      </c>
      <c r="J394" s="1">
        <f>'[2]Electricity and CHPs_IN'!F38</f>
        <v>11.2854805570673</v>
      </c>
      <c r="K394" s="1">
        <f>'[2]Electricity and CHPs_IN'!G38</f>
        <v>11.861180055329882</v>
      </c>
      <c r="L394" s="1">
        <f>'[2]Electricity and CHPs_IN'!H38</f>
        <v>13.102201516446467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</v>
      </c>
      <c r="L396" s="1">
        <f>'[2]Electricity and CHPs_IN'!H$32</f>
        <v>0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4.1942788197668439E-3</v>
      </c>
      <c r="J397" s="1">
        <f t="shared" ref="J397" si="401">SUM(J398:J400)</f>
        <v>1.2885618840664578E-2</v>
      </c>
      <c r="K397" s="1">
        <f t="shared" ref="K397:L397" si="402">SUM(K398:K400)</f>
        <v>0.18451403881074172</v>
      </c>
      <c r="L397" s="1">
        <f t="shared" si="402"/>
        <v>0.27014593738243825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0.17222914105810291</v>
      </c>
      <c r="L398" s="1">
        <f>IFERROR(L170/SUM(L170,L209),0)*'[2]Electricity and CHPs_IN'!H$30</f>
        <v>0.1686066503872079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8.6560424742611122E-3</v>
      </c>
      <c r="K399" s="1">
        <f>IFERROR(K171/SUM(K171,K289),0)*'[2]Electricity and CHPs_IN'!G$46</f>
        <v>6.1792296417666074E-3</v>
      </c>
      <c r="L399" s="1">
        <f>IFERROR(L171/SUM(L171,L289),0)*'[2]Electricity and CHPs_IN'!H$46</f>
        <v>9.3469989934751918E-2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4.1942788197668439E-3</v>
      </c>
      <c r="J400" s="1">
        <f>IFERROR(J172/SUM(J172,J290),0)*'[2]Electricity and CHPs_IN'!F$57</f>
        <v>4.2295763664034654E-3</v>
      </c>
      <c r="K400" s="1">
        <f>IFERROR(K172/SUM(K172,K290),0)*'[2]Electricity and CHPs_IN'!G$57</f>
        <v>6.105668110872175E-3</v>
      </c>
      <c r="L400" s="1">
        <f>IFERROR(L172/SUM(L172,L290),0)*'[2]Electricity and CHPs_IN'!H$57</f>
        <v>8.069297060478417E-3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0.16869266037851247</v>
      </c>
      <c r="G401" s="1">
        <f t="shared" ref="G401:K401" si="403">SUM(G402:G408)</f>
        <v>4.2955337908309736E-2</v>
      </c>
      <c r="H401" s="1">
        <f t="shared" si="403"/>
        <v>0.43440832806451735</v>
      </c>
      <c r="I401" s="1">
        <f t="shared" si="403"/>
        <v>1.0969631754705589</v>
      </c>
      <c r="J401" s="1">
        <f t="shared" si="403"/>
        <v>1.1498926637051916</v>
      </c>
      <c r="K401" s="1">
        <f t="shared" si="403"/>
        <v>1.3332256927714374</v>
      </c>
      <c r="L401" s="1">
        <f t="shared" ref="L401" si="404">SUM(L402:L408)</f>
        <v>2.5676795812771127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0.13523219023012664</v>
      </c>
      <c r="G402" s="1">
        <f>'[1]Electricity and CHPs_IN'!C63</f>
        <v>1.3221320379185442E-2</v>
      </c>
      <c r="H402" s="1">
        <f>'[1]Electricity and CHPs_IN'!D63</f>
        <v>2.3176958480957667E-2</v>
      </c>
      <c r="I402" s="1">
        <f>'[1]Electricity and CHPs_IN'!E63</f>
        <v>0.13499746364737347</v>
      </c>
      <c r="J402" s="1">
        <f>'[2]Electricity and CHPs_IN'!F63</f>
        <v>9.8977067021130578E-3</v>
      </c>
      <c r="K402" s="1">
        <f>'[2]Electricity and CHPs_IN'!G63</f>
        <v>5.9969405315889041E-3</v>
      </c>
      <c r="L402" s="1">
        <f>'[2]Electricity and CHPs_IN'!H63</f>
        <v>0.13483963234531984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9.4740996940955603E-3</v>
      </c>
      <c r="G403" s="1">
        <f>'[1]Electricity and CHPs_IN'!C64</f>
        <v>7.4857559684559007E-3</v>
      </c>
      <c r="H403" s="1">
        <f>'[1]Electricity and CHPs_IN'!D64</f>
        <v>1.9594448215244406E-2</v>
      </c>
      <c r="I403" s="1">
        <f>'[1]Electricity and CHPs_IN'!E64</f>
        <v>7.0135594024316975E-2</v>
      </c>
      <c r="J403" s="1">
        <f>'[2]Electricity and CHPs_IN'!F64</f>
        <v>6.116508025911891E-2</v>
      </c>
      <c r="K403" s="1">
        <f>'[2]Electricity and CHPs_IN'!G64</f>
        <v>6.1372938023353543E-2</v>
      </c>
      <c r="L403" s="1">
        <f>'[2]Electricity and CHPs_IN'!H64</f>
        <v>0.48067779877178324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8.3822232631575698E-3</v>
      </c>
      <c r="G404" s="1">
        <f>'[1]Electricity and CHPs_IN'!C65</f>
        <v>6.7248995920868096E-3</v>
      </c>
      <c r="H404" s="1">
        <f>'[1]Electricity and CHPs_IN'!D65</f>
        <v>1.810338568997388E-2</v>
      </c>
      <c r="I404" s="1">
        <f>'[1]Electricity and CHPs_IN'!E65</f>
        <v>8.2338094975933807E-2</v>
      </c>
      <c r="J404" s="1">
        <f>'[2]Electricity and CHPs_IN'!F65</f>
        <v>4.2355339914410289E-2</v>
      </c>
      <c r="K404" s="1">
        <f>'[2]Electricity and CHPs_IN'!G65</f>
        <v>3.4323786426794532E-2</v>
      </c>
      <c r="L404" s="1">
        <f>'[2]Electricity and CHPs_IN'!H65</f>
        <v>7.2053844256013064E-2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2.6241354928878912E-3</v>
      </c>
      <c r="G405" s="1">
        <f>'[1]Electricity and CHPs_IN'!C66</f>
        <v>2.6102405822054199E-3</v>
      </c>
      <c r="H405" s="1">
        <f>'[1]Electricity and CHPs_IN'!D66</f>
        <v>8.2892664609824654E-2</v>
      </c>
      <c r="I405" s="1">
        <f>'[1]Electricity and CHPs_IN'!E66</f>
        <v>0.18865279450622618</v>
      </c>
      <c r="J405" s="1">
        <f>'[2]Electricity and CHPs_IN'!F66</f>
        <v>0.44343424556495858</v>
      </c>
      <c r="K405" s="1">
        <f>'[2]Electricity and CHPs_IN'!G66</f>
        <v>0.64498962466460563</v>
      </c>
      <c r="L405" s="1">
        <f>'[2]Electricity and CHPs_IN'!H66</f>
        <v>1.2671140169865827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5.1332651297649251E-3</v>
      </c>
      <c r="G406" s="1">
        <f>'[1]Electricity and CHPs_IN'!C67</f>
        <v>5.1077179705996522E-3</v>
      </c>
      <c r="H406" s="1">
        <f>'[1]Electricity and CHPs_IN'!D67</f>
        <v>0.12515133236391174</v>
      </c>
      <c r="I406" s="1">
        <f>'[1]Electricity and CHPs_IN'!E67</f>
        <v>0.26302649320611782</v>
      </c>
      <c r="J406" s="1">
        <f>'[2]Electricity and CHPs_IN'!F67</f>
        <v>0.24766355755937314</v>
      </c>
      <c r="K406" s="1">
        <f>'[2]Electricity and CHPs_IN'!G67</f>
        <v>0.24179369162316933</v>
      </c>
      <c r="L406" s="1">
        <f>'[2]Electricity and CHPs_IN'!H67</f>
        <v>0.2515619175030761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5.1774380681421173E-3</v>
      </c>
      <c r="G407" s="1">
        <f>'[1]Electricity and CHPs_IN'!C68</f>
        <v>5.1508086680583289E-3</v>
      </c>
      <c r="H407" s="1">
        <f>'[1]Electricity and CHPs_IN'!D68</f>
        <v>5.7802535495026668E-2</v>
      </c>
      <c r="I407" s="1">
        <f>'[1]Electricity and CHPs_IN'!E68</f>
        <v>0.10590525499054955</v>
      </c>
      <c r="J407" s="1">
        <f>'[2]Electricity and CHPs_IN'!F68</f>
        <v>0.11071084754392391</v>
      </c>
      <c r="K407" s="1">
        <f>'[2]Electricity and CHPs_IN'!G68</f>
        <v>0.10724384521289848</v>
      </c>
      <c r="L407" s="1">
        <f>'[2]Electricity and CHPs_IN'!H68</f>
        <v>0.1096732742695935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2.6693085003377426E-3</v>
      </c>
      <c r="G408" s="1">
        <f>'[1]Electricity and CHPs_IN'!C69</f>
        <v>2.6545947477181831E-3</v>
      </c>
      <c r="H408" s="1">
        <f>'[1]Electricity and CHPs_IN'!D69</f>
        <v>0.10768700320957836</v>
      </c>
      <c r="I408" s="1">
        <f>'[1]Electricity and CHPs_IN'!E69</f>
        <v>0.25190748012004099</v>
      </c>
      <c r="J408" s="1">
        <f>'[2]Electricity and CHPs_IN'!F69</f>
        <v>0.23466588616129375</v>
      </c>
      <c r="K408" s="1">
        <f>'[2]Electricity and CHPs_IN'!G69</f>
        <v>0.23750486628902692</v>
      </c>
      <c r="L408" s="1">
        <f>'[2]Electricity and CHPs_IN'!H69</f>
        <v>0.25175909714474465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55.998642825093469</v>
      </c>
      <c r="G409" s="3">
        <f t="shared" ref="G409:K409" si="406">G410+G463</f>
        <v>57.935578782761013</v>
      </c>
      <c r="H409" s="3">
        <f t="shared" si="406"/>
        <v>52.158931962086463</v>
      </c>
      <c r="I409" s="3">
        <f t="shared" si="406"/>
        <v>73.619309450364355</v>
      </c>
      <c r="J409" s="3">
        <f t="shared" si="406"/>
        <v>81.98167664733991</v>
      </c>
      <c r="K409" s="3">
        <f t="shared" si="406"/>
        <v>86.685314319045716</v>
      </c>
      <c r="L409" s="3">
        <f t="shared" ref="L409" si="407">L410+L463</f>
        <v>73.357059460128028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48.024932994853664</v>
      </c>
      <c r="G410" s="1">
        <f t="shared" si="408"/>
        <v>49.898749520577475</v>
      </c>
      <c r="H410" s="1">
        <f t="shared" si="408"/>
        <v>45.148285597209721</v>
      </c>
      <c r="I410" s="1">
        <f t="shared" si="408"/>
        <v>60.008437927749213</v>
      </c>
      <c r="J410" s="1">
        <f t="shared" si="408"/>
        <v>65.85466288391234</v>
      </c>
      <c r="K410" s="1">
        <f t="shared" si="408"/>
        <v>68.587402649825918</v>
      </c>
      <c r="L410" s="1">
        <f t="shared" ref="L410" si="409">L411+L440</f>
        <v>53.739718833612471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38.855026286779648</v>
      </c>
      <c r="G411" s="1">
        <f t="shared" ref="G411:K411" si="410">SUM(G412,G418,G427,G436,G438)</f>
        <v>36.498036008821636</v>
      </c>
      <c r="H411" s="1">
        <f t="shared" si="410"/>
        <v>35.724478340294183</v>
      </c>
      <c r="I411" s="1">
        <f t="shared" si="410"/>
        <v>35.429652840039992</v>
      </c>
      <c r="J411" s="1">
        <f t="shared" si="410"/>
        <v>36.632920568004764</v>
      </c>
      <c r="K411" s="1">
        <f t="shared" si="410"/>
        <v>37.917408328732293</v>
      </c>
      <c r="L411" s="1">
        <f t="shared" ref="L411" si="411">SUM(L412,L418,L427,L436,L438)</f>
        <v>24.758838794121335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2.3144567270278475E-2</v>
      </c>
      <c r="G412" s="1">
        <f t="shared" ref="G412:L412" si="412">G413</f>
        <v>1.7653249789384595</v>
      </c>
      <c r="H412" s="1">
        <f t="shared" si="412"/>
        <v>2.6822934305441533E-2</v>
      </c>
      <c r="I412" s="1">
        <f t="shared" si="412"/>
        <v>1.868837006075811E-3</v>
      </c>
      <c r="J412" s="1">
        <f t="shared" si="412"/>
        <v>5.8390480181293222E-3</v>
      </c>
      <c r="K412" s="1">
        <f t="shared" si="412"/>
        <v>7.8060279808321044E-4</v>
      </c>
      <c r="L412" s="1">
        <f t="shared" si="412"/>
        <v>1.5856354102020896E-4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2.3144567270278475E-2</v>
      </c>
      <c r="G413" s="1">
        <f>'[1]Electricity and CHPs_IN'!C$28-G300</f>
        <v>1.7653249789384595</v>
      </c>
      <c r="H413" s="1">
        <f>'[1]Electricity and CHPs_IN'!D$28-H300</f>
        <v>2.6822934305441533E-2</v>
      </c>
      <c r="I413" s="1">
        <f>'[1]Electricity and CHPs_IN'!E$28-I300</f>
        <v>1.868837006075811E-3</v>
      </c>
      <c r="J413" s="1">
        <f>'[2]Electricity and CHPs_IN'!F$28-J300</f>
        <v>5.8390480181293222E-3</v>
      </c>
      <c r="K413" s="1">
        <f>'[2]Electricity and CHPs_IN'!G$28-K300</f>
        <v>7.8060279808321044E-4</v>
      </c>
      <c r="L413" s="1">
        <f>'[2]Electricity and CHPs_IN'!H$28-L300</f>
        <v>1.5856354102020896E-4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2.3144567270278475E-2</v>
      </c>
      <c r="G414" s="1">
        <f t="shared" ref="G414:L414" si="413">G415</f>
        <v>1.7653249789384595</v>
      </c>
      <c r="H414" s="1">
        <f t="shared" si="413"/>
        <v>2.6822934305441533E-2</v>
      </c>
      <c r="I414" s="1">
        <f t="shared" si="413"/>
        <v>1.868837006075811E-3</v>
      </c>
      <c r="J414" s="1">
        <f t="shared" si="413"/>
        <v>5.8390480181293222E-3</v>
      </c>
      <c r="K414" s="1">
        <f t="shared" si="413"/>
        <v>7.8060279808321044E-4</v>
      </c>
      <c r="L414" s="1">
        <f t="shared" si="413"/>
        <v>1.5856354102020896E-4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2.3144567270278475E-2</v>
      </c>
      <c r="G415" s="1">
        <f t="shared" ref="G415:K415" si="414">G413-G417</f>
        <v>1.7653249789384595</v>
      </c>
      <c r="H415" s="1">
        <f t="shared" si="414"/>
        <v>2.6822934305441533E-2</v>
      </c>
      <c r="I415" s="1">
        <f t="shared" si="414"/>
        <v>1.868837006075811E-3</v>
      </c>
      <c r="J415" s="1">
        <f t="shared" si="414"/>
        <v>5.8390480181293222E-3</v>
      </c>
      <c r="K415" s="1">
        <f t="shared" si="414"/>
        <v>7.8060279808321044E-4</v>
      </c>
      <c r="L415" s="1">
        <f t="shared" ref="L415" si="415">L413-L417</f>
        <v>1.5856354102020896E-4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2.405831155835477</v>
      </c>
      <c r="G418" s="1">
        <f t="shared" ref="G418:K418" si="419">SUM(G419:G420)</f>
        <v>1.5558871412924297E-3</v>
      </c>
      <c r="H418" s="1">
        <f t="shared" si="419"/>
        <v>2.9105301847794447</v>
      </c>
      <c r="I418" s="1">
        <f t="shared" si="419"/>
        <v>6.3523883747074027E-3</v>
      </c>
      <c r="J418" s="1">
        <f t="shared" si="419"/>
        <v>1.3824961912021559E-2</v>
      </c>
      <c r="K418" s="1">
        <f t="shared" si="419"/>
        <v>2.2155590427127012E-3</v>
      </c>
      <c r="L418" s="1">
        <f t="shared" ref="L418" si="420">SUM(L419:L420)</f>
        <v>1.2201353526776249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2.405831155835477</v>
      </c>
      <c r="G419" s="1">
        <f>'[1]Electricity and CHPs_IN'!C$24-G314</f>
        <v>1.5558871412924297E-3</v>
      </c>
      <c r="H419" s="1">
        <f>'[1]Electricity and CHPs_IN'!D$24-H314</f>
        <v>2.9105301847794447</v>
      </c>
      <c r="I419" s="1">
        <f>'[1]Electricity and CHPs_IN'!E$24-I314</f>
        <v>6.3523883747074027E-3</v>
      </c>
      <c r="J419" s="1">
        <f>'[2]Electricity and CHPs_IN'!F$24-J314</f>
        <v>1.3824961912021559E-2</v>
      </c>
      <c r="K419" s="1">
        <f>'[2]Electricity and CHPs_IN'!G$24-K314</f>
        <v>1.7106905486178143E-3</v>
      </c>
      <c r="L419" s="1">
        <f>'[2]Electricity and CHPs_IN'!H$24-L314</f>
        <v>0.37254010648264674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5.0486849409488665E-4</v>
      </c>
      <c r="L420" s="1">
        <f>'[2]Electricity and CHPs_IN'!H$29-L315</f>
        <v>0.84759524619497817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2.3430308006552432</v>
      </c>
      <c r="G421" s="1">
        <f t="shared" ref="G421:K421" si="421">SUM(G422:G423)</f>
        <v>1.5280206544845388E-3</v>
      </c>
      <c r="H421" s="1">
        <f t="shared" si="421"/>
        <v>2.8756884573743164</v>
      </c>
      <c r="I421" s="1">
        <f t="shared" si="421"/>
        <v>5.6086135431828105E-3</v>
      </c>
      <c r="J421" s="1">
        <f t="shared" si="421"/>
        <v>1.247953035333834E-2</v>
      </c>
      <c r="K421" s="1">
        <f t="shared" si="421"/>
        <v>1.9884392958445063E-3</v>
      </c>
      <c r="L421" s="1">
        <f t="shared" ref="L421" si="422">SUM(L422:L423)</f>
        <v>0.4417292202067592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2.3430308006552432</v>
      </c>
      <c r="G422" s="1">
        <f t="shared" ref="G422:K422" si="423">G419-G425</f>
        <v>1.5280206544845388E-3</v>
      </c>
      <c r="H422" s="1">
        <f t="shared" si="423"/>
        <v>2.8756884573743164</v>
      </c>
      <c r="I422" s="1">
        <f t="shared" si="423"/>
        <v>5.6086135431828105E-3</v>
      </c>
      <c r="J422" s="1">
        <f t="shared" si="423"/>
        <v>1.247953035333834E-2</v>
      </c>
      <c r="K422" s="1">
        <f t="shared" si="423"/>
        <v>1.5353255067112001E-3</v>
      </c>
      <c r="L422" s="1">
        <f t="shared" ref="L422" si="424">L419-L425</f>
        <v>0.134871799568127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4.5311378913330639E-4</v>
      </c>
      <c r="L423" s="1">
        <f t="shared" ref="L423" si="426">L420-L426</f>
        <v>0.30685742063863219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6.2800355180234066E-2</v>
      </c>
      <c r="G424" s="1">
        <f t="shared" ref="G424:K424" si="427">SUM(G425:G426)</f>
        <v>2.7866486807891047E-5</v>
      </c>
      <c r="H424" s="1">
        <f t="shared" si="427"/>
        <v>3.4841727405128281E-2</v>
      </c>
      <c r="I424" s="1">
        <f t="shared" si="427"/>
        <v>7.4377483152459191E-4</v>
      </c>
      <c r="J424" s="1">
        <f t="shared" si="427"/>
        <v>1.3454315586832186E-3</v>
      </c>
      <c r="K424" s="1">
        <f t="shared" si="427"/>
        <v>2.2711974686819453E-4</v>
      </c>
      <c r="L424" s="1">
        <f t="shared" ref="L424" si="428">SUM(L425:L426)</f>
        <v>0.77840613247086576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6.2800355180234066E-2</v>
      </c>
      <c r="G425" s="1">
        <f t="shared" ref="G425:K425" si="429">IFERROR(G346/G314,0)*G419</f>
        <v>2.7866486807891047E-5</v>
      </c>
      <c r="H425" s="1">
        <f t="shared" si="429"/>
        <v>3.4841727405128281E-2</v>
      </c>
      <c r="I425" s="1">
        <f t="shared" si="429"/>
        <v>7.4377483152459191E-4</v>
      </c>
      <c r="J425" s="1">
        <f t="shared" si="429"/>
        <v>1.3454315586832186E-3</v>
      </c>
      <c r="K425" s="1">
        <f t="shared" si="429"/>
        <v>1.7536504190661425E-4</v>
      </c>
      <c r="L425" s="1">
        <f t="shared" ref="L425" si="430">IFERROR(L346/L314,0)*L419</f>
        <v>0.23766830691451973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5.1754704961580281E-5</v>
      </c>
      <c r="L426" s="1">
        <f t="shared" ref="L426" si="432">IFERROR(L347/L315,0)*L420</f>
        <v>0.54073782555634597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36.420448886284916</v>
      </c>
      <c r="G427" s="1">
        <f t="shared" ref="G427:K427" si="433">SUM(G428:G429)</f>
        <v>34.687807861201172</v>
      </c>
      <c r="H427" s="1">
        <f t="shared" si="433"/>
        <v>32.726074862664703</v>
      </c>
      <c r="I427" s="1">
        <f t="shared" si="433"/>
        <v>35.219552309528666</v>
      </c>
      <c r="J427" s="1">
        <f t="shared" si="433"/>
        <v>36.266137717917566</v>
      </c>
      <c r="K427" s="1">
        <f t="shared" si="433"/>
        <v>37.342087305768374</v>
      </c>
      <c r="L427" s="1">
        <f t="shared" ref="L427" si="434">SUM(L428:L429)</f>
        <v>22.986257383297168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36.420448886284916</v>
      </c>
      <c r="G428" s="1">
        <f>'[1]Electricity and CHPs_IN'!C$26-G361</f>
        <v>34.687807861201172</v>
      </c>
      <c r="H428" s="1">
        <f>'[1]Electricity and CHPs_IN'!D$26-H361</f>
        <v>32.726074862664703</v>
      </c>
      <c r="I428" s="1">
        <f>'[1]Electricity and CHPs_IN'!E$26-I361</f>
        <v>35.219552309528666</v>
      </c>
      <c r="J428" s="1">
        <f>'[2]Electricity and CHPs_IN'!F$26-J361</f>
        <v>36.266137717917566</v>
      </c>
      <c r="K428" s="1">
        <f>'[2]Electricity and CHPs_IN'!G$26-K361</f>
        <v>37.342087305768374</v>
      </c>
      <c r="L428" s="1">
        <f>'[2]Electricity and CHPs_IN'!H$26-L361</f>
        <v>0.18646323729957359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22.799794145997595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18.210224443142458</v>
      </c>
      <c r="G430" s="1">
        <f t="shared" ref="G430:K430" si="435">SUM(G431:G432)</f>
        <v>17.343903930600586</v>
      </c>
      <c r="H430" s="1">
        <f t="shared" si="435"/>
        <v>16.363037431332351</v>
      </c>
      <c r="I430" s="1">
        <f t="shared" si="435"/>
        <v>17.609776154764333</v>
      </c>
      <c r="J430" s="1">
        <f t="shared" si="435"/>
        <v>18.133068858958787</v>
      </c>
      <c r="K430" s="1">
        <f t="shared" si="435"/>
        <v>18.671043652884183</v>
      </c>
      <c r="L430" s="1">
        <f t="shared" ref="L430" si="436">SUM(L431:L432)</f>
        <v>11.493128691648584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18.210224443142458</v>
      </c>
      <c r="G431" s="1">
        <f t="shared" ref="G431:K431" si="437">IFERROR(G368/G361,0)*G428</f>
        <v>17.343903930600586</v>
      </c>
      <c r="H431" s="1">
        <f t="shared" si="437"/>
        <v>16.363037431332351</v>
      </c>
      <c r="I431" s="1">
        <f t="shared" si="437"/>
        <v>17.609776154764333</v>
      </c>
      <c r="J431" s="1">
        <f t="shared" si="437"/>
        <v>18.133068858958787</v>
      </c>
      <c r="K431" s="1">
        <f t="shared" si="437"/>
        <v>18.671043652884183</v>
      </c>
      <c r="L431" s="1">
        <f t="shared" ref="L431" si="438">IFERROR(L368/L361,0)*L428</f>
        <v>9.3231618649786782E-2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0</v>
      </c>
      <c r="L432" s="1">
        <f t="shared" ref="L432" si="440">IFERROR(L369/L362,0)*L429</f>
        <v>11.399897072998797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18.210224443142458</v>
      </c>
      <c r="G433" s="1">
        <f t="shared" ref="G433:K433" si="441">SUM(G434:G435)</f>
        <v>17.343903930600586</v>
      </c>
      <c r="H433" s="1">
        <f t="shared" si="441"/>
        <v>16.363037431332351</v>
      </c>
      <c r="I433" s="1">
        <f t="shared" si="441"/>
        <v>17.609776154764333</v>
      </c>
      <c r="J433" s="1">
        <f t="shared" si="441"/>
        <v>18.133068858958779</v>
      </c>
      <c r="K433" s="1">
        <f t="shared" si="441"/>
        <v>18.67104365288419</v>
      </c>
      <c r="L433" s="1">
        <f t="shared" ref="L433" si="442">SUM(L434:L435)</f>
        <v>11.493128691648584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18.210224443142458</v>
      </c>
      <c r="G434" s="1">
        <f t="shared" ref="G434:K434" si="443">G428-G431</f>
        <v>17.343903930600586</v>
      </c>
      <c r="H434" s="1">
        <f t="shared" si="443"/>
        <v>16.363037431332351</v>
      </c>
      <c r="I434" s="1">
        <f t="shared" si="443"/>
        <v>17.609776154764333</v>
      </c>
      <c r="J434" s="1">
        <f t="shared" si="443"/>
        <v>18.133068858958779</v>
      </c>
      <c r="K434" s="1">
        <f t="shared" si="443"/>
        <v>18.67104365288419</v>
      </c>
      <c r="L434" s="1">
        <f t="shared" ref="L434" si="444">L428-L431</f>
        <v>9.323161864978681E-2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0</v>
      </c>
      <c r="L435" s="1">
        <f t="shared" ref="L435" si="446">L429-L432</f>
        <v>11.399897072998797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5.6016773889733329E-3</v>
      </c>
      <c r="G436" s="1">
        <f t="shared" ref="G436:L436" si="447">G437</f>
        <v>4.3347281540713004E-2</v>
      </c>
      <c r="H436" s="1">
        <f t="shared" si="447"/>
        <v>6.1050358544590365E-2</v>
      </c>
      <c r="I436" s="1">
        <f t="shared" si="447"/>
        <v>0.20187930513053909</v>
      </c>
      <c r="J436" s="1">
        <f t="shared" si="447"/>
        <v>0.34711884015704797</v>
      </c>
      <c r="K436" s="1">
        <f t="shared" si="447"/>
        <v>0.36318947555256925</v>
      </c>
      <c r="L436" s="1">
        <f t="shared" si="447"/>
        <v>0.33952195959309384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5.6016773889733329E-3</v>
      </c>
      <c r="G437" s="1">
        <f>'[1]Electricity and CHPs_IN'!C$25-G380</f>
        <v>4.3347281540713004E-2</v>
      </c>
      <c r="H437" s="1">
        <f>'[1]Electricity and CHPs_IN'!D$25-H380</f>
        <v>6.1050358544590365E-2</v>
      </c>
      <c r="I437" s="1">
        <f>'[1]Electricity and CHPs_IN'!E$25-I380</f>
        <v>0.20187930513053909</v>
      </c>
      <c r="J437" s="1">
        <f>'[2]Electricity and CHPs_IN'!F$25-J380</f>
        <v>0.34711884015704797</v>
      </c>
      <c r="K437" s="1">
        <f>'[2]Electricity and CHPs_IN'!G$25-K380</f>
        <v>0.36318947555256925</v>
      </c>
      <c r="L437" s="1">
        <f>'[2]Electricity and CHPs_IN'!H$25-L380</f>
        <v>0.33952195959309384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0.20913538557055281</v>
      </c>
      <c r="L438" s="1">
        <f t="shared" si="448"/>
        <v>0.21276553501242901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0.20913538557055281</v>
      </c>
      <c r="L439" s="1">
        <f>'[2]Electricity and CHPs_IN'!H$30-L398</f>
        <v>0.21276553501242901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9.1699067080740146</v>
      </c>
      <c r="G440" s="1">
        <f t="shared" ref="G440:K440" si="449">SUM(G441,G447,G449,G455,G457,G459,G461)</f>
        <v>13.400713511755837</v>
      </c>
      <c r="H440" s="1">
        <f t="shared" si="449"/>
        <v>9.4238072569155396</v>
      </c>
      <c r="I440" s="1">
        <f t="shared" si="449"/>
        <v>24.578785087709221</v>
      </c>
      <c r="J440" s="1">
        <f t="shared" si="449"/>
        <v>29.22174231590758</v>
      </c>
      <c r="K440" s="1">
        <f t="shared" si="449"/>
        <v>30.669994321093633</v>
      </c>
      <c r="L440" s="1">
        <f t="shared" ref="L440" si="450">SUM(L441,L447,L449,L455,L457,L459,L461)</f>
        <v>28.980880039491133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4.3960292724697219</v>
      </c>
      <c r="G441" s="1">
        <f t="shared" ref="G441:L441" si="451">+G442</f>
        <v>5.7131700349637971</v>
      </c>
      <c r="H441" s="1">
        <f t="shared" si="451"/>
        <v>2.3761144905951959</v>
      </c>
      <c r="I441" s="1">
        <f t="shared" si="451"/>
        <v>17.233226768035145</v>
      </c>
      <c r="J441" s="1">
        <f t="shared" si="451"/>
        <v>20.76449778268378</v>
      </c>
      <c r="K441" s="1">
        <f t="shared" si="451"/>
        <v>20.27155498824159</v>
      </c>
      <c r="L441" s="1">
        <f t="shared" si="451"/>
        <v>17.539963286058338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4.3960292724697219</v>
      </c>
      <c r="G442" s="1">
        <f t="shared" ref="G442:K442" si="452">SUM(G444:G446)</f>
        <v>5.7131700349637971</v>
      </c>
      <c r="H442" s="1">
        <f t="shared" si="452"/>
        <v>2.3761144905951959</v>
      </c>
      <c r="I442" s="1">
        <f t="shared" si="452"/>
        <v>17.233226768035145</v>
      </c>
      <c r="J442" s="1">
        <f t="shared" si="452"/>
        <v>20.76449778268378</v>
      </c>
      <c r="K442" s="1">
        <f t="shared" si="452"/>
        <v>20.27155498824159</v>
      </c>
      <c r="L442" s="1">
        <f t="shared" ref="L442" si="453">SUM(L444:L446)</f>
        <v>17.539963286058338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2.0280866490380944</v>
      </c>
      <c r="G443" s="1">
        <f t="shared" ref="G443:L443" si="454">G444</f>
        <v>3.3452617801954414</v>
      </c>
      <c r="H443" s="1">
        <f t="shared" si="454"/>
        <v>8.1803202411154154E-3</v>
      </c>
      <c r="I443" s="1">
        <f t="shared" si="454"/>
        <v>7.1635101197639797</v>
      </c>
      <c r="J443" s="1">
        <f t="shared" si="454"/>
        <v>6.9599088848328599</v>
      </c>
      <c r="K443" s="1">
        <f t="shared" si="454"/>
        <v>2.7321218830429794</v>
      </c>
      <c r="L443" s="1">
        <f t="shared" si="454"/>
        <v>5.4403439389918214E-4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2.0280866490380944</v>
      </c>
      <c r="G444" s="1">
        <f>'[1]Electricity and CHPs_IN'!C$90</f>
        <v>3.3452617801954414</v>
      </c>
      <c r="H444" s="1">
        <f>'[1]Electricity and CHPs_IN'!D$90</f>
        <v>8.1803202411154154E-3</v>
      </c>
      <c r="I444" s="1">
        <f>'[1]Electricity and CHPs_IN'!E$90</f>
        <v>7.1635101197639797</v>
      </c>
      <c r="J444" s="1">
        <f>'[2]Electricity and CHPs_IN'!F$90</f>
        <v>6.9599088848328599</v>
      </c>
      <c r="K444" s="1">
        <f>'[2]Electricity and CHPs_IN'!G$90</f>
        <v>2.7321218830429794</v>
      </c>
      <c r="L444" s="1">
        <f>'[2]Electricity and CHPs_IN'!H$90</f>
        <v>5.4403439389918214E-4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1.1839713117158137</v>
      </c>
      <c r="G445" s="1">
        <f t="shared" ref="G445:L445" si="455">G446</f>
        <v>1.1839541273841776</v>
      </c>
      <c r="H445" s="1">
        <f t="shared" si="455"/>
        <v>1.1839670851770401</v>
      </c>
      <c r="I445" s="1">
        <f t="shared" si="455"/>
        <v>5.0348583241355831</v>
      </c>
      <c r="J445" s="1">
        <f t="shared" si="455"/>
        <v>6.9022944489254607</v>
      </c>
      <c r="K445" s="1">
        <f t="shared" si="455"/>
        <v>8.7697165525993057</v>
      </c>
      <c r="L445" s="1">
        <f t="shared" si="455"/>
        <v>8.7697096258322205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1.1839713117158137</v>
      </c>
      <c r="G446" s="1">
        <f>'[1]Electricity and CHPs_IN'!C$91</f>
        <v>1.1839541273841776</v>
      </c>
      <c r="H446" s="1">
        <f>'[1]Electricity and CHPs_IN'!D$91</f>
        <v>1.1839670851770401</v>
      </c>
      <c r="I446" s="1">
        <f>'[1]Electricity and CHPs_IN'!E$91</f>
        <v>5.0348583241355831</v>
      </c>
      <c r="J446" s="1">
        <f>'[2]Electricity and CHPs_IN'!F$91</f>
        <v>6.9022944489254607</v>
      </c>
      <c r="K446" s="1">
        <f>'[2]Electricity and CHPs_IN'!G$91</f>
        <v>8.7697165525993057</v>
      </c>
      <c r="L446" s="1">
        <f>'[2]Electricity and CHPs_IN'!H$91</f>
        <v>8.7697096258322205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1.4500225640881319</v>
      </c>
      <c r="G447" s="1">
        <f t="shared" ref="G447:L447" si="456">G448</f>
        <v>3.8018808539604878</v>
      </c>
      <c r="H447" s="1">
        <f t="shared" si="456"/>
        <v>3.7505044664968259</v>
      </c>
      <c r="I447" s="1">
        <f t="shared" si="456"/>
        <v>0.83544678137636186</v>
      </c>
      <c r="J447" s="1">
        <f t="shared" si="456"/>
        <v>0.85590771296004442</v>
      </c>
      <c r="K447" s="1">
        <f t="shared" si="456"/>
        <v>0.85603135349081216</v>
      </c>
      <c r="L447" s="1">
        <f t="shared" si="456"/>
        <v>0.28110948824037013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1.4500225640881319</v>
      </c>
      <c r="G448" s="1">
        <f>'[1]Electricity and CHPs_IN'!C$92</f>
        <v>3.8018808539604878</v>
      </c>
      <c r="H448" s="1">
        <f>'[1]Electricity and CHPs_IN'!D$92</f>
        <v>3.7505044664968259</v>
      </c>
      <c r="I448" s="1">
        <f>'[1]Electricity and CHPs_IN'!E$92</f>
        <v>0.83544678137636186</v>
      </c>
      <c r="J448" s="1">
        <f>'[2]Electricity and CHPs_IN'!F$92</f>
        <v>0.85590771296004442</v>
      </c>
      <c r="K448" s="1">
        <f>'[2]Electricity and CHPs_IN'!G$92</f>
        <v>0.85603135349081216</v>
      </c>
      <c r="L448" s="1">
        <f>'[2]Electricity and CHPs_IN'!H$92</f>
        <v>0.28110948824037013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0.21543593047121112</v>
      </c>
      <c r="G449" s="1">
        <f t="shared" ref="G449:L449" si="457">G450</f>
        <v>0.21741804082315655</v>
      </c>
      <c r="H449" s="1">
        <f t="shared" si="457"/>
        <v>2.8933107913978818E-3</v>
      </c>
      <c r="I449" s="1">
        <f t="shared" si="457"/>
        <v>8.547925020521421E-4</v>
      </c>
      <c r="J449" s="1">
        <f t="shared" si="457"/>
        <v>3.7272843426519765E-4</v>
      </c>
      <c r="K449" s="1">
        <f t="shared" si="457"/>
        <v>4.9980868980819152E-5</v>
      </c>
      <c r="L449" s="1">
        <f t="shared" si="457"/>
        <v>9.8785823617991472E-6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0.21543593047121112</v>
      </c>
      <c r="G450" s="1">
        <f>'[1]Electricity and CHPs_IN'!C$93</f>
        <v>0.21741804082315655</v>
      </c>
      <c r="H450" s="1">
        <f>'[1]Electricity and CHPs_IN'!D$93</f>
        <v>2.8933107913978818E-3</v>
      </c>
      <c r="I450" s="1">
        <f>'[1]Electricity and CHPs_IN'!E$93</f>
        <v>8.547925020521421E-4</v>
      </c>
      <c r="J450" s="1">
        <f>'[2]Electricity and CHPs_IN'!F$93</f>
        <v>3.7272843426519765E-4</v>
      </c>
      <c r="K450" s="1">
        <f>'[2]Electricity and CHPs_IN'!G$93</f>
        <v>4.9980868980819152E-5</v>
      </c>
      <c r="L450" s="1">
        <f>'[2]Electricity and CHPs_IN'!H$93</f>
        <v>9.8785823617991472E-6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0.21543593047121112</v>
      </c>
      <c r="G451" s="1">
        <f t="shared" ref="G451:L451" si="458">G452</f>
        <v>0.21741804082315655</v>
      </c>
      <c r="H451" s="1">
        <f t="shared" si="458"/>
        <v>2.8933107913978818E-3</v>
      </c>
      <c r="I451" s="1">
        <f t="shared" si="458"/>
        <v>8.547925020521421E-4</v>
      </c>
      <c r="J451" s="1">
        <f t="shared" si="458"/>
        <v>3.7272843426519765E-4</v>
      </c>
      <c r="K451" s="1">
        <f t="shared" si="458"/>
        <v>4.9980868980819152E-5</v>
      </c>
      <c r="L451" s="1">
        <f t="shared" si="458"/>
        <v>9.8785823617991472E-6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0.21543593047121112</v>
      </c>
      <c r="G452" s="1">
        <f t="shared" ref="G452:K452" si="459">G450</f>
        <v>0.21741804082315655</v>
      </c>
      <c r="H452" s="1">
        <f t="shared" si="459"/>
        <v>2.8933107913978818E-3</v>
      </c>
      <c r="I452" s="1">
        <f t="shared" si="459"/>
        <v>8.547925020521421E-4</v>
      </c>
      <c r="J452" s="1">
        <f t="shared" si="459"/>
        <v>3.7272843426519765E-4</v>
      </c>
      <c r="K452" s="1">
        <f t="shared" si="459"/>
        <v>4.9980868980819152E-5</v>
      </c>
      <c r="L452" s="1">
        <f t="shared" ref="L452" si="460">L450</f>
        <v>9.8785823617991472E-6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3.1084189410449503</v>
      </c>
      <c r="G455" s="1">
        <f t="shared" ref="G455:L455" si="462">G456</f>
        <v>2.8053432154168556</v>
      </c>
      <c r="H455" s="1">
        <f t="shared" si="462"/>
        <v>2.4052461556359179</v>
      </c>
      <c r="I455" s="1">
        <f t="shared" si="462"/>
        <v>5.1497190955467316</v>
      </c>
      <c r="J455" s="1">
        <f t="shared" si="462"/>
        <v>5.7897331773828276</v>
      </c>
      <c r="K455" s="1">
        <f t="shared" si="462"/>
        <v>6.4346890463418811</v>
      </c>
      <c r="L455" s="1">
        <f t="shared" si="462"/>
        <v>7.7269971281199048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3.1084189410449503</v>
      </c>
      <c r="G456" s="1">
        <f>'[1]Electricity and CHPs_IN'!C$94</f>
        <v>2.8053432154168556</v>
      </c>
      <c r="H456" s="1">
        <f>'[1]Electricity and CHPs_IN'!D$94</f>
        <v>2.4052461556359179</v>
      </c>
      <c r="I456" s="1">
        <f>'[1]Electricity and CHPs_IN'!E$94</f>
        <v>5.1497190955467316</v>
      </c>
      <c r="J456" s="1">
        <f>'[2]Electricity and CHPs_IN'!F$94</f>
        <v>5.7897331773828276</v>
      </c>
      <c r="K456" s="1">
        <f>'[2]Electricity and CHPs_IN'!G$94</f>
        <v>6.4346890463418811</v>
      </c>
      <c r="L456" s="1">
        <f>'[2]Electricity and CHPs_IN'!H$94</f>
        <v>7.7269971281199048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0</v>
      </c>
      <c r="J457" s="1">
        <f t="shared" si="463"/>
        <v>0</v>
      </c>
      <c r="K457" s="1">
        <f t="shared" si="463"/>
        <v>0</v>
      </c>
      <c r="L457" s="1">
        <f t="shared" si="463"/>
        <v>0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0</v>
      </c>
      <c r="J458" s="1">
        <f>'[2]Electricity and CHPs_IN'!F$95</f>
        <v>0</v>
      </c>
      <c r="K458" s="1">
        <f>'[2]Electricity and CHPs_IN'!G$95</f>
        <v>0</v>
      </c>
      <c r="L458" s="1">
        <f>'[2]Electricity and CHPs_IN'!H$95</f>
        <v>0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0</v>
      </c>
      <c r="L459" s="1">
        <f t="shared" si="464"/>
        <v>0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0</v>
      </c>
      <c r="L460" s="1">
        <f>'[2]Electricity and CHPs_IN'!H$96</f>
        <v>0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0.86290136659153904</v>
      </c>
      <c r="H461" s="1">
        <f>H462</f>
        <v>0.88904883339620122</v>
      </c>
      <c r="I461" s="1">
        <f t="shared" ref="I461" si="466">I462</f>
        <v>1.3595376502489278</v>
      </c>
      <c r="J461" s="1">
        <f t="shared" ref="J461" si="467">J462</f>
        <v>1.8112309144466627</v>
      </c>
      <c r="K461" s="1">
        <f t="shared" ref="K461:L461" si="468">K462</f>
        <v>3.1076689521503709</v>
      </c>
      <c r="L461" s="1">
        <f t="shared" si="468"/>
        <v>3.4328002584901589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0.86290136659153904</v>
      </c>
      <c r="H462" s="1">
        <f>'[1]Electricity and CHPs_IN'!D$97</f>
        <v>0.88904883339620122</v>
      </c>
      <c r="I462" s="1">
        <f>'[1]Electricity and CHPs_IN'!E$97</f>
        <v>1.3595376502489278</v>
      </c>
      <c r="J462" s="1">
        <f>'[2]Electricity and CHPs_IN'!F$97</f>
        <v>1.8112309144466627</v>
      </c>
      <c r="K462" s="1">
        <f>'[2]Electricity and CHPs_IN'!G$97</f>
        <v>3.1076689521503709</v>
      </c>
      <c r="L462" s="1">
        <f>'[2]Electricity and CHPs_IN'!H$97</f>
        <v>3.4328002584901589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7.9737098302398079</v>
      </c>
      <c r="G463" s="1">
        <f t="shared" ref="G463:K463" si="469">SUM(G464,G470,G503,G512,G518)</f>
        <v>8.0368292621835398</v>
      </c>
      <c r="H463" s="1">
        <f t="shared" si="469"/>
        <v>7.0106463648767443</v>
      </c>
      <c r="I463" s="1">
        <f t="shared" si="469"/>
        <v>13.610871522615138</v>
      </c>
      <c r="J463" s="1">
        <f t="shared" si="469"/>
        <v>16.127013763427566</v>
      </c>
      <c r="K463" s="1">
        <f t="shared" si="469"/>
        <v>18.097911669219801</v>
      </c>
      <c r="L463" s="1">
        <f t="shared" ref="L463" si="470">SUM(L464,L470,L503,L512,L518)</f>
        <v>19.617340626515563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0.28635258353244497</v>
      </c>
      <c r="G464" s="1">
        <f t="shared" ref="G464:L464" si="471">+G465</f>
        <v>0.64162313948980976</v>
      </c>
      <c r="H464" s="1">
        <f t="shared" si="471"/>
        <v>0.28747340978908109</v>
      </c>
      <c r="I464" s="1">
        <f t="shared" si="471"/>
        <v>0.57442529290132938</v>
      </c>
      <c r="J464" s="1">
        <f t="shared" si="471"/>
        <v>0.53648628076445104</v>
      </c>
      <c r="K464" s="1">
        <f t="shared" si="471"/>
        <v>1.5370575752500663E-2</v>
      </c>
      <c r="L464" s="1">
        <f t="shared" si="471"/>
        <v>0.11285743208016261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0.28635258353244497</v>
      </c>
      <c r="G465" s="1">
        <f>'[1]Electricity and CHPs_IN'!C$41-G301</f>
        <v>0.64162313948980976</v>
      </c>
      <c r="H465" s="1">
        <f>'[1]Electricity and CHPs_IN'!D$41-H301</f>
        <v>0.28747340978908109</v>
      </c>
      <c r="I465" s="1">
        <f>'[1]Electricity and CHPs_IN'!E$41-I301</f>
        <v>0.57442529290132938</v>
      </c>
      <c r="J465" s="1">
        <f>'[2]Electricity and CHPs_IN'!F$41-J301</f>
        <v>0.53648628076445104</v>
      </c>
      <c r="K465" s="1">
        <f>'[2]Electricity and CHPs_IN'!G$41-K301</f>
        <v>1.5370575752500663E-2</v>
      </c>
      <c r="L465" s="1">
        <f>'[2]Electricity and CHPs_IN'!H$41-L301</f>
        <v>0.11285743208016261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0.28635258353244497</v>
      </c>
      <c r="G466" s="1">
        <f t="shared" ref="G466:L466" si="472">G467</f>
        <v>0.64162313948980976</v>
      </c>
      <c r="H466" s="1">
        <f t="shared" si="472"/>
        <v>0.28747340978908109</v>
      </c>
      <c r="I466" s="1">
        <f t="shared" si="472"/>
        <v>0.57442529290132938</v>
      </c>
      <c r="J466" s="1">
        <f t="shared" si="472"/>
        <v>0.53648628076445104</v>
      </c>
      <c r="K466" s="1">
        <f t="shared" si="472"/>
        <v>1.5370575752500663E-2</v>
      </c>
      <c r="L466" s="1">
        <f t="shared" si="472"/>
        <v>0.11285743208016261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0.28635258353244497</v>
      </c>
      <c r="G467" s="1">
        <f t="shared" ref="G467:K467" si="473">G465-G469</f>
        <v>0.64162313948980976</v>
      </c>
      <c r="H467" s="1">
        <f t="shared" si="473"/>
        <v>0.28747340978908109</v>
      </c>
      <c r="I467" s="1">
        <f t="shared" si="473"/>
        <v>0.57442529290132938</v>
      </c>
      <c r="J467" s="1">
        <f t="shared" si="473"/>
        <v>0.53648628076445104</v>
      </c>
      <c r="K467" s="1">
        <f t="shared" si="473"/>
        <v>1.5370575752500663E-2</v>
      </c>
      <c r="L467" s="1">
        <f t="shared" ref="L467" si="474">L465-L469</f>
        <v>0.11285743208016261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3.6779884924457837</v>
      </c>
      <c r="G470" s="1">
        <f t="shared" ref="G470:K470" si="478">SUM(G471:G480)</f>
        <v>3.5315271747903876</v>
      </c>
      <c r="H470" s="1">
        <f t="shared" si="478"/>
        <v>2.6935756308812926</v>
      </c>
      <c r="I470" s="1">
        <f t="shared" si="478"/>
        <v>5.8012610382688656</v>
      </c>
      <c r="J470" s="1">
        <f t="shared" si="478"/>
        <v>6.5606885509059314</v>
      </c>
      <c r="K470" s="1">
        <f t="shared" si="478"/>
        <v>6.851031569311913</v>
      </c>
      <c r="L470" s="1">
        <f t="shared" ref="L470" si="479">SUM(L471:L480)</f>
        <v>1.4301689724501361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1.0387116068117281</v>
      </c>
      <c r="G471" s="1">
        <f>'[1]Electricity and CHPs_IN'!C$39-G316</f>
        <v>0.7838988664155333</v>
      </c>
      <c r="H471" s="1">
        <f>'[1]Electricity and CHPs_IN'!D$39-H316</f>
        <v>0.58972708166817733</v>
      </c>
      <c r="I471" s="1">
        <f>'[1]Electricity and CHPs_IN'!E$39-I316</f>
        <v>4.6743201083176665E-2</v>
      </c>
      <c r="J471" s="1">
        <f>'[2]Electricity and CHPs_IN'!F$39-J316</f>
        <v>3.4000580626750772E-2</v>
      </c>
      <c r="K471" s="1">
        <f>'[2]Electricity and CHPs_IN'!G$39-K316</f>
        <v>1.1812663881674748E-2</v>
      </c>
      <c r="L471" s="1">
        <f>'[2]Electricity and CHPs_IN'!H$39-L316</f>
        <v>7.0632174409593681E-3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9.7493682935678329E-5</v>
      </c>
      <c r="L472" s="6">
        <f>'[2]Electricity and CHPs_IN'!H$40-L317</f>
        <v>2.8544009785703033E-3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6.5719055460000009E-2</v>
      </c>
      <c r="G474" s="1">
        <f>'[1]Electricity and CHPs_IN'!C$48-G319</f>
        <v>4.5508069594113005E-3</v>
      </c>
      <c r="H474" s="1">
        <f>'[1]Electricity and CHPs_IN'!D$48-H319</f>
        <v>2.6426726981326545E-2</v>
      </c>
      <c r="I474" s="1">
        <f>'[1]Electricity and CHPs_IN'!E$48-I319</f>
        <v>2.3306374828477125E-2</v>
      </c>
      <c r="J474" s="1">
        <f>'[2]Electricity and CHPs_IN'!F$48-J319</f>
        <v>2.7102258986589405E-2</v>
      </c>
      <c r="K474" s="1">
        <f>'[2]Electricity and CHPs_IN'!G$48-K319</f>
        <v>2.0127351094627051E-2</v>
      </c>
      <c r="L474" s="1">
        <f>'[2]Electricity and CHPs_IN'!H$48-L319</f>
        <v>7.9225779108929757E-3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8.7397740410269015E-2</v>
      </c>
      <c r="G476" s="1">
        <f>'[1]Electricity and CHPs_IN'!C$51-G321</f>
        <v>4.1946566996976095E-3</v>
      </c>
      <c r="H476" s="1">
        <f>'[1]Electricity and CHPs_IN'!D$51-H321</f>
        <v>5.9352203122041605E-2</v>
      </c>
      <c r="I476" s="1">
        <f>'[1]Electricity and CHPs_IN'!E$51-I321</f>
        <v>4.0399000178624602</v>
      </c>
      <c r="J476" s="1">
        <f>'[2]Electricity and CHPs_IN'!F$51-J321</f>
        <v>4.9008154777750459</v>
      </c>
      <c r="K476" s="1">
        <f>'[2]Electricity and CHPs_IN'!G$51-K321</f>
        <v>5.3780925003262166</v>
      </c>
      <c r="L476" s="1">
        <f>'[2]Electricity and CHPs_IN'!H$51-L321</f>
        <v>4.2616274677655996E-2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1.580698826482146</v>
      </c>
      <c r="G478" s="1">
        <f>'[1]Electricity and CHPs_IN'!C$54-G323</f>
        <v>1.791058443826671</v>
      </c>
      <c r="H478" s="1">
        <f>'[1]Electricity and CHPs_IN'!D$54-H323</f>
        <v>1.9090400842975233</v>
      </c>
      <c r="I478" s="1">
        <f>'[1]Electricity and CHPs_IN'!E$54-I323</f>
        <v>1.6522013783412555</v>
      </c>
      <c r="J478" s="1">
        <f>'[2]Electricity and CHPs_IN'!F$54-J323</f>
        <v>1.5359430439066422</v>
      </c>
      <c r="K478" s="1">
        <f>'[2]Electricity and CHPs_IN'!G$54-K323</f>
        <v>1.4072057774470639</v>
      </c>
      <c r="L478" s="1">
        <f>'[2]Electricity and CHPs_IN'!H$54-L323</f>
        <v>1.3677591902036321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0.90546126328164056</v>
      </c>
      <c r="G479" s="1">
        <f>'[1]Electricity and CHPs_IN'!C$55-G324</f>
        <v>0.94782440088907416</v>
      </c>
      <c r="H479" s="1">
        <f>'[1]Electricity and CHPs_IN'!D$55-H324</f>
        <v>0.10902953481222405</v>
      </c>
      <c r="I479" s="1">
        <f>'[1]Electricity and CHPs_IN'!E$55-I324</f>
        <v>3.8802215215719846E-2</v>
      </c>
      <c r="J479" s="1">
        <f>'[2]Electricity and CHPs_IN'!F$55-J324</f>
        <v>6.1504315966069104E-2</v>
      </c>
      <c r="K479" s="1">
        <f>'[2]Electricity and CHPs_IN'!G$55-K324</f>
        <v>3.1895530967396363E-2</v>
      </c>
      <c r="L479" s="1">
        <f>'[2]Electricity and CHPs_IN'!H$55-L324</f>
        <v>1.1926812347283823E-3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3.0785093777688992E-4</v>
      </c>
      <c r="J480" s="1">
        <f>'[2]Electricity and CHPs_IN'!F$58-J325</f>
        <v>1.3228736448328941E-3</v>
      </c>
      <c r="K480" s="1">
        <f>'[2]Electricity and CHPs_IN'!G$58-K325</f>
        <v>1.8002519119986382E-3</v>
      </c>
      <c r="L480" s="1">
        <f>'[2]Electricity and CHPs_IN'!H$58-L325</f>
        <v>7.6063000369679589E-4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2.0425432904256544</v>
      </c>
      <c r="G481" s="1">
        <f t="shared" ref="G481:K481" si="480">SUM(G482:G491)</f>
        <v>1.7092963228604785</v>
      </c>
      <c r="H481" s="1">
        <f t="shared" si="480"/>
        <v>0.77514393340049093</v>
      </c>
      <c r="I481" s="1">
        <f t="shared" si="480"/>
        <v>3.6632634573787888</v>
      </c>
      <c r="J481" s="1">
        <f t="shared" si="480"/>
        <v>4.5357422661592564</v>
      </c>
      <c r="K481" s="1">
        <f t="shared" si="480"/>
        <v>4.8857823503375597</v>
      </c>
      <c r="L481" s="1">
        <f t="shared" ref="L481" si="481">SUM(L482:L491)</f>
        <v>2.2594398551375846E-2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1.0115977099451983</v>
      </c>
      <c r="G482" s="1">
        <f t="shared" ref="G482:K482" si="483">G471-G493</f>
        <v>0.76985896156642974</v>
      </c>
      <c r="H482" s="1">
        <f t="shared" si="483"/>
        <v>0.58266750526166733</v>
      </c>
      <c r="I482" s="1">
        <f t="shared" si="483"/>
        <v>4.1270233364611879E-2</v>
      </c>
      <c r="J482" s="1">
        <f t="shared" si="483"/>
        <v>3.0691677898490404E-2</v>
      </c>
      <c r="K482" s="1">
        <f t="shared" si="483"/>
        <v>1.0601732834962432E-2</v>
      </c>
      <c r="L482" s="1">
        <f t="shared" ref="L482" si="484">L471-L493</f>
        <v>2.557117557079846E-3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9.7493682935678329E-5</v>
      </c>
      <c r="L483" s="1">
        <f t="shared" ref="L483" si="486">L472-L494</f>
        <v>1.0333872513850597E-3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6.4003565154295575E-2</v>
      </c>
      <c r="G485" s="1">
        <f t="shared" ref="G485:K485" si="489">G474-G496</f>
        <v>4.4693004036116604E-3</v>
      </c>
      <c r="H485" s="1">
        <f t="shared" si="489"/>
        <v>2.6110374715849902E-2</v>
      </c>
      <c r="I485" s="1">
        <f t="shared" si="489"/>
        <v>2.0577527977658119E-2</v>
      </c>
      <c r="J485" s="1">
        <f t="shared" si="489"/>
        <v>2.4464694067118944E-2</v>
      </c>
      <c r="K485" s="1">
        <f t="shared" si="489"/>
        <v>1.8064070993482957E-2</v>
      </c>
      <c r="L485" s="1">
        <f t="shared" ref="L485" si="490">L474-L496</f>
        <v>2.8682343765599402E-3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8.511636288034477E-2</v>
      </c>
      <c r="G487" s="1">
        <f t="shared" ref="G487:K487" si="493">G476-G498</f>
        <v>4.1195289205139228E-3</v>
      </c>
      <c r="H487" s="1">
        <f t="shared" si="493"/>
        <v>5.8641702577197176E-2</v>
      </c>
      <c r="I487" s="1">
        <f t="shared" si="493"/>
        <v>3.5668848654631473</v>
      </c>
      <c r="J487" s="1">
        <f t="shared" si="493"/>
        <v>4.4238729842591589</v>
      </c>
      <c r="K487" s="1">
        <f t="shared" si="493"/>
        <v>4.8267774670729064</v>
      </c>
      <c r="L487" s="1">
        <f t="shared" ref="L487" si="494">L476-L498</f>
        <v>1.5428496305894518E-2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0.88182565244581557</v>
      </c>
      <c r="G490" s="1">
        <f t="shared" ref="G490:K490" si="497">G479-G501</f>
        <v>0.93084853196992312</v>
      </c>
      <c r="H490" s="1">
        <f t="shared" si="497"/>
        <v>0.10772435084577661</v>
      </c>
      <c r="I490" s="1">
        <f t="shared" si="497"/>
        <v>3.4259024626214635E-2</v>
      </c>
      <c r="J490" s="1">
        <f t="shared" si="497"/>
        <v>5.5518777038542799E-2</v>
      </c>
      <c r="K490" s="1">
        <f t="shared" si="497"/>
        <v>2.8625879931298438E-2</v>
      </c>
      <c r="L490" s="1">
        <f t="shared" ref="L490" si="498">L479-L501</f>
        <v>4.3178992446668454E-4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2.7180594715708379E-4</v>
      </c>
      <c r="J491" s="1">
        <f t="shared" si="499"/>
        <v>1.1941328959444066E-3</v>
      </c>
      <c r="K491" s="1">
        <f t="shared" si="499"/>
        <v>1.6157058219736593E-3</v>
      </c>
      <c r="L491" s="1">
        <f t="shared" ref="L491" si="500">L480-L502</f>
        <v>2.7537313598979335E-4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1.6354452020201298</v>
      </c>
      <c r="G492" s="1">
        <f t="shared" ref="G492:K492" si="501">SUM(G493:G502)</f>
        <v>1.8222308519299089</v>
      </c>
      <c r="H492" s="1">
        <f t="shared" si="501"/>
        <v>1.9184316974808018</v>
      </c>
      <c r="I492" s="1">
        <f t="shared" si="501"/>
        <v>2.1379975808900769</v>
      </c>
      <c r="J492" s="1">
        <f t="shared" si="501"/>
        <v>2.0249462847466746</v>
      </c>
      <c r="K492" s="1">
        <f t="shared" si="501"/>
        <v>1.9652492189743529</v>
      </c>
      <c r="L492" s="1">
        <f t="shared" ref="L492" si="502">SUM(L493:L502)</f>
        <v>1.40757457389876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2.7113896866529968E-2</v>
      </c>
      <c r="G493" s="1">
        <f t="shared" ref="G493:K493" si="504">IFERROR(G348/G316,0)*G471</f>
        <v>1.4039904849103531E-2</v>
      </c>
      <c r="H493" s="1">
        <f t="shared" si="504"/>
        <v>7.0595764065100345E-3</v>
      </c>
      <c r="I493" s="1">
        <f t="shared" si="504"/>
        <v>5.472967718564788E-3</v>
      </c>
      <c r="J493" s="1">
        <f t="shared" si="504"/>
        <v>3.3089027282603681E-3</v>
      </c>
      <c r="K493" s="1">
        <f t="shared" si="504"/>
        <v>1.2109310467123165E-3</v>
      </c>
      <c r="L493" s="1">
        <f t="shared" ref="L493" si="505">IFERROR(L348/L316,0)*L471</f>
        <v>4.506099883879522E-3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0</v>
      </c>
      <c r="L494" s="1">
        <f t="shared" ref="L494" si="507">IFERROR(L349/L317,0)*L472</f>
        <v>1.8210137271852437E-3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1.7154903057044388E-3</v>
      </c>
      <c r="G496" s="1">
        <f t="shared" ref="G496:K496" si="510">IFERROR(G351/G319,0)*G474</f>
        <v>8.1506555799640349E-5</v>
      </c>
      <c r="H496" s="1">
        <f t="shared" si="510"/>
        <v>3.1635226547664311E-4</v>
      </c>
      <c r="I496" s="1">
        <f t="shared" si="510"/>
        <v>2.7288468508190038E-3</v>
      </c>
      <c r="J496" s="1">
        <f t="shared" si="510"/>
        <v>2.6375649194704596E-3</v>
      </c>
      <c r="K496" s="1">
        <f t="shared" si="510"/>
        <v>2.0632801011440929E-3</v>
      </c>
      <c r="L496" s="1">
        <f t="shared" ref="L496" si="511">IFERROR(L351/L319,0)*L474</f>
        <v>5.0543435343330355E-3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2.2813775299242492E-3</v>
      </c>
      <c r="G498" s="1">
        <f t="shared" ref="G498:K498" si="514">IFERROR(G353/G321,0)*G476</f>
        <v>7.5127779183687014E-5</v>
      </c>
      <c r="H498" s="1">
        <f t="shared" si="514"/>
        <v>7.1050054484442964E-4</v>
      </c>
      <c r="I498" s="1">
        <f t="shared" si="514"/>
        <v>0.47301515239931291</v>
      </c>
      <c r="J498" s="1">
        <f t="shared" si="514"/>
        <v>0.47694249351588658</v>
      </c>
      <c r="K498" s="1">
        <f t="shared" si="514"/>
        <v>0.55131503325330977</v>
      </c>
      <c r="L498" s="1">
        <f t="shared" ref="L498" si="515">IFERROR(L353/L321,0)*L476</f>
        <v>2.7187778371761478E-2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1.580698826482146</v>
      </c>
      <c r="G500" s="1">
        <f t="shared" ref="G500:K500" si="518">G478</f>
        <v>1.791058443826671</v>
      </c>
      <c r="H500" s="1">
        <f t="shared" si="518"/>
        <v>1.9090400842975233</v>
      </c>
      <c r="I500" s="1">
        <f t="shared" si="518"/>
        <v>1.6522013783412555</v>
      </c>
      <c r="J500" s="1">
        <f t="shared" si="518"/>
        <v>1.5359430439066422</v>
      </c>
      <c r="K500" s="1">
        <f t="shared" si="518"/>
        <v>1.4072057774470639</v>
      </c>
      <c r="L500" s="1">
        <f t="shared" ref="L500" si="519">L478</f>
        <v>1.3677591902036321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2.3635610835825004E-2</v>
      </c>
      <c r="G501" s="1">
        <f t="shared" ref="G501:K501" si="520">IFERROR(G356/G324,0)*G479</f>
        <v>1.6975868919151031E-2</v>
      </c>
      <c r="H501" s="1">
        <f t="shared" si="520"/>
        <v>1.3051839664474365E-3</v>
      </c>
      <c r="I501" s="1">
        <f t="shared" si="520"/>
        <v>4.543190589505211E-3</v>
      </c>
      <c r="J501" s="1">
        <f t="shared" si="520"/>
        <v>5.9855389275263026E-3</v>
      </c>
      <c r="K501" s="1">
        <f t="shared" si="520"/>
        <v>3.2696510360979256E-3</v>
      </c>
      <c r="L501" s="1">
        <f t="shared" ref="L501" si="521">IFERROR(L356/L324,0)*L479</f>
        <v>7.6089131026169771E-4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3.6044990619806111E-5</v>
      </c>
      <c r="J502" s="1">
        <f t="shared" si="522"/>
        <v>1.2874074888848756E-4</v>
      </c>
      <c r="K502" s="1">
        <f t="shared" si="522"/>
        <v>1.8454609002497888E-4</v>
      </c>
      <c r="L502" s="1">
        <f t="shared" ref="L502" si="523">IFERROR(L357/L325,0)*L480</f>
        <v>4.8525686770700254E-4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3.3175315534621435</v>
      </c>
      <c r="G503" s="1">
        <f t="shared" ref="G503:K503" si="524">SUM(G504:G505)</f>
        <v>3.3046669254558378</v>
      </c>
      <c r="H503" s="1">
        <f t="shared" si="524"/>
        <v>2.8793759857486917E-2</v>
      </c>
      <c r="I503" s="1">
        <f t="shared" si="524"/>
        <v>1.1807866639139408E-2</v>
      </c>
      <c r="J503" s="1">
        <f t="shared" si="524"/>
        <v>2.1147451228749808E-2</v>
      </c>
      <c r="K503" s="1">
        <f t="shared" si="524"/>
        <v>1.6923518033842729E-2</v>
      </c>
      <c r="L503" s="1">
        <f t="shared" ref="L503" si="525">SUM(L504:L505)</f>
        <v>4.3408670114832448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3.3175315534621435</v>
      </c>
      <c r="G504" s="6">
        <f>'[1]Electricity and CHPs_IN'!C$44-G363</f>
        <v>3.3046669254558378</v>
      </c>
      <c r="H504" s="6">
        <f>'[1]Electricity and CHPs_IN'!D$44-H363</f>
        <v>2.8793759857486917E-2</v>
      </c>
      <c r="I504" s="6">
        <f>'[1]Electricity and CHPs_IN'!E$44-I363</f>
        <v>1.1807866639139408E-2</v>
      </c>
      <c r="J504" s="6">
        <f>'[2]Electricity and CHPs_IN'!F$44-J363</f>
        <v>2.1147451228749808E-2</v>
      </c>
      <c r="K504" s="6">
        <f>'[2]Electricity and CHPs_IN'!G$44-K363</f>
        <v>1.6923518033842729E-2</v>
      </c>
      <c r="L504" s="6">
        <f>'[2]Electricity and CHPs_IN'!H$44-L363</f>
        <v>3.0758877549245515E-3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4.3377911237283202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3.3175315534621435</v>
      </c>
      <c r="G509" s="1">
        <f t="shared" ref="G509:K509" si="528">SUM(G510:G511)</f>
        <v>3.3046669254558378</v>
      </c>
      <c r="H509" s="1">
        <f t="shared" si="528"/>
        <v>2.8793759857486917E-2</v>
      </c>
      <c r="I509" s="1">
        <f t="shared" si="528"/>
        <v>1.1807866639139408E-2</v>
      </c>
      <c r="J509" s="1">
        <f t="shared" si="528"/>
        <v>2.1147451228749808E-2</v>
      </c>
      <c r="K509" s="1">
        <f t="shared" si="528"/>
        <v>1.6923518033842729E-2</v>
      </c>
      <c r="L509" s="1">
        <f t="shared" ref="L509" si="529">SUM(L510:L511)</f>
        <v>4.3408670114832448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3.3175315534621435</v>
      </c>
      <c r="G510" s="1">
        <f t="shared" ref="G510:K510" si="530">G504</f>
        <v>3.3046669254558378</v>
      </c>
      <c r="H510" s="1">
        <f t="shared" si="530"/>
        <v>2.8793759857486917E-2</v>
      </c>
      <c r="I510" s="1">
        <f t="shared" si="530"/>
        <v>1.1807866639139408E-2</v>
      </c>
      <c r="J510" s="1">
        <f t="shared" si="530"/>
        <v>2.1147451228749808E-2</v>
      </c>
      <c r="K510" s="1">
        <f t="shared" si="530"/>
        <v>1.6923518033842729E-2</v>
      </c>
      <c r="L510" s="1">
        <f t="shared" ref="L510" si="531">L504</f>
        <v>3.0758877549245515E-3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0</v>
      </c>
      <c r="L511" s="1">
        <f t="shared" ref="L511" si="533">L505</f>
        <v>4.3377911237283202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0.69183720079943645</v>
      </c>
      <c r="G512" s="1">
        <f t="shared" ref="G512:K512" si="534">SUM(G513:G517)</f>
        <v>0.55901202244750492</v>
      </c>
      <c r="H512" s="1">
        <f t="shared" si="534"/>
        <v>4.0008035643488835</v>
      </c>
      <c r="I512" s="1">
        <f t="shared" si="534"/>
        <v>7.2202205781151365</v>
      </c>
      <c r="J512" s="1">
        <f t="shared" si="534"/>
        <v>8.9999364380910354</v>
      </c>
      <c r="K512" s="1">
        <f t="shared" si="534"/>
        <v>11.207034337569292</v>
      </c>
      <c r="L512" s="1">
        <f t="shared" ref="L512" si="535">SUM(L513:L517)</f>
        <v>13.682151977197032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0.69183720079943645</v>
      </c>
      <c r="G513" s="6">
        <f>'[1]Electricity and CHPs_IN'!C$42-G382</f>
        <v>0.55901202244750492</v>
      </c>
      <c r="H513" s="6">
        <f>'[1]Electricity and CHPs_IN'!D$42-H382</f>
        <v>4.0008035643488835</v>
      </c>
      <c r="I513" s="6">
        <f>'[1]Electricity and CHPs_IN'!E$42-I382</f>
        <v>6.4122007022634619</v>
      </c>
      <c r="J513" s="6">
        <f>'[2]Electricity and CHPs_IN'!F$42-J382</f>
        <v>7.7429526508878102</v>
      </c>
      <c r="K513" s="6">
        <f>'[2]Electricity and CHPs_IN'!G$42-K382</f>
        <v>8.849382196776169</v>
      </c>
      <c r="L513" s="6">
        <f>'[2]Electricity and CHPs_IN'!H$42-L382</f>
        <v>6.6994146980986828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0.26008996128442197</v>
      </c>
      <c r="L514" s="1">
        <f>'[2]Electricity and CHPs_IN'!H$43-L383</f>
        <v>2.8760054580989882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0.33257068540991169</v>
      </c>
      <c r="J515" s="1">
        <f>'[2]Electricity and CHPs_IN'!F$50-J384</f>
        <v>0.47571761614675678</v>
      </c>
      <c r="K515" s="1">
        <f>'[2]Electricity and CHPs_IN'!G$50-K384</f>
        <v>0.72531836034794772</v>
      </c>
      <c r="L515" s="1">
        <f>'[2]Electricity and CHPs_IN'!H$50-L384</f>
        <v>0.61615897871166303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0.33244517932263168</v>
      </c>
      <c r="J516" s="1">
        <f>'[2]Electricity and CHPs_IN'!F$53-J385</f>
        <v>0.48229393343748661</v>
      </c>
      <c r="K516" s="1">
        <f>'[2]Electricity and CHPs_IN'!G$53-K385</f>
        <v>0.91423614278162435</v>
      </c>
      <c r="L516" s="1">
        <f>'[2]Electricity and CHPs_IN'!H$53-L385</f>
        <v>3.1949836069586821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0.14300401111913208</v>
      </c>
      <c r="J517" s="1">
        <f>'[2]Electricity and CHPs_IN'!F$56-J386</f>
        <v>0.29897223761898251</v>
      </c>
      <c r="K517" s="1">
        <f>'[2]Electricity and CHPs_IN'!G$56-K386</f>
        <v>0.45800767637912926</v>
      </c>
      <c r="L517" s="1">
        <f>'[2]Electricity and CHPs_IN'!H$56-L386</f>
        <v>0.29558923532901671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3.1567466906666222E-3</v>
      </c>
      <c r="J518" s="1">
        <f t="shared" si="536"/>
        <v>8.7550424373984345E-3</v>
      </c>
      <c r="K518" s="1">
        <f t="shared" si="536"/>
        <v>7.551668552251414E-3</v>
      </c>
      <c r="L518" s="1">
        <f t="shared" ref="L518" si="537">SUM(L519:L520)</f>
        <v>5.1295233304987101E-2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5.8318993235678407E-3</v>
      </c>
      <c r="K519" s="1">
        <f>'[2]Electricity and CHPs_IN'!G$46-K399</f>
        <v>3.7075377850599679E-3</v>
      </c>
      <c r="L519" s="1">
        <f>'[2]Electricity and CHPs_IN'!H$46-L399</f>
        <v>4.6734994967375987E-2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3.1567466906666222E-3</v>
      </c>
      <c r="J520" s="1">
        <f>'[2]Electricity and CHPs_IN'!F$57-J400</f>
        <v>2.9231431138305947E-3</v>
      </c>
      <c r="K520" s="1">
        <f>'[2]Electricity and CHPs_IN'!G$57-K400</f>
        <v>3.8441307671914461E-3</v>
      </c>
      <c r="L520" s="1">
        <f>'[2]Electricity and CHPs_IN'!H$57-L400</f>
        <v>4.5602383376111104E-3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0.32978918575931371</v>
      </c>
      <c r="G522" s="13">
        <f t="shared" si="538"/>
        <v>0.3267271324561894</v>
      </c>
      <c r="H522" s="13">
        <f t="shared" si="538"/>
        <v>0.32637053973209779</v>
      </c>
      <c r="I522" s="13">
        <f t="shared" si="538"/>
        <v>0.33022531806800037</v>
      </c>
      <c r="J522" s="13">
        <f t="shared" si="538"/>
        <v>0.33008913823994096</v>
      </c>
      <c r="K522" s="13">
        <f t="shared" si="538"/>
        <v>0.33008892402362783</v>
      </c>
      <c r="L522" s="13">
        <f t="shared" ref="L522" si="539">IFERROR(L65/L293,"-")</f>
        <v>0.33066815437505082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0.79999990611351157</v>
      </c>
      <c r="G525" s="13">
        <f t="shared" si="540"/>
        <v>0.7999998797315101</v>
      </c>
      <c r="H525" s="13">
        <f t="shared" si="540"/>
        <v>0.79999951421079896</v>
      </c>
      <c r="I525" s="13">
        <f t="shared" si="540"/>
        <v>0.80000001639435592</v>
      </c>
      <c r="J525" s="13">
        <f t="shared" si="540"/>
        <v>0.80000010562155965</v>
      </c>
      <c r="K525" s="13">
        <f t="shared" si="540"/>
        <v>0.80000010519700016</v>
      </c>
      <c r="L525" s="13">
        <f t="shared" ref="L525" si="543">IFERROR(L69/L297,"-")</f>
        <v>0.80000008300661285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0.3009457291296127</v>
      </c>
      <c r="G526" s="13">
        <f t="shared" ref="G526:K526" si="544">IFERROR(G71/G299,"-")</f>
        <v>6.8365369668443345E-5</v>
      </c>
      <c r="H526" s="13">
        <f t="shared" si="544"/>
        <v>0.34180583728213049</v>
      </c>
      <c r="I526" s="13">
        <f t="shared" si="544"/>
        <v>0.28284247285449349</v>
      </c>
      <c r="J526" s="13">
        <f t="shared" si="544"/>
        <v>0.29824395368243845</v>
      </c>
      <c r="K526" s="13">
        <f t="shared" si="544"/>
        <v>0.27158008395227867</v>
      </c>
      <c r="L526" s="13">
        <f t="shared" ref="L526" si="545">IFERROR(L71/L299,"-")</f>
        <v>0.31440134440084605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6.5213684204826206E-2</v>
      </c>
      <c r="G527" s="13">
        <f t="shared" ref="G527:K527" si="546">IFERROR(G72/(G300+G413),"-")</f>
        <v>5.3424396750979376E-5</v>
      </c>
      <c r="H527" s="13">
        <f t="shared" si="546"/>
        <v>8.9672734506311635E-2</v>
      </c>
      <c r="I527" s="13">
        <f t="shared" si="546"/>
        <v>9.9678050179609096E-2</v>
      </c>
      <c r="J527" s="13">
        <f t="shared" si="546"/>
        <v>0.1038043562580724</v>
      </c>
      <c r="K527" s="13">
        <f t="shared" si="546"/>
        <v>8.6830714619448565E-2</v>
      </c>
      <c r="L527" s="13">
        <f t="shared" ref="L527" si="547">IFERROR(L72/(L300+L413),"-")</f>
        <v>0.10220357670380904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0.2288636152175092</v>
      </c>
      <c r="G528" s="13">
        <f t="shared" ref="G528:K528" si="548">IFERROR(G73/(G301+G465),"-")</f>
        <v>0.24659644779564285</v>
      </c>
      <c r="H528" s="13">
        <f t="shared" si="548"/>
        <v>0.25113823812911884</v>
      </c>
      <c r="I528" s="13">
        <f t="shared" si="548"/>
        <v>0.26334977519830666</v>
      </c>
      <c r="J528" s="13">
        <f t="shared" si="548"/>
        <v>0.26289796741867355</v>
      </c>
      <c r="K528" s="13">
        <f t="shared" si="548"/>
        <v>0.26246549123511886</v>
      </c>
      <c r="L528" s="13">
        <f t="shared" ref="L528" si="549">IFERROR(L73/(L301+L465),"-")</f>
        <v>0.26195025897019242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0.5277802807204498</v>
      </c>
      <c r="L529" s="13">
        <f t="shared" ref="L529" si="551">IFERROR(L83/L311,"-")</f>
        <v>0.58361362339704892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>
        <f t="shared" si="552"/>
        <v>0.3702177357184096</v>
      </c>
      <c r="J530" s="13">
        <f t="shared" si="552"/>
        <v>0.37757752446786685</v>
      </c>
      <c r="K530" s="13">
        <f t="shared" si="552"/>
        <v>0.35084671489403713</v>
      </c>
      <c r="L530" s="13">
        <f t="shared" ref="L530" si="553">IFERROR(L84/L312,"-")</f>
        <v>0.41337135617729442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>
        <f t="shared" si="554"/>
        <v>0</v>
      </c>
      <c r="L531" s="13">
        <f t="shared" ref="L531" si="555">IFERROR(L85/L313,"-")</f>
        <v>0.51972480036570035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0.26145506879452657</v>
      </c>
      <c r="G532" s="13">
        <f t="shared" ref="G532:K532" si="556">IFERROR(G86/SUM(G314,G419),"-")</f>
        <v>0.20806469578458786</v>
      </c>
      <c r="H532" s="13">
        <f t="shared" si="556"/>
        <v>0.25433109922281771</v>
      </c>
      <c r="I532" s="13">
        <f t="shared" si="556"/>
        <v>0.23314299552159312</v>
      </c>
      <c r="J532" s="13">
        <f t="shared" si="556"/>
        <v>0.2418579910982909</v>
      </c>
      <c r="K532" s="13">
        <f t="shared" si="556"/>
        <v>0.21823443342158563</v>
      </c>
      <c r="L532" s="13">
        <f t="shared" ref="L532" si="557">IFERROR(L86/SUM(L314,L419),"-")</f>
        <v>0.25176456450545365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>
        <f t="shared" si="558"/>
        <v>0.39999999999999969</v>
      </c>
      <c r="L533" s="13">
        <f t="shared" ref="L533" si="559">IFERROR(L87/SUM(L315,L420),"-")</f>
        <v>0.4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0.34677567857074049</v>
      </c>
      <c r="G534" s="13">
        <f t="shared" ref="G534:K534" si="560">IFERROR(G88/SUM(G316,G471),"-'")</f>
        <v>0.35195195850976801</v>
      </c>
      <c r="H534" s="13">
        <f t="shared" si="560"/>
        <v>0.35444041395883863</v>
      </c>
      <c r="I534" s="13">
        <f t="shared" si="560"/>
        <v>0.35699146539058668</v>
      </c>
      <c r="J534" s="13">
        <f t="shared" si="560"/>
        <v>0.35591267675481092</v>
      </c>
      <c r="K534" s="13">
        <f t="shared" si="560"/>
        <v>0.35511995654976797</v>
      </c>
      <c r="L534" s="13">
        <f t="shared" ref="L534" si="561">IFERROR(L88/SUM(L316,L471),"-'")</f>
        <v>0.2020309281880355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</v>
      </c>
      <c r="L535" s="13">
        <f t="shared" ref="L535" si="564">IFERROR(L89/SUM(L317,L472),"-")</f>
        <v>0.29947872959485905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0.19030450391919823</v>
      </c>
      <c r="G537" s="13">
        <f t="shared" ref="G537:K537" si="567">IFERROR(G91/SUM(G319,G474),"-")</f>
        <v>0.26509167990335775</v>
      </c>
      <c r="H537" s="13">
        <f t="shared" si="567"/>
        <v>0.20790608820787462</v>
      </c>
      <c r="I537" s="13">
        <f t="shared" si="567"/>
        <v>0.24274502446174084</v>
      </c>
      <c r="J537" s="13">
        <f t="shared" si="567"/>
        <v>0.24076523825563362</v>
      </c>
      <c r="K537" s="13">
        <f t="shared" si="567"/>
        <v>0.25743888952691618</v>
      </c>
      <c r="L537" s="13">
        <f t="shared" ref="L537" si="568">IFERROR(L91/SUM(L319,L474),"-")</f>
        <v>0.27256980737011538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>
        <f t="shared" si="569"/>
        <v>0.42</v>
      </c>
      <c r="J538" s="13">
        <f t="shared" si="569"/>
        <v>0.42999999999999994</v>
      </c>
      <c r="K538" s="13">
        <f t="shared" si="569"/>
        <v>0.43999999999999989</v>
      </c>
      <c r="L538" s="13">
        <f t="shared" ref="L538" si="570">IFERROR(L92/SUM(L320,L475),"-")</f>
        <v>0.45000000000000029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0.22499861717179509</v>
      </c>
      <c r="G539" s="13">
        <f t="shared" ref="G539:K539" si="571">IFERROR(G93/SUM(G321,G476),"-")</f>
        <v>0.28363047869204056</v>
      </c>
      <c r="H539" s="13">
        <f t="shared" si="571"/>
        <v>0.26462088930054001</v>
      </c>
      <c r="I539" s="13">
        <f t="shared" si="571"/>
        <v>0.2995971232139123</v>
      </c>
      <c r="J539" s="13">
        <f t="shared" si="571"/>
        <v>0.30165662954546779</v>
      </c>
      <c r="K539" s="13">
        <f t="shared" si="571"/>
        <v>0.30412364585120855</v>
      </c>
      <c r="L539" s="13">
        <f t="shared" ref="L539" si="572">IFERROR(L93/SUM(L321,L476),"-")</f>
        <v>0.30674061371815076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>
        <f t="shared" si="573"/>
        <v>0.42000000000000026</v>
      </c>
      <c r="J540" s="13">
        <f t="shared" si="573"/>
        <v>0.42999999999999988</v>
      </c>
      <c r="K540" s="13">
        <f t="shared" si="573"/>
        <v>0.43999999999999984</v>
      </c>
      <c r="L540" s="13">
        <f t="shared" ref="L540" si="574">IFERROR(L94/SUM(L322,L477),"-")</f>
        <v>0.44999999999999968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0.36265592760101079</v>
      </c>
      <c r="G541" s="13">
        <f t="shared" ref="G541:K541" si="575">IFERROR(G95/SUM(G323,G478),"-")</f>
        <v>0.36307538864160938</v>
      </c>
      <c r="H541" s="13">
        <f t="shared" si="575"/>
        <v>0.33184023252624906</v>
      </c>
      <c r="I541" s="13">
        <f t="shared" si="575"/>
        <v>0.36471342392260342</v>
      </c>
      <c r="J541" s="13">
        <f t="shared" si="575"/>
        <v>0.36937377036229135</v>
      </c>
      <c r="K541" s="13">
        <f t="shared" si="575"/>
        <v>0.37434794029739743</v>
      </c>
      <c r="L541" s="13">
        <f t="shared" ref="L541" si="576">IFERROR(L95/SUM(L323,L478),"-")</f>
        <v>0.38513916635219536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0.35327462535967252</v>
      </c>
      <c r="G542" s="13">
        <f t="shared" ref="G542:K542" si="577">IFERROR(G96/SUM(G324,G479),"-")</f>
        <v>0.35999812868800379</v>
      </c>
      <c r="H542" s="13">
        <f t="shared" si="577"/>
        <v>0.35199525879477939</v>
      </c>
      <c r="I542" s="13">
        <f t="shared" si="577"/>
        <v>0.34767103561032714</v>
      </c>
      <c r="J542" s="13">
        <f t="shared" si="577"/>
        <v>0.35256858089077819</v>
      </c>
      <c r="K542" s="13">
        <f t="shared" si="577"/>
        <v>0.35278502832790792</v>
      </c>
      <c r="L542" s="13">
        <f t="shared" ref="L542" si="578">IFERROR(L96/SUM(L324,L479),"-")</f>
        <v>0.29614732458809823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>
        <f t="shared" si="579"/>
        <v>0.59999999999999976</v>
      </c>
      <c r="J543" s="13">
        <f t="shared" si="579"/>
        <v>0.60499999999999998</v>
      </c>
      <c r="K543" s="13">
        <f t="shared" si="579"/>
        <v>0.61000000000000021</v>
      </c>
      <c r="L543" s="13">
        <f t="shared" ref="L543" si="580">IFERROR(L97/SUM(L325,L480),"-")</f>
        <v>0.62000000000000099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581">IFERROR(G131/G359,"-")</f>
        <v>0.35745695376016606</v>
      </c>
      <c r="H544" s="13">
        <f t="shared" si="581"/>
        <v>0.35745695376016551</v>
      </c>
      <c r="I544" s="13">
        <f t="shared" si="581"/>
        <v>0.35745695376016612</v>
      </c>
      <c r="J544" s="13">
        <f t="shared" si="581"/>
        <v>0.35745695376016567</v>
      </c>
      <c r="K544" s="13">
        <f t="shared" si="581"/>
        <v>0.35745695376016601</v>
      </c>
      <c r="L544" s="13">
        <f t="shared" ref="L544" si="582">IFERROR(L131/L359,"-")</f>
        <v>0.35745695376016567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 t="str">
        <f t="shared" si="583"/>
        <v>-</v>
      </c>
      <c r="L545" s="13">
        <f t="shared" ref="L545" si="584">IFERROR(L132/L360,"-")</f>
        <v>0.34140256108732603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3.8383651727577635E-2</v>
      </c>
      <c r="G546" s="13">
        <f t="shared" ref="G546:K546" si="585">IFERROR(G133/SUM(G361,G428),"-")</f>
        <v>3.702056535222336E-2</v>
      </c>
      <c r="H546" s="13">
        <f t="shared" si="585"/>
        <v>3.6789012310203019E-2</v>
      </c>
      <c r="I546" s="13">
        <f t="shared" si="585"/>
        <v>3.6403882198244114E-2</v>
      </c>
      <c r="J546" s="13">
        <f t="shared" si="585"/>
        <v>3.5398880210950313E-2</v>
      </c>
      <c r="K546" s="13">
        <f t="shared" si="585"/>
        <v>3.4672373620737537E-2</v>
      </c>
      <c r="L546" s="13">
        <f t="shared" ref="L546" si="586">IFERROR(L133/SUM(L361,L428),"-")</f>
        <v>1.1642769397546895E-2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 t="str">
        <f t="shared" si="587"/>
        <v>-</v>
      </c>
      <c r="L547" s="13">
        <f t="shared" ref="L547" si="588">IFERROR(L134/SUM(L362,L429),"-")</f>
        <v>5.3999999999999986E-2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6.1974325758488186E-2</v>
      </c>
      <c r="G548" s="13">
        <f t="shared" ref="G548:K548" si="589">IFERROR(G135/SUM(G363,G504),"-")</f>
        <v>6.1973076335662867E-2</v>
      </c>
      <c r="H548" s="13">
        <f t="shared" si="589"/>
        <v>6.1972650567355327E-2</v>
      </c>
      <c r="I548" s="13">
        <f t="shared" si="589"/>
        <v>6.1972650567355292E-2</v>
      </c>
      <c r="J548" s="13">
        <f t="shared" si="589"/>
        <v>6.1972650567355347E-2</v>
      </c>
      <c r="K548" s="13">
        <f t="shared" si="589"/>
        <v>6.1972650567355174E-2</v>
      </c>
      <c r="L548" s="13">
        <f t="shared" ref="L548" si="590">IFERROR(L135/SUM(L363,L504),"-")</f>
        <v>6.1972650567355257E-2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 t="str">
        <f t="shared" si="591"/>
        <v>-</v>
      </c>
      <c r="L549" s="13">
        <f t="shared" ref="L549" si="592">IFERROR(L136/SUM(L364,L505),"-")</f>
        <v>4.5431760215214279E-2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0.22812789104350842</v>
      </c>
      <c r="G550" s="13">
        <f t="shared" ref="G550:K550" si="593">IFERROR(G152/SUM(G380,G437),"-")</f>
        <v>0.249729803534116</v>
      </c>
      <c r="H550" s="13">
        <f t="shared" si="593"/>
        <v>0.24880577796460621</v>
      </c>
      <c r="I550" s="13">
        <f t="shared" si="593"/>
        <v>4.6345772552048884E-3</v>
      </c>
      <c r="J550" s="13">
        <f t="shared" si="593"/>
        <v>5.0961982633317086E-3</v>
      </c>
      <c r="K550" s="13">
        <f t="shared" si="593"/>
        <v>4.5287528398076675E-3</v>
      </c>
      <c r="L550" s="13">
        <f t="shared" ref="L550" si="594">IFERROR(L152/SUM(L380,L437),"-")</f>
        <v>2.7655736192807464E-3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</v>
      </c>
      <c r="L551" s="13">
        <f t="shared" ref="L551" si="596">IFERROR(L153/L381,"-")</f>
        <v>3.9537152293144466E-2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0.19761828895814498</v>
      </c>
      <c r="G552" s="13">
        <f t="shared" ref="G552:K552" si="597">IFERROR(G154/SUM(G382,G513),"-")</f>
        <v>0.2258138024045126</v>
      </c>
      <c r="H552" s="13">
        <f t="shared" si="597"/>
        <v>0.26798487344804445</v>
      </c>
      <c r="I552" s="13">
        <f t="shared" si="597"/>
        <v>0.33246537363563894</v>
      </c>
      <c r="J552" s="13">
        <f t="shared" si="597"/>
        <v>0.33835770998348075</v>
      </c>
      <c r="K552" s="13">
        <f t="shared" si="597"/>
        <v>0.34236782950049743</v>
      </c>
      <c r="L552" s="13">
        <f t="shared" ref="L552" si="598">IFERROR(L154/SUM(L382,L513),"-")</f>
        <v>0.3545896823810698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</v>
      </c>
      <c r="L553" s="13">
        <f t="shared" ref="L553" si="600">IFERROR(L155/SUM(L383,L514),"-")</f>
        <v>0.31743603742098592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>
        <f t="shared" si="601"/>
        <v>3.1320532852754271E-3</v>
      </c>
      <c r="J554" s="13">
        <f t="shared" si="601"/>
        <v>4.0461719575790858E-3</v>
      </c>
      <c r="K554" s="13">
        <f t="shared" si="601"/>
        <v>2.9498695433265365E-3</v>
      </c>
      <c r="L554" s="13">
        <f t="shared" ref="L554" si="602">IFERROR(L156/SUM(L384,L515),"-")</f>
        <v>3.2950960594759241E-3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>
        <f t="shared" si="603"/>
        <v>4.5582386138031368E-3</v>
      </c>
      <c r="J555" s="13">
        <f t="shared" si="603"/>
        <v>7.2809456000977671E-3</v>
      </c>
      <c r="K555" s="13">
        <f t="shared" si="603"/>
        <v>5.8479303696551008E-2</v>
      </c>
      <c r="L555" s="13">
        <f t="shared" ref="L555" si="604">IFERROR(L157/SUM(L385,L516),"-")</f>
        <v>0.23130525786591064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>
        <f t="shared" si="605"/>
        <v>3.4359368131129109E-3</v>
      </c>
      <c r="J556" s="13">
        <f t="shared" si="605"/>
        <v>3.5006297737277224E-3</v>
      </c>
      <c r="K556" s="13">
        <f t="shared" si="605"/>
        <v>1.9932044121229783E-3</v>
      </c>
      <c r="L556" s="13">
        <f t="shared" ref="L556" si="606">IFERROR(L158/SUM(L386,L517),"-")</f>
        <v>1.4479602707651773E-3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 t="str">
        <f t="shared" si="607"/>
        <v>-</v>
      </c>
      <c r="L563" s="13" t="str">
        <f t="shared" ref="L563" si="608">IFERROR(L168/L396,"-")</f>
        <v>-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0.4200000000000001</v>
      </c>
      <c r="L564" s="13">
        <f t="shared" ref="L564" si="610">IFERROR(L170/SUM(L398,L439),"-")</f>
        <v>0.41999999999999987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 t="str">
        <f t="shared" si="611"/>
        <v>-</v>
      </c>
      <c r="J565" s="13">
        <f t="shared" si="611"/>
        <v>0.52249999999999941</v>
      </c>
      <c r="K565" s="13">
        <f t="shared" si="611"/>
        <v>0.54999999999999938</v>
      </c>
      <c r="L565" s="13">
        <f t="shared" ref="L565" si="612">IFERROR(L171/SUM(L399,L519),"-")</f>
        <v>0.59999999999999953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>
        <f t="shared" si="613"/>
        <v>0.47492792286664998</v>
      </c>
      <c r="J566" s="13">
        <f t="shared" si="613"/>
        <v>0.50749999999999973</v>
      </c>
      <c r="K566" s="13">
        <f t="shared" si="613"/>
        <v>0.54000000000000048</v>
      </c>
      <c r="L566" s="13">
        <f t="shared" ref="L566" si="614">IFERROR(L172/SUM(L400,L520),"-")</f>
        <v>0.57500000000000051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0.69990248621037421</v>
      </c>
      <c r="G567" s="13">
        <f t="shared" si="615"/>
        <v>0.6994794723071448</v>
      </c>
      <c r="H567" s="13">
        <f t="shared" si="615"/>
        <v>0.69998025491386107</v>
      </c>
      <c r="I567" s="13">
        <f t="shared" si="615"/>
        <v>0.69998005189702917</v>
      </c>
      <c r="J567" s="13">
        <f t="shared" si="615"/>
        <v>0.69968206907121733</v>
      </c>
      <c r="K567" s="13">
        <f t="shared" si="615"/>
        <v>0.69942002835177874</v>
      </c>
      <c r="L567" s="13">
        <f t="shared" ref="L567" si="616">IFERROR(L174/L402,"-")</f>
        <v>0.69998615242760998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0.86627968364692587</v>
      </c>
      <c r="G568" s="13">
        <f t="shared" si="615"/>
        <v>0.865807276523477</v>
      </c>
      <c r="H568" s="13">
        <f t="shared" si="615"/>
        <v>0.86701957517308403</v>
      </c>
      <c r="I568" s="13">
        <f t="shared" si="615"/>
        <v>0.86700414378824486</v>
      </c>
      <c r="J568" s="13">
        <f t="shared" si="615"/>
        <v>0.86698890629792469</v>
      </c>
      <c r="K568" s="13">
        <f t="shared" si="615"/>
        <v>0.86700584606303954</v>
      </c>
      <c r="L568" s="13">
        <f t="shared" ref="L568" si="617">IFERROR(L175/L403,"-")</f>
        <v>0.8670385424697522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0.89412364732918126</v>
      </c>
      <c r="G569" s="13">
        <f t="shared" si="615"/>
        <v>0.89419432446185743</v>
      </c>
      <c r="H569" s="13">
        <f t="shared" si="615"/>
        <v>0.89421841416173531</v>
      </c>
      <c r="I569" s="13">
        <f t="shared" si="615"/>
        <v>0.89423525547244043</v>
      </c>
      <c r="J569" s="13">
        <f t="shared" si="615"/>
        <v>0.89421327249748817</v>
      </c>
      <c r="K569" s="13">
        <f t="shared" si="615"/>
        <v>0.89422031121168521</v>
      </c>
      <c r="L569" s="13">
        <f t="shared" ref="L569" si="618">IFERROR(L176/L404,"-")</f>
        <v>0.8942668948006538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0.90102377889405361</v>
      </c>
      <c r="G570" s="13">
        <f t="shared" si="615"/>
        <v>0.90154505154555142</v>
      </c>
      <c r="H570" s="13">
        <f t="shared" si="615"/>
        <v>0.90425657373397805</v>
      </c>
      <c r="I570" s="13">
        <f t="shared" si="615"/>
        <v>0.90426433644023296</v>
      </c>
      <c r="J570" s="13">
        <f t="shared" si="615"/>
        <v>0.90426546303589539</v>
      </c>
      <c r="K570" s="13">
        <f t="shared" si="615"/>
        <v>0.90426862907407768</v>
      </c>
      <c r="L570" s="13">
        <f t="shared" ref="L570" si="619">IFERROR(L177/L405,"-")</f>
        <v>0.90426914404204339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0.90095105772131889</v>
      </c>
      <c r="G571" s="13">
        <f t="shared" si="615"/>
        <v>0.90111489946042589</v>
      </c>
      <c r="H571" s="13">
        <f t="shared" si="615"/>
        <v>0.90425308176014674</v>
      </c>
      <c r="I571" s="13">
        <f t="shared" si="615"/>
        <v>0.90426201695607533</v>
      </c>
      <c r="J571" s="13">
        <f t="shared" si="615"/>
        <v>0.90425459220672866</v>
      </c>
      <c r="K571" s="13">
        <f t="shared" si="615"/>
        <v>0.90426409494250959</v>
      </c>
      <c r="L571" s="13">
        <f t="shared" ref="L571" si="620">IFERROR(L178/L406,"-")</f>
        <v>0.90426435370336578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0.90097937154651941</v>
      </c>
      <c r="G572" s="13">
        <f t="shared" si="615"/>
        <v>0.90114129171978985</v>
      </c>
      <c r="H572" s="13">
        <f t="shared" si="615"/>
        <v>0.90423294528385256</v>
      </c>
      <c r="I572" s="13">
        <f t="shared" si="615"/>
        <v>0.90425037752471615</v>
      </c>
      <c r="J572" s="13">
        <f t="shared" si="615"/>
        <v>0.90423593432938454</v>
      </c>
      <c r="K572" s="13">
        <f t="shared" si="615"/>
        <v>0.90425709411300348</v>
      </c>
      <c r="L572" s="13">
        <f t="shared" ref="L572" si="621">IFERROR(L179/L407,"-")</f>
        <v>0.90425746078224523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0.9010787095582542</v>
      </c>
      <c r="G573" s="13">
        <f t="shared" si="615"/>
        <v>0.9015905757822299</v>
      </c>
      <c r="H573" s="13">
        <f t="shared" si="615"/>
        <v>0.90425966654133283</v>
      </c>
      <c r="I573" s="13">
        <f t="shared" si="615"/>
        <v>0.90426564775507445</v>
      </c>
      <c r="J573" s="13">
        <f t="shared" si="615"/>
        <v>0.9042617159005828</v>
      </c>
      <c r="K573" s="13">
        <f t="shared" si="615"/>
        <v>0.90426683458933388</v>
      </c>
      <c r="L573" s="13">
        <f t="shared" ref="L573" si="622">IFERROR(L180/L408,"-")</f>
        <v>0.904267016993202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0.59933616576176441</v>
      </c>
      <c r="G575" s="4">
        <f t="shared" ref="G575:K575" si="623">IFERROR(G212/G442,"-")</f>
        <v>0.65815529878101509</v>
      </c>
      <c r="H575" s="4">
        <f t="shared" si="623"/>
        <v>0.3824634833502869</v>
      </c>
      <c r="I575" s="4">
        <f t="shared" si="623"/>
        <v>0.57770822338112593</v>
      </c>
      <c r="J575" s="4">
        <f t="shared" si="623"/>
        <v>0.53958305107506155</v>
      </c>
      <c r="K575" s="4">
        <f t="shared" si="623"/>
        <v>0.4446658851600635</v>
      </c>
      <c r="L575" s="4">
        <f t="shared" ref="L575" si="624">IFERROR(L212/L442,"-")</f>
        <v>0.38084762074878925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>
        <f t="shared" si="625"/>
        <v>2</v>
      </c>
      <c r="L576" s="4">
        <f t="shared" ref="L576" si="626">IFERROR(L218/L448,"-")</f>
        <v>2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27">IFERROR(G220/G450,"-")</f>
        <v>0.85445501111132516</v>
      </c>
      <c r="H577" s="4">
        <f t="shared" si="627"/>
        <v>0.85445501111132516</v>
      </c>
      <c r="I577" s="4">
        <f t="shared" si="627"/>
        <v>0.85445501111132516</v>
      </c>
      <c r="J577" s="4">
        <f t="shared" si="627"/>
        <v>0.85445501111132482</v>
      </c>
      <c r="K577" s="4">
        <f t="shared" si="627"/>
        <v>0.85445501111132538</v>
      </c>
      <c r="L577" s="4">
        <f t="shared" ref="L577" si="628">IFERROR(L220/L450,"-")</f>
        <v>0.85445501111132582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29">IFERROR(G226/G456,"-")</f>
        <v>0.69999999999999973</v>
      </c>
      <c r="H578" s="4">
        <f t="shared" si="629"/>
        <v>0.69999999999999951</v>
      </c>
      <c r="I578" s="4">
        <f t="shared" si="629"/>
        <v>0.69999999999999973</v>
      </c>
      <c r="J578" s="4">
        <f t="shared" si="629"/>
        <v>0.69999999999999951</v>
      </c>
      <c r="K578" s="4">
        <f t="shared" si="629"/>
        <v>0.70000000000000073</v>
      </c>
      <c r="L578" s="4">
        <f t="shared" ref="L578" si="630">IFERROR(L226/L456,"-")</f>
        <v>0.69999999999999907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 t="str">
        <f t="shared" si="631"/>
        <v>-</v>
      </c>
      <c r="J579" t="str">
        <f t="shared" si="631"/>
        <v>-</v>
      </c>
      <c r="K579" t="str">
        <f t="shared" si="631"/>
        <v>-</v>
      </c>
      <c r="L579" t="str">
        <f t="shared" ref="L579" si="632">IFERROR(L228/L458,"-")</f>
        <v>-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 t="str">
        <f t="shared" si="633"/>
        <v>-</v>
      </c>
      <c r="L580" t="str">
        <f t="shared" ref="L580" si="634">IFERROR(L230/L460,"-")</f>
        <v>-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2.8999999999999986</v>
      </c>
      <c r="H581" s="4">
        <f t="shared" si="635"/>
        <v>2.8999999999999977</v>
      </c>
      <c r="I581" s="4">
        <f t="shared" si="635"/>
        <v>2.8999999999999959</v>
      </c>
      <c r="J581" s="4">
        <f t="shared" si="635"/>
        <v>2.9000000000000017</v>
      </c>
      <c r="K581" s="4">
        <f t="shared" si="635"/>
        <v>2.9000000000000004</v>
      </c>
      <c r="L581" s="4">
        <f t="shared" ref="L581" si="636">IFERROR(L232/L462,"-")</f>
        <v>2.9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0.86109934187717241</v>
      </c>
      <c r="G582" s="3">
        <f>[1]Other_transformation!C$5</f>
        <v>0.63725495042073454</v>
      </c>
      <c r="H582" s="3">
        <f>[1]Other_transformation!D$5</f>
        <v>1.2033404851988687</v>
      </c>
      <c r="I582" s="3">
        <f>[1]Other_transformation!E$5</f>
        <v>0</v>
      </c>
      <c r="J582" s="3">
        <f>[2]Other_transformation!F$5</f>
        <v>0</v>
      </c>
      <c r="K582" s="3">
        <f>[2]Other_transformation!G$5</f>
        <v>0</v>
      </c>
      <c r="L582" s="3">
        <f>[2]Other_transformation!H$5</f>
        <v>0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0.86109934187717241</v>
      </c>
      <c r="G583" s="1">
        <f t="shared" ref="G583:K583" si="637">G582</f>
        <v>0.63725495042073454</v>
      </c>
      <c r="H583" s="1">
        <f t="shared" si="637"/>
        <v>1.2033404851988687</v>
      </c>
      <c r="I583" s="1">
        <f t="shared" si="637"/>
        <v>0</v>
      </c>
      <c r="J583" s="1">
        <f t="shared" si="637"/>
        <v>0</v>
      </c>
      <c r="K583" s="1">
        <f t="shared" si="637"/>
        <v>0</v>
      </c>
      <c r="L583" s="1">
        <f t="shared" ref="L583" si="638">L582</f>
        <v>0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0.86109934187717241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0.63725495042073454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1.2033404851988687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0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0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0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0.33582874333209661</v>
      </c>
      <c r="G586" s="3">
        <f t="shared" ref="G586:L586" si="639">G587</f>
        <v>0.24852943066408614</v>
      </c>
      <c r="H586" s="3">
        <f t="shared" si="639"/>
        <v>0.46930278922755841</v>
      </c>
      <c r="I586" s="3">
        <f t="shared" si="639"/>
        <v>0</v>
      </c>
      <c r="J586" s="3">
        <f t="shared" si="639"/>
        <v>0</v>
      </c>
      <c r="K586" s="3">
        <f t="shared" si="639"/>
        <v>0</v>
      </c>
      <c r="L586" s="3">
        <f t="shared" si="639"/>
        <v>0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0.33582874333209661</v>
      </c>
      <c r="G587" s="1">
        <f t="shared" ref="G587:K587" si="640">SUM(G588:G589)</f>
        <v>0.24852943066408614</v>
      </c>
      <c r="H587" s="1">
        <f t="shared" si="640"/>
        <v>0.46930278922755841</v>
      </c>
      <c r="I587" s="1">
        <f t="shared" si="640"/>
        <v>0</v>
      </c>
      <c r="J587" s="1">
        <f t="shared" si="640"/>
        <v>0</v>
      </c>
      <c r="K587" s="1">
        <f t="shared" si="640"/>
        <v>0</v>
      </c>
      <c r="L587" s="1">
        <f t="shared" ref="L587" si="641">SUM(L588:L589)</f>
        <v>0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0.33582874333209661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0.24852943066408614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0.46930278922755841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0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0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0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2.5135489789394652</v>
      </c>
      <c r="G590" s="3">
        <f t="shared" ref="G590:K590" si="642">G591+G594</f>
        <v>1.8601472002781225</v>
      </c>
      <c r="H590" s="3">
        <f t="shared" si="642"/>
        <v>3.5125508762954967</v>
      </c>
      <c r="I590" s="3">
        <f t="shared" si="642"/>
        <v>0</v>
      </c>
      <c r="J590" s="3">
        <f t="shared" si="642"/>
        <v>0</v>
      </c>
      <c r="K590" s="3">
        <f t="shared" si="642"/>
        <v>0</v>
      </c>
      <c r="L590" s="3">
        <f t="shared" ref="L590" si="643">L591+L594</f>
        <v>0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2.4537025746790015</v>
      </c>
      <c r="G591" s="1">
        <f t="shared" ref="G591:K591" si="644">SUM(G592:G593)</f>
        <v>1.8158579812238815</v>
      </c>
      <c r="H591" s="1">
        <f t="shared" si="644"/>
        <v>3.4289187125741751</v>
      </c>
      <c r="I591" s="1">
        <f t="shared" si="644"/>
        <v>0</v>
      </c>
      <c r="J591" s="1">
        <f t="shared" si="644"/>
        <v>0</v>
      </c>
      <c r="K591" s="1">
        <f t="shared" si="644"/>
        <v>0</v>
      </c>
      <c r="L591" s="1">
        <f t="shared" ref="L591" si="645">SUM(L592:L593)</f>
        <v>0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2.4537025746790015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1.8158579812238815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3.4289187125741751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0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0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5.9846404260463539E-2</v>
      </c>
      <c r="G594" s="1">
        <f t="shared" ref="G594:K594" si="646">SUM(G595:G596)</f>
        <v>4.4289219054241005E-2</v>
      </c>
      <c r="H594" s="1">
        <f t="shared" si="646"/>
        <v>8.3632163721321387E-2</v>
      </c>
      <c r="I594" s="1">
        <f t="shared" si="646"/>
        <v>0</v>
      </c>
      <c r="J594" s="1">
        <f t="shared" si="646"/>
        <v>0</v>
      </c>
      <c r="K594" s="1">
        <f t="shared" si="646"/>
        <v>0</v>
      </c>
      <c r="L594" s="1">
        <f t="shared" ref="L594" si="647">SUM(L595:L596)</f>
        <v>0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5.9846404260463539E-2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4.4289219054241005E-2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8.3632163721321387E-2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0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0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0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0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48">IFERROR(SUM(G584,G588)/SUM(G592,G595),"-")</f>
        <v>0.47619047619047644</v>
      </c>
      <c r="H598" s="4">
        <f t="shared" si="648"/>
        <v>0.47619047619047628</v>
      </c>
      <c r="I598" s="4" t="str">
        <f t="shared" si="648"/>
        <v>-</v>
      </c>
      <c r="J598" s="4" t="str">
        <f t="shared" si="648"/>
        <v>-</v>
      </c>
      <c r="K598" s="4" t="str">
        <f t="shared" si="648"/>
        <v>-</v>
      </c>
      <c r="L598" s="4" t="str">
        <f t="shared" ref="L598" si="649">IFERROR(SUM(L584,L588)/SUM(L592,L595),"-")</f>
        <v>-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5.4614467084104314E-2</v>
      </c>
      <c r="G600" s="1">
        <f>[1]Other_transformation!C$12</f>
        <v>4.963892877973141E-2</v>
      </c>
      <c r="H600" s="1">
        <f>[1]Other_transformation!D$12</f>
        <v>3.3611554622146399E-2</v>
      </c>
      <c r="I600" s="1">
        <f>[1]Other_transformation!E$12</f>
        <v>2.4561503009816851E-2</v>
      </c>
      <c r="J600" s="1">
        <f>[2]Other_transformation!F$12</f>
        <v>0</v>
      </c>
      <c r="K600" s="1">
        <f>[2]Other_transformation!G$12</f>
        <v>0</v>
      </c>
      <c r="L600" s="1">
        <f>[2]Other_transformation!H$12</f>
        <v>0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5.4614467084104314E-2</v>
      </c>
      <c r="G601" s="1">
        <f t="shared" ref="G601:K601" si="651">SUM(G602:G603)</f>
        <v>4.963892877973141E-2</v>
      </c>
      <c r="H601" s="1">
        <f t="shared" si="651"/>
        <v>3.3611554622146399E-2</v>
      </c>
      <c r="I601" s="1">
        <f t="shared" si="651"/>
        <v>2.4561503009816851E-2</v>
      </c>
      <c r="J601" s="1">
        <f t="shared" si="651"/>
        <v>0</v>
      </c>
      <c r="K601" s="1">
        <f t="shared" si="651"/>
        <v>0</v>
      </c>
      <c r="L601" s="1">
        <f t="shared" ref="L601" si="652">SUM(L602:L603)</f>
        <v>0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5.4614467084104314E-2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4.963892877973141E-2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3.3611554622146399E-2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2.4561503009816851E-2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0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0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0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0.20371196222370913</v>
      </c>
      <c r="G604" s="3">
        <f t="shared" ref="G604:K604" si="654">G605+G608</f>
        <v>0.18515320434839805</v>
      </c>
      <c r="H604" s="3">
        <f t="shared" si="654"/>
        <v>0.12537109874060606</v>
      </c>
      <c r="I604" s="3">
        <f t="shared" si="654"/>
        <v>9.1614406226616818E-2</v>
      </c>
      <c r="J604" s="3">
        <f t="shared" si="654"/>
        <v>0</v>
      </c>
      <c r="K604" s="3">
        <f t="shared" si="654"/>
        <v>0</v>
      </c>
      <c r="L604" s="3">
        <f t="shared" ref="L604" si="655">L605+L608</f>
        <v>0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0.11414423620577807</v>
      </c>
      <c r="G605" s="1">
        <f t="shared" ref="G605:K605" si="656">SUM(G606:G607)</f>
        <v>0.10374536114963859</v>
      </c>
      <c r="H605" s="1">
        <f t="shared" si="656"/>
        <v>7.0248149160285947E-2</v>
      </c>
      <c r="I605" s="1">
        <f t="shared" si="656"/>
        <v>5.1333541290517169E-2</v>
      </c>
      <c r="J605" s="1">
        <f t="shared" si="656"/>
        <v>0</v>
      </c>
      <c r="K605" s="1">
        <f t="shared" si="656"/>
        <v>0</v>
      </c>
      <c r="L605" s="1">
        <f t="shared" ref="L605" si="657">SUM(L606:L607)</f>
        <v>0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0.11414423620577807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0.10374536114963859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7.0248149160285947E-2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5.1333541290517169E-2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0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0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0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8.956772601793106E-2</v>
      </c>
      <c r="G608" s="1">
        <f t="shared" ref="G608:K608" si="658">SUM(G609:G610)</f>
        <v>8.1407843198759475E-2</v>
      </c>
      <c r="H608" s="1">
        <f t="shared" si="658"/>
        <v>5.5122949580320109E-2</v>
      </c>
      <c r="I608" s="1">
        <f t="shared" si="658"/>
        <v>4.0280864936099642E-2</v>
      </c>
      <c r="J608" s="1">
        <f t="shared" si="658"/>
        <v>0</v>
      </c>
      <c r="K608" s="1">
        <f t="shared" si="658"/>
        <v>0</v>
      </c>
      <c r="L608" s="1">
        <f t="shared" ref="L608" si="659">SUM(L609:L610)</f>
        <v>0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8.956772601793106E-2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8.1407843198759475E-2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5.5122949580320109E-2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4.0280864936099642E-2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0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0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0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60">IFERROR(G602/SUM(G606,G609),"-")</f>
        <v>0.26809651474530849</v>
      </c>
      <c r="H612">
        <f t="shared" si="660"/>
        <v>0.26809651474530832</v>
      </c>
      <c r="I612">
        <f t="shared" si="660"/>
        <v>0.26809651474530843</v>
      </c>
      <c r="J612" t="str">
        <f t="shared" si="660"/>
        <v>-</v>
      </c>
      <c r="K612" t="str">
        <f t="shared" si="660"/>
        <v>-</v>
      </c>
      <c r="L612" t="str">
        <f t="shared" ref="L612" si="661">IFERROR(L602/SUM(L606,L609),"-")</f>
        <v>-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6.9574219614158945</v>
      </c>
      <c r="G614" s="3">
        <f t="shared" ref="G614" si="663">G615+G616+G621</f>
        <v>10.623005809141791</v>
      </c>
      <c r="H614" s="3">
        <f t="shared" ref="H614" si="664">H615+H616+H621</f>
        <v>10.41385524357835</v>
      </c>
      <c r="I614" s="3">
        <f t="shared" ref="I614" si="665">I615+I616+I621</f>
        <v>11.131090173828579</v>
      </c>
      <c r="J614" s="3">
        <f t="shared" ref="J614" si="666">J615+J616+J621</f>
        <v>12.032166092078988</v>
      </c>
      <c r="K614" s="3">
        <f t="shared" ref="K614:L614" si="667">K615+K616+K621</f>
        <v>14.355207233317</v>
      </c>
      <c r="L614" s="3">
        <f t="shared" si="667"/>
        <v>16.430403271568952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1.3280061669669818</v>
      </c>
      <c r="G615" s="1">
        <f>[1]Other_transformation!C$19</f>
        <v>4.3847682101523704</v>
      </c>
      <c r="H615" s="1">
        <f>[1]Other_transformation!D$19</f>
        <v>4.3847683840802958</v>
      </c>
      <c r="I615" s="1">
        <f>[1]Other_transformation!E$19</f>
        <v>4.3847665588907203</v>
      </c>
      <c r="J615" s="1">
        <f>[2]Other_transformation!F$19</f>
        <v>4.3847693275359223</v>
      </c>
      <c r="K615" s="1">
        <f>[2]Other_transformation!G$19</f>
        <v>5.9393037976392433</v>
      </c>
      <c r="L615" s="1">
        <f>[2]Other_transformation!H$19</f>
        <v>6.5777612500410401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5.6294157944489127</v>
      </c>
      <c r="G616" s="1">
        <f>[1]Other_transformation!C$20</f>
        <v>6.2382375989894205</v>
      </c>
      <c r="H616" s="1">
        <f>[1]Other_transformation!D$20</f>
        <v>6.0290868594980545</v>
      </c>
      <c r="I616" s="1">
        <f>[1]Other_transformation!E$20</f>
        <v>6.7463236149378574</v>
      </c>
      <c r="J616" s="1">
        <f>[2]Other_transformation!F$20</f>
        <v>7.6473967645430649</v>
      </c>
      <c r="K616" s="1">
        <f>[2]Other_transformation!G$20</f>
        <v>8.4159034356777553</v>
      </c>
      <c r="L616" s="1">
        <f>[2]Other_transformation!H$20</f>
        <v>9.8526420215279114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5.6294157944489127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6.2382375989894205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6.0290868594980545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6.7463236149378574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7.6473967645430649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8.4080434902806562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9.8446873219887721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7.8599453970992893E-3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7.9546995391401813E-3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0</v>
      </c>
      <c r="H621" s="1">
        <f>[1]Other_transformation!D$21</f>
        <v>0</v>
      </c>
      <c r="I621" s="1">
        <f>[1]Other_transformation!E$21</f>
        <v>0</v>
      </c>
      <c r="J621" s="1">
        <f>[2]Other_transformation!F$21</f>
        <v>0</v>
      </c>
      <c r="K621" s="1">
        <f>[2]Other_transformation!G$21</f>
        <v>0</v>
      </c>
      <c r="L621" s="1">
        <f>[2]Other_transformation!H$21</f>
        <v>0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0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0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0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0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0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0.11258831588897818</v>
      </c>
      <c r="G624" s="3">
        <f t="shared" ref="G624" si="668">G625+G626+G631</f>
        <v>0.12476475197978865</v>
      </c>
      <c r="H624" s="3">
        <f t="shared" ref="H624" si="669">H625+H626+H631</f>
        <v>0.12058173718996097</v>
      </c>
      <c r="I624" s="3">
        <f t="shared" ref="I624" si="670">I625+I626+I631</f>
        <v>0.13492647229875715</v>
      </c>
      <c r="J624" s="3">
        <f t="shared" ref="J624" si="671">J625+J626+J631</f>
        <v>0.15294793529086143</v>
      </c>
      <c r="K624" s="3">
        <f t="shared" ref="K624:L624" si="672">K625+K626+K631</f>
        <v>0.16816086980561304</v>
      </c>
      <c r="L624" s="3">
        <f t="shared" si="672"/>
        <v>0.19689374643977575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0.11258831588897818</v>
      </c>
      <c r="G626" s="1">
        <f t="shared" ref="G626:K626" si="673">SUM(G627:G630)</f>
        <v>0.12476475197978865</v>
      </c>
      <c r="H626" s="1">
        <f t="shared" si="673"/>
        <v>0.12058173718996097</v>
      </c>
      <c r="I626" s="1">
        <f t="shared" si="673"/>
        <v>0.13492647229875715</v>
      </c>
      <c r="J626" s="1">
        <f t="shared" si="673"/>
        <v>0.15294793529086143</v>
      </c>
      <c r="K626" s="1">
        <f t="shared" si="673"/>
        <v>0.16816086980561304</v>
      </c>
      <c r="L626" s="1">
        <f t="shared" ref="L626" si="674">SUM(L627:L630)</f>
        <v>0.19689374643977575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0.11258831588897818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0.12476475197978865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0.12058173718996097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0.13492647229875715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0.15294793529086143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0.16816086980561304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0.19689374643977575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0</v>
      </c>
      <c r="H631" s="1">
        <f t="shared" si="675"/>
        <v>0</v>
      </c>
      <c r="I631" s="1">
        <f t="shared" si="675"/>
        <v>0</v>
      </c>
      <c r="J631" s="1">
        <f t="shared" si="675"/>
        <v>0</v>
      </c>
      <c r="K631" s="1">
        <f t="shared" si="675"/>
        <v>0</v>
      </c>
      <c r="L631" s="1">
        <f t="shared" ref="L631" si="676">SUM(L632:L633)</f>
        <v>0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0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0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0</v>
      </c>
      <c r="H634" s="3">
        <f t="shared" ref="H634" si="678">H635+H636+H641</f>
        <v>0</v>
      </c>
      <c r="I634" s="3">
        <f t="shared" ref="I634" si="679">I635+I636+I641</f>
        <v>0</v>
      </c>
      <c r="J634" s="3">
        <f t="shared" ref="J634" si="680">J635+J636+J641</f>
        <v>0</v>
      </c>
      <c r="K634" s="3">
        <f t="shared" ref="K634:L634" si="681">K635+K636+K641</f>
        <v>0</v>
      </c>
      <c r="L634" s="3">
        <f t="shared" si="681"/>
        <v>0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0</v>
      </c>
      <c r="H641" s="1">
        <f t="shared" ref="H641" si="688">SUM(H642:H643)</f>
        <v>0</v>
      </c>
      <c r="I641" s="1">
        <f t="shared" ref="I641" si="689">SUM(I642:I643)</f>
        <v>0</v>
      </c>
      <c r="J641" s="1">
        <f t="shared" ref="J641" si="690">SUM(J642:J643)</f>
        <v>0</v>
      </c>
      <c r="K641" s="1">
        <f t="shared" ref="K641:L641" si="691">SUM(K642:K643)</f>
        <v>0</v>
      </c>
      <c r="L641" s="1">
        <f t="shared" si="691"/>
        <v>0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0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0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13.477475994952291</v>
      </c>
      <c r="G644" s="3">
        <f t="shared" ref="G644" si="692">G645+G646+G651</f>
        <v>23.266641044098147</v>
      </c>
      <c r="H644" s="3">
        <f t="shared" ref="H644" si="693">H645+H646+H651</f>
        <v>22.907021784315148</v>
      </c>
      <c r="I644" s="3">
        <f t="shared" ref="I644" si="694">I645+I646+I651</f>
        <v>24.140253934054879</v>
      </c>
      <c r="J644" s="3">
        <f t="shared" ref="J644" si="695">J645+J646+J651</f>
        <v>25.68959277075847</v>
      </c>
      <c r="K644" s="3">
        <f t="shared" ref="K644:L644" si="696">K645+K646+K651</f>
        <v>31.454667561675219</v>
      </c>
      <c r="L644" s="3">
        <f t="shared" si="696"/>
        <v>35.75099768980995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3.7980976375255682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12.540437081035764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12.540437578469644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12.540432358427442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12.540440276752715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16.986408861248215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18.812397175117351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9.6793783574267227</v>
      </c>
      <c r="G646" s="1">
        <f t="shared" ref="G646" si="697">SUM(G647:G650)</f>
        <v>10.726203963062384</v>
      </c>
      <c r="H646" s="1">
        <f t="shared" ref="H646" si="698">SUM(H647:H650)</f>
        <v>10.366584205845502</v>
      </c>
      <c r="I646" s="1">
        <f t="shared" ref="I646" si="699">SUM(I647:I650)</f>
        <v>11.599821575627438</v>
      </c>
      <c r="J646" s="1">
        <f t="shared" ref="J646" si="700">SUM(J647:J650)</f>
        <v>13.149152494005754</v>
      </c>
      <c r="K646" s="1">
        <f t="shared" ref="K646:L646" si="701">SUM(K647:K650)</f>
        <v>14.468258700427004</v>
      </c>
      <c r="L646" s="1">
        <f t="shared" si="701"/>
        <v>16.938600514692602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9.6793783574267227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10.726203963062384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10.366584205845502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11.599821575627438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13.149152494005754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14.457030207002576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16.927236658208116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1.1228493424427553E-2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1.1363856484485967E-2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0</v>
      </c>
      <c r="H651" s="1">
        <f t="shared" ref="H651" si="703">SUM(H652:H653)</f>
        <v>0</v>
      </c>
      <c r="I651" s="1">
        <f t="shared" ref="I651" si="704">SUM(I652:I653)</f>
        <v>0</v>
      </c>
      <c r="J651" s="1">
        <f t="shared" ref="J651" si="705">SUM(J652:J653)</f>
        <v>0</v>
      </c>
      <c r="K651" s="1">
        <f t="shared" ref="K651:L651" si="706">SUM(K652:K653)</f>
        <v>0</v>
      </c>
      <c r="L651" s="1">
        <f t="shared" si="706"/>
        <v>0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0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0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0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0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0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0.34965034965034963</v>
      </c>
      <c r="G655" s="4">
        <f t="shared" si="707"/>
        <v>0.34965034965035008</v>
      </c>
      <c r="H655" s="4">
        <f t="shared" si="707"/>
        <v>0.34965034965034969</v>
      </c>
      <c r="I655" s="4">
        <f t="shared" si="707"/>
        <v>0.34965034965035019</v>
      </c>
      <c r="J655" s="4">
        <f t="shared" si="707"/>
        <v>0.3496503496503503</v>
      </c>
      <c r="K655" s="4">
        <f t="shared" si="707"/>
        <v>0.34965034965035008</v>
      </c>
      <c r="L655" s="4">
        <f t="shared" ref="L655" si="708">IFERROR(SUM(L635,L625,L615)/L645,"-")</f>
        <v>0.34965034965035008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0.59322033898305127</v>
      </c>
      <c r="G656" s="4">
        <f t="shared" si="709"/>
        <v>0.59322033898305071</v>
      </c>
      <c r="H656" s="4">
        <f t="shared" si="709"/>
        <v>0.59322033898305138</v>
      </c>
      <c r="I656" s="4">
        <f t="shared" si="709"/>
        <v>0.59322033898305082</v>
      </c>
      <c r="J656" s="4">
        <f t="shared" si="709"/>
        <v>0.59322033898305115</v>
      </c>
      <c r="K656" s="4">
        <f t="shared" si="709"/>
        <v>0.59322033898305049</v>
      </c>
      <c r="L656" s="4">
        <f t="shared" ref="L656" si="710">IFERROR(SUM(L637,L627,L617)/L647,"-")</f>
        <v>0.59322033898305104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0.70000000000000018</v>
      </c>
      <c r="L658" s="4">
        <f t="shared" ref="L658" si="712">IFERROR(SUM(L639,L629,L619)/L649,"-")</f>
        <v>0.7000000000000004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 t="str">
        <f t="shared" si="714"/>
        <v>-</v>
      </c>
      <c r="H660" s="4" t="str">
        <f t="shared" si="714"/>
        <v>-</v>
      </c>
      <c r="I660" s="4" t="str">
        <f t="shared" si="714"/>
        <v>-</v>
      </c>
      <c r="J660" s="4" t="str">
        <f t="shared" si="714"/>
        <v>-</v>
      </c>
      <c r="K660" s="4" t="str">
        <f t="shared" si="714"/>
        <v>-</v>
      </c>
      <c r="L660" s="4" t="str">
        <f t="shared" ref="L660" si="715">IFERROR(SUM(L642,L632,L622)/L652,"-")</f>
        <v>-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3.651259346000539E-3</v>
      </c>
      <c r="G662" s="3">
        <f t="shared" ref="G662:K662" si="717">SUM(G663,G667,G676)</f>
        <v>5.2385901576496559E-3</v>
      </c>
      <c r="H662" s="3">
        <f t="shared" si="717"/>
        <v>5.2591998691254478E-3</v>
      </c>
      <c r="I662" s="3">
        <f t="shared" si="717"/>
        <v>7.4055708569680792E-3</v>
      </c>
      <c r="J662" s="3">
        <f t="shared" si="717"/>
        <v>3.364440593033204</v>
      </c>
      <c r="K662" s="3">
        <f t="shared" si="717"/>
        <v>8.8420954571553683</v>
      </c>
      <c r="L662" s="3">
        <f t="shared" ref="L662" si="718">SUM(L663,L667,L676)</f>
        <v>8.9887353531115188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3.651259346000539E-3</v>
      </c>
      <c r="G663" s="1">
        <f>[1]Other_transformation!C$28</f>
        <v>5.2385901576496559E-3</v>
      </c>
      <c r="H663" s="1">
        <f>[1]Other_transformation!D$28</f>
        <v>5.2591998691254478E-3</v>
      </c>
      <c r="I663" s="1">
        <f>[1]Other_transformation!E$28</f>
        <v>7.4055708569680792E-3</v>
      </c>
      <c r="J663" s="1">
        <f>[2]Other_transformation!F$28</f>
        <v>3.364440593033204</v>
      </c>
      <c r="K663" s="1">
        <f>[2]Other_transformation!G$28</f>
        <v>8.8420954571553683</v>
      </c>
      <c r="L663" s="1">
        <f>[2]Other_transformation!H$28</f>
        <v>8.9887353531115188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3.651259346000539E-3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5.2385901576496559E-3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5.2591998691254478E-3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7.4055708569680792E-3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3.364440593033204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8.8420954571553683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8.9887353531115188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0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0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0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0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0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0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6.5201059750009645E-3</v>
      </c>
      <c r="G679" s="3">
        <f t="shared" ref="G679:K679" si="735">SUM(G680,G684,G686,G695)</f>
        <v>9.3546252815172488E-3</v>
      </c>
      <c r="H679" s="3">
        <f t="shared" si="735"/>
        <v>9.3914283377240088E-3</v>
      </c>
      <c r="I679" s="3">
        <f t="shared" si="735"/>
        <v>1.3224233673157285E-2</v>
      </c>
      <c r="J679" s="3">
        <f t="shared" si="735"/>
        <v>6.0079296304164345</v>
      </c>
      <c r="K679" s="3">
        <f t="shared" si="735"/>
        <v>15.78945617349174</v>
      </c>
      <c r="L679" s="3">
        <f t="shared" ref="L679" si="736">SUM(L680,L684,L686,L695)</f>
        <v>16.051313130556288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6.5201059750009645E-3</v>
      </c>
      <c r="G680" s="1">
        <f t="shared" ref="G680:K680" si="737">SUM(G681:G683)</f>
        <v>9.3546252815172488E-3</v>
      </c>
      <c r="H680" s="1">
        <f t="shared" si="737"/>
        <v>9.3914283377240088E-3</v>
      </c>
      <c r="I680" s="1">
        <f t="shared" si="737"/>
        <v>1.3224233673157285E-2</v>
      </c>
      <c r="J680" s="1">
        <f t="shared" si="737"/>
        <v>6.0079296304164345</v>
      </c>
      <c r="K680" s="1">
        <f t="shared" si="737"/>
        <v>15.78945617349174</v>
      </c>
      <c r="L680" s="1">
        <f t="shared" ref="L680" si="738">SUM(L681:L683)</f>
        <v>16.051313130556288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6.5201059750009645E-3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9.3546252815172488E-3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9.3914283377240088E-3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1.3224233673157285E-2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6.0079296304164345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15.78945617349174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16.051313130556288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0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0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0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0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0</v>
      </c>
      <c r="L684" s="1">
        <f t="shared" si="745"/>
        <v>0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0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0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0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0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0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0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0.55999999999999983</v>
      </c>
      <c r="G699" s="4">
        <f t="shared" ref="G699:K699" si="762">IFERROR(G664/G681,"-")</f>
        <v>0.55999999999999961</v>
      </c>
      <c r="H699" s="4">
        <f t="shared" si="762"/>
        <v>0.56000000000000028</v>
      </c>
      <c r="I699" s="4">
        <f t="shared" si="762"/>
        <v>0.55999999999999994</v>
      </c>
      <c r="J699" s="4">
        <f t="shared" si="762"/>
        <v>0.56000000000000016</v>
      </c>
      <c r="K699" s="4">
        <f t="shared" si="762"/>
        <v>0.55999999999999961</v>
      </c>
      <c r="L699" s="4">
        <f t="shared" ref="L699" si="763">IFERROR(L664/L681,"-")</f>
        <v>0.55999999999999983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 t="str">
        <f t="shared" si="765"/>
        <v>-</v>
      </c>
      <c r="J700" s="4" t="str">
        <f t="shared" si="765"/>
        <v>-</v>
      </c>
      <c r="K700" s="4" t="str">
        <f t="shared" si="765"/>
        <v>-</v>
      </c>
      <c r="L700" s="4" t="str">
        <f t="shared" ref="L700" si="766">IFERROR(L665/L682,"-")</f>
        <v>-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 t="str">
        <f t="shared" si="767"/>
        <v>-</v>
      </c>
      <c r="L701" s="4" t="str">
        <f t="shared" ref="L701" si="768">IFERROR(L666/SUM(L683,L685),"-")</f>
        <v>-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 t="str">
        <f t="shared" ref="L702" si="770">IFERROR(L668/L687,"-")</f>
        <v>-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 t="str">
        <f t="shared" ref="L703" si="771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1.1764753577704916</v>
      </c>
      <c r="G706" s="1">
        <f>[1]Other_transformation!C$39</f>
        <v>4.3991607625867282</v>
      </c>
      <c r="H706" s="1">
        <f>[1]Other_transformation!D$39</f>
        <v>4.3991616089140884</v>
      </c>
      <c r="I706" s="1">
        <f>[1]Other_transformation!E$39</f>
        <v>4.3991582336848607</v>
      </c>
      <c r="J706" s="1">
        <f>[2]Other_transformation!F$39</f>
        <v>4.3991232585803424</v>
      </c>
      <c r="K706" s="1">
        <f>[2]Other_transformation!G$39</f>
        <v>2.8367668161103174</v>
      </c>
      <c r="L706" s="1">
        <f>[2]Other_transformation!H$39</f>
        <v>3.1734540780524338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1.2890753853393984</v>
      </c>
      <c r="G707" s="1">
        <f>[1]Other_transformation!C$38</f>
        <v>4.8202028353132089</v>
      </c>
      <c r="H707" s="1">
        <f>[1]Other_transformation!D$38</f>
        <v>4.8202037626422527</v>
      </c>
      <c r="I707" s="1">
        <f>[1]Other_transformation!E$38</f>
        <v>4.8202000643710647</v>
      </c>
      <c r="J707" s="1">
        <f>[2]Other_transformation!F$38</f>
        <v>4.8201617418120408</v>
      </c>
      <c r="K707" s="1">
        <f>[2]Other_transformation!G$38</f>
        <v>3.1082727338423317</v>
      </c>
      <c r="L707" s="1">
        <f>[2]Other_transformation!H$38</f>
        <v>3.4771842108743654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0.91265054871925855</v>
      </c>
      <c r="G708" s="14">
        <f t="shared" si="775"/>
        <v>0.91265054871925899</v>
      </c>
      <c r="H708" s="14">
        <f t="shared" si="775"/>
        <v>0.91265054871925888</v>
      </c>
      <c r="I708" s="14">
        <f t="shared" si="775"/>
        <v>0.91265054871925921</v>
      </c>
      <c r="J708" s="14">
        <f t="shared" si="775"/>
        <v>0.91265054871925988</v>
      </c>
      <c r="K708" s="14">
        <f t="shared" si="775"/>
        <v>0.91265054871925966</v>
      </c>
      <c r="L708" s="14">
        <f t="shared" ref="L708" si="776">L706/L707</f>
        <v>0.91265054871925921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5.9796727692117972</v>
      </c>
      <c r="G709" s="17" cm="1">
        <f t="array" ref="G709">SUMPRODUCT(("CT_CWODPLT"=[1]OUT_SyntheticFuels!$C$4:$C$1000)*1,("Var_Fout"=[1]OUT_SyntheticFuels!$B$4:$B$1000)*1,[1]OUT_SyntheticFuels!F$4:F$1000)</f>
        <v>6.9696677073538176</v>
      </c>
      <c r="H709" s="17" cm="1">
        <f t="array" ref="H709">SUMPRODUCT(("CT_CWODPLT"=[1]OUT_SyntheticFuels!$C$4:$C$1000)*1,("Var_Fout"=[1]OUT_SyntheticFuels!$B$4:$B$1000)*1,[1]OUT_SyntheticFuels!G$4:G$1000)</f>
        <v>1.3268616798595534</v>
      </c>
      <c r="I709" s="17" cm="1">
        <f t="array" ref="I709">SUMPRODUCT(("CT_CWODPLT"=[1]OUT_SyntheticFuels!$C$4:$C$1000)*1,("Var_Fout"=[1]OUT_SyntheticFuels!$B$4:$B$1000)*1,[1]OUT_SyntheticFuels!H$4:H$1000)</f>
        <v>1.2503214656912223</v>
      </c>
      <c r="J709" s="17" cm="1">
        <f t="array" ref="J709">SUMPRODUCT(("CT_CWODPLT"=[2]OUT_SyntheticFuels!$C$4:$C$1000)*1,("Var_Fout"=[2]OUT_SyntheticFuels!$B$4:$B$1000)*1,[2]OUT_SyntheticFuels!I$4:I$1000)</f>
        <v>1.146125818234069</v>
      </c>
      <c r="K709" s="17" cm="1">
        <f t="array" ref="K709">SUMPRODUCT(("CT_CWODPLT"=[2]OUT_SyntheticFuels!$C$4:$C$1000)*1,("Var_Fout"=[2]OUT_SyntheticFuels!$B$4:$B$1000)*1,[2]OUT_SyntheticFuels!J$4:J$1000)</f>
        <v>1.0150820956315407</v>
      </c>
      <c r="L709" s="17" cm="1">
        <f t="array" ref="L709">SUMPRODUCT(("CT_CWODPLT"=[2]OUT_SyntheticFuels!$C$4:$C$1000)*1,("Var_Fout"=[2]OUT_SyntheticFuels!$B$4:$B$1000)*1,[2]OUT_SyntheticFuels!K$4:K$1000)</f>
        <v>0.82067638132434506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5.9796727692117972</v>
      </c>
      <c r="G710" s="18">
        <f t="shared" ref="G710:K710" si="777">G709</f>
        <v>6.9696677073538176</v>
      </c>
      <c r="H710" s="18">
        <f t="shared" si="777"/>
        <v>1.3268616798595534</v>
      </c>
      <c r="I710" s="18">
        <f t="shared" si="777"/>
        <v>1.2503214656912223</v>
      </c>
      <c r="J710" s="18">
        <f t="shared" si="777"/>
        <v>1.146125818234069</v>
      </c>
      <c r="K710" s="18">
        <f t="shared" si="777"/>
        <v>1.0150820956315407</v>
      </c>
      <c r="L710" s="18">
        <f t="shared" ref="L710" si="778">L709</f>
        <v>0.82067638132434506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7.1186580585854742</v>
      </c>
      <c r="G711" s="17" cm="1">
        <f t="array" ref="G711">SUMPRODUCT(("CT_CWODPLT"=[1]OUT_SyntheticFuels!$C$4:$C$1000)*1,("Var_Fin"=[1]OUT_SyntheticFuels!$B$4:$B$1000)*1,[1]OUT_SyntheticFuels!F$4:F$1000)</f>
        <v>8.2972234611354967</v>
      </c>
      <c r="H711" s="17" cm="1">
        <f t="array" ref="H711">SUMPRODUCT(("CT_CWODPLT"=[1]OUT_SyntheticFuels!$C$4:$C$1000)*1,("Var_Fin"=[1]OUT_SyntheticFuels!$B$4:$B$1000)*1,[1]OUT_SyntheticFuels!G$4:G$1000)</f>
        <v>1.5795972379280396</v>
      </c>
      <c r="I711" s="17" cm="1">
        <f t="array" ref="I711">SUMPRODUCT(("CT_CWODPLT"=[1]OUT_SyntheticFuels!$C$4:$C$1000)*1,("Var_Fin"=[1]OUT_SyntheticFuels!$B$4:$B$1000)*1,[1]OUT_SyntheticFuels!H$4:H$1000)</f>
        <v>1.4884779353466917</v>
      </c>
      <c r="J711" s="17" cm="1">
        <f t="array" ref="J711">SUMPRODUCT(("CT_CWODPLT"=[2]OUT_SyntheticFuels!$C$4:$C$1000)*1,("Var_Fin"=[2]OUT_SyntheticFuels!$B$4:$B$1000)*1,[2]OUT_SyntheticFuels!I$4:I$1000)</f>
        <v>1.3644354978977011</v>
      </c>
      <c r="K711" s="17" cm="1">
        <f t="array" ref="K711">SUMPRODUCT(("CT_CWODPLT"=[2]OUT_SyntheticFuels!$C$4:$C$1000)*1,("Var_Fin"=[2]OUT_SyntheticFuels!$B$4:$B$1000)*1,[2]OUT_SyntheticFuels!J$4:J$1000)</f>
        <v>1.2084310662280251</v>
      </c>
      <c r="L711" s="17" cm="1">
        <f t="array" ref="L711">SUMPRODUCT(("CT_CWODPLT"=[2]OUT_SyntheticFuels!$C$4:$C$1000)*1,("Var_Fin"=[2]OUT_SyntheticFuels!$B$4:$B$1000)*1,[2]OUT_SyntheticFuels!K$4:K$1000)</f>
        <v>0.97699569205279246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7.1186580585854742</v>
      </c>
      <c r="G712" s="18">
        <f t="shared" si="779"/>
        <v>8.2972234611354967</v>
      </c>
      <c r="H712" s="18">
        <f t="shared" si="779"/>
        <v>1.5795972379280396</v>
      </c>
      <c r="I712" s="18">
        <f t="shared" si="779"/>
        <v>1.4884779353466917</v>
      </c>
      <c r="J712" s="18">
        <f t="shared" si="779"/>
        <v>1.3644354978977011</v>
      </c>
      <c r="K712" s="18">
        <f t="shared" si="779"/>
        <v>1.2084310662280251</v>
      </c>
      <c r="L712" s="18">
        <f t="shared" ref="L712" si="780">L711</f>
        <v>0.97699569205279246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0.83999999999999986</v>
      </c>
      <c r="G713" s="14">
        <f t="shared" si="781"/>
        <v>0.84000000000000008</v>
      </c>
      <c r="H713" s="14">
        <f t="shared" si="781"/>
        <v>0.84000000000000008</v>
      </c>
      <c r="I713" s="14">
        <f t="shared" si="781"/>
        <v>0.84000000000000086</v>
      </c>
      <c r="J713" s="14">
        <f t="shared" si="781"/>
        <v>0.84000000000000008</v>
      </c>
      <c r="K713" s="14">
        <f t="shared" si="781"/>
        <v>0.83999999999999975</v>
      </c>
      <c r="L713" s="14">
        <f t="shared" ref="L713" si="782">IFERROR(L709/L711,"-")</f>
        <v>0.83999999999999941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0</v>
      </c>
      <c r="L714" s="17">
        <f t="shared" ref="L714" si="784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0</v>
      </c>
      <c r="L715" s="18">
        <f t="shared" si="785"/>
        <v>0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0</v>
      </c>
      <c r="L717" s="18">
        <f t="shared" ref="L717" si="788">SUM(L718:L720)</f>
        <v>0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0</v>
      </c>
      <c r="L721" s="17">
        <f t="shared" si="790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0</v>
      </c>
      <c r="L722" s="18">
        <f t="shared" ref="L722" si="793">SUM(L723,L725)</f>
        <v>0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0</v>
      </c>
      <c r="L723" s="18">
        <f t="shared" si="795"/>
        <v>0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0</v>
      </c>
      <c r="L725" s="18">
        <f t="shared" ref="L725" si="797">SUM(L726:L728)</f>
        <v>0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 t="str">
        <f t="shared" si="799"/>
        <v>-</v>
      </c>
      <c r="L730" s="14" t="str">
        <f t="shared" ref="L730" si="800">IFERROR(L716/L724,"-")</f>
        <v>-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 t="str">
        <f t="shared" si="802"/>
        <v>-</v>
      </c>
      <c r="L731" s="16" t="str">
        <f t="shared" ref="L731" si="803">IFERROR(L718/L726,"-")</f>
        <v>-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 t="str">
        <f t="shared" si="804"/>
        <v>-</v>
      </c>
      <c r="L732" s="16" t="str">
        <f t="shared" ref="L732" si="805">IFERROR(L719/L727,"-")</f>
        <v>-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 t="str">
        <f t="shared" si="806"/>
        <v>-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0</v>
      </c>
      <c r="L734" s="17">
        <f t="shared" si="812"/>
        <v>0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0</v>
      </c>
      <c r="L735" s="18">
        <f t="shared" si="817"/>
        <v>0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0</v>
      </c>
      <c r="L739" s="18">
        <f t="shared" si="823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0</v>
      </c>
      <c r="L741" s="18">
        <f t="shared" si="830"/>
        <v>0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0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0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0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0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0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0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0</v>
      </c>
      <c r="L751" s="18">
        <f t="shared" ref="L751" si="846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0</v>
      </c>
      <c r="L752" s="18">
        <f t="shared" ref="L752" si="848">IFERROR(L$737/L$735,0)*L740</f>
        <v>0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0</v>
      </c>
      <c r="L753" s="18">
        <f t="shared" ref="L753" si="852">IFERROR(L$737/L$735,0)*L741</f>
        <v>0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0</v>
      </c>
      <c r="L754" s="18">
        <f t="shared" ref="L754" si="854">IFERROR(L$737/L$735,0)*L742</f>
        <v>0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0</v>
      </c>
      <c r="L755" s="18">
        <f t="shared" ref="L755" si="856">IFERROR(L$737/L$735,0)*L743</f>
        <v>0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0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0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0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0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0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0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142.21760158700843</v>
      </c>
      <c r="G763" s="17">
        <f t="shared" si="875"/>
        <v>139.06071934956051</v>
      </c>
      <c r="H763" s="17">
        <f t="shared" si="875"/>
        <v>144.60837035759988</v>
      </c>
      <c r="I763" s="17">
        <f t="shared" si="875"/>
        <v>134.30391156555439</v>
      </c>
      <c r="J763" s="17">
        <f t="shared" si="875"/>
        <v>135.41089067221586</v>
      </c>
      <c r="K763" s="17">
        <f t="shared" si="875"/>
        <v>134.51825330379438</v>
      </c>
      <c r="L763" s="17">
        <f t="shared" ref="L763" si="876">L764+L768+L778+L789+L791+L803+L805+L807+L811+L813+L815</f>
        <v>137.47669762169943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60.070043358110638</v>
      </c>
      <c r="G764" s="18">
        <f>[1]Industry!C$11</f>
        <v>61.054913273094428</v>
      </c>
      <c r="H764" s="18">
        <f>[1]Industry!D$11</f>
        <v>63.816886814617064</v>
      </c>
      <c r="I764" s="18">
        <f>[1]Industry!E$11</f>
        <v>62.539987096432178</v>
      </c>
      <c r="J764" s="18">
        <f>[2]Industry!F$11</f>
        <v>68.549197273009369</v>
      </c>
      <c r="K764" s="18">
        <f>[2]Industry!G$11</f>
        <v>69.194224997146904</v>
      </c>
      <c r="L764" s="18">
        <f>[2]Industry!H$11</f>
        <v>73.007197635400985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11.646961614783351</v>
      </c>
      <c r="G765" s="1">
        <f t="shared" si="878"/>
        <v>12.258980410056758</v>
      </c>
      <c r="H765" s="1">
        <f t="shared" si="878"/>
        <v>12.249254253975181</v>
      </c>
      <c r="I765" s="1">
        <f t="shared" si="878"/>
        <v>12.233067224138878</v>
      </c>
      <c r="J765" s="1">
        <f t="shared" si="878"/>
        <v>15.553008152054971</v>
      </c>
      <c r="K765" s="1">
        <f>K764-K766-K767</f>
        <v>15.532494700007746</v>
      </c>
      <c r="L765" s="1">
        <f>L764-L766-L767</f>
        <v>15.491625341665269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0.35968409115628747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0.45106492519982821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0.44977779338312113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1.1171313937561869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2.3281885080443638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2.9137133863105622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3.2734864952747871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48.34486793783784</v>
      </c>
      <c r="H767" s="1">
        <f>[1]Industry!D$11-[1]Industry!D$33</f>
        <v>51.117854767258763</v>
      </c>
      <c r="I767" s="1">
        <f>[1]Industry!E$11-[1]Industry!E$33</f>
        <v>49.18978847853711</v>
      </c>
      <c r="J767" s="1">
        <f>[2]Industry!F$11-[2]Industry!F$33</f>
        <v>50.668000612910035</v>
      </c>
      <c r="K767" s="1">
        <f>[2]Industry!G$11-[2]Industry!G$33</f>
        <v>50.748016910828596</v>
      </c>
      <c r="L767" s="1">
        <f>[2]Industry!H$11-[2]Industry!H$33</f>
        <v>54.242085798460934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11.627841373677594</v>
      </c>
      <c r="G768" s="1">
        <f t="shared" ref="G768:K768" si="879">SUM(G771,G776)</f>
        <v>10.823579353129968</v>
      </c>
      <c r="H768" s="1">
        <f t="shared" si="879"/>
        <v>8.0048369321220125</v>
      </c>
      <c r="I768" s="1">
        <f t="shared" si="879"/>
        <v>5.9157978726601703</v>
      </c>
      <c r="J768" s="1">
        <f t="shared" si="879"/>
        <v>4.506118852832139</v>
      </c>
      <c r="K768" s="1">
        <f t="shared" si="879"/>
        <v>3.0535752903429838</v>
      </c>
      <c r="L768" s="1">
        <f t="shared" ref="L768" si="880">SUM(L771,L776)</f>
        <v>1.0665571414553048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8.8978289153367243</v>
      </c>
      <c r="G769" s="1">
        <f t="shared" ref="G769:K769" si="881">SUM(G773,G777)</f>
        <v>8.1053341898350748</v>
      </c>
      <c r="H769" s="1">
        <f t="shared" si="881"/>
        <v>7.998834874364257</v>
      </c>
      <c r="I769" s="1">
        <f t="shared" si="881"/>
        <v>5.9152352732278013</v>
      </c>
      <c r="J769" s="1">
        <f t="shared" si="881"/>
        <v>4.5047468702853237</v>
      </c>
      <c r="K769" s="1">
        <f t="shared" si="881"/>
        <v>3.0535059927064494</v>
      </c>
      <c r="L769" s="1">
        <f t="shared" ref="L769" si="882">SUM(L773,L777)</f>
        <v>1.0665571414553048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2.7300124583408691</v>
      </c>
      <c r="G770" s="1">
        <f t="shared" ref="G770:K770" si="883">G775</f>
        <v>2.7182451632948927</v>
      </c>
      <c r="H770" s="1">
        <f t="shared" si="883"/>
        <v>6.0020577577564859E-3</v>
      </c>
      <c r="I770" s="1">
        <f t="shared" si="883"/>
        <v>5.6259943236925249E-4</v>
      </c>
      <c r="J770" s="1">
        <f t="shared" si="883"/>
        <v>1.3719825468158778E-3</v>
      </c>
      <c r="K770" s="1">
        <f t="shared" si="883"/>
        <v>6.9297636534172198E-5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11.627841373677594</v>
      </c>
      <c r="G771" s="1">
        <f t="shared" ref="G771:K771" si="885">SUM(G772,G774)</f>
        <v>10.823579353129968</v>
      </c>
      <c r="H771" s="1">
        <f t="shared" si="885"/>
        <v>8.0044344735431618</v>
      </c>
      <c r="I771" s="1">
        <f t="shared" si="885"/>
        <v>5.0104639597199387</v>
      </c>
      <c r="J771" s="1">
        <f t="shared" si="885"/>
        <v>3.42986894776381</v>
      </c>
      <c r="K771" s="1">
        <f t="shared" si="885"/>
        <v>1.8322084739206046</v>
      </c>
      <c r="L771" s="1">
        <f t="shared" ref="L771" si="886">SUM(L772,L774)</f>
        <v>1.1347903114007753E-5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8.8978289153367243</v>
      </c>
      <c r="G772" s="1">
        <f>[1]Industry!C$34</f>
        <v>8.1053341898350748</v>
      </c>
      <c r="H772" s="1">
        <f>[1]Industry!D$34</f>
        <v>7.9984324157854054</v>
      </c>
      <c r="I772" s="1">
        <f>[1]Industry!E$34</f>
        <v>5.0099013602875697</v>
      </c>
      <c r="J772" s="1">
        <f>[2]Industry!F$34</f>
        <v>3.4284969652169943</v>
      </c>
      <c r="K772" s="1">
        <f>[2]Industry!G$34</f>
        <v>1.8321391762840704</v>
      </c>
      <c r="L772" s="1">
        <f>[2]Industry!H$34</f>
        <v>1.1347903114007753E-5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8.8978289153367243</v>
      </c>
      <c r="G773" s="1">
        <f t="shared" ref="G773:K773" si="887">G772</f>
        <v>8.1053341898350748</v>
      </c>
      <c r="H773" s="1">
        <f t="shared" si="887"/>
        <v>7.9984324157854054</v>
      </c>
      <c r="I773" s="1">
        <f t="shared" si="887"/>
        <v>5.0099013602875697</v>
      </c>
      <c r="J773" s="1">
        <f t="shared" si="887"/>
        <v>3.4284969652169943</v>
      </c>
      <c r="K773" s="1">
        <f t="shared" si="887"/>
        <v>1.8321391762840704</v>
      </c>
      <c r="L773" s="1">
        <f t="shared" ref="L773" si="888">L772</f>
        <v>1.1347903114007753E-5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2.7300124583408691</v>
      </c>
      <c r="G774" s="1">
        <f>[1]Industry!C$35</f>
        <v>2.7182451632948927</v>
      </c>
      <c r="H774" s="1">
        <f>[1]Industry!D$35</f>
        <v>6.0020577577564859E-3</v>
      </c>
      <c r="I774" s="1">
        <f>[1]Industry!E$35</f>
        <v>5.6259943236925249E-4</v>
      </c>
      <c r="J774" s="1">
        <f>[2]Industry!F$35</f>
        <v>1.3719825468158778E-3</v>
      </c>
      <c r="K774" s="1">
        <f>[2]Industry!G$35</f>
        <v>6.9297636534172198E-5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2.7300124583408691</v>
      </c>
      <c r="G775" s="1">
        <f t="shared" ref="G775:K775" si="889">G774</f>
        <v>2.7182451632948927</v>
      </c>
      <c r="H775" s="1">
        <f t="shared" si="889"/>
        <v>6.0020577577564859E-3</v>
      </c>
      <c r="I775" s="1">
        <f t="shared" si="889"/>
        <v>5.6259943236925249E-4</v>
      </c>
      <c r="J775" s="1">
        <f t="shared" si="889"/>
        <v>1.3719825468158778E-3</v>
      </c>
      <c r="K775" s="1">
        <f t="shared" si="889"/>
        <v>6.9297636534172198E-5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4.0245857885122478E-4</v>
      </c>
      <c r="I776" s="1">
        <f>[1]Industry!E$36</f>
        <v>0.90533391294023191</v>
      </c>
      <c r="J776" s="1">
        <f>[2]Industry!F$36</f>
        <v>1.076249905068329</v>
      </c>
      <c r="K776" s="1">
        <f>[2]Industry!G$36</f>
        <v>1.221366816422379</v>
      </c>
      <c r="L776" s="1">
        <f>[2]Industry!H$36</f>
        <v>1.0665457935521907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4.0245857885122478E-4</v>
      </c>
      <c r="I777" s="1">
        <f t="shared" si="891"/>
        <v>0.90533391294023191</v>
      </c>
      <c r="J777" s="1">
        <f t="shared" si="891"/>
        <v>1.076249905068329</v>
      </c>
      <c r="K777" s="1">
        <f t="shared" si="891"/>
        <v>1.221366816422379</v>
      </c>
      <c r="L777" s="1">
        <f t="shared" ref="L777" si="892">L776</f>
        <v>1.0665457935521907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35.989112247542792</v>
      </c>
      <c r="G778" s="1">
        <f>SUM([1]Industry!C$37:C$39)</f>
        <v>29.6161363069955</v>
      </c>
      <c r="H778" s="1">
        <f>SUM([1]Industry!D$37:D$39)</f>
        <v>35.630632598504143</v>
      </c>
      <c r="I778" s="1">
        <f>SUM([1]Industry!E$37:E$39)</f>
        <v>26.850349485308364</v>
      </c>
      <c r="J778" s="1">
        <f>SUM([2]Industry!F$37:F$39)</f>
        <v>14.785902060005846</v>
      </c>
      <c r="K778" s="1">
        <f>SUM([2]Industry!G$37:G$39)</f>
        <v>7.1672568972900184</v>
      </c>
      <c r="L778" s="1">
        <f>SUM([2]Industry!H$37:H$39)</f>
        <v>5.2513175381477168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35.549280073885605</v>
      </c>
      <c r="G779" s="1">
        <f>SUM([1]Industry!C$37:C$38)-G780</f>
        <v>29.063330582841626</v>
      </c>
      <c r="H779" s="1">
        <f>SUM([1]Industry!D$37:D$38)-H780</f>
        <v>33.917205218124273</v>
      </c>
      <c r="I779" s="1">
        <f>SUM([1]Industry!E$37:E$38)-I780</f>
        <v>25.384759073638293</v>
      </c>
      <c r="J779" s="1">
        <f>SUM([2]Industry!F$37:F$38)-J780</f>
        <v>11.54229119983939</v>
      </c>
      <c r="K779" s="1">
        <f>SUM([2]Industry!G$37:G$38)-K780</f>
        <v>3.9236459064018305</v>
      </c>
      <c r="L779" s="1">
        <f>SUM([2]Industry!H$37:H$38)-L780</f>
        <v>2.007706850135643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3.0846191252693429E-3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7.350656332895056E-4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0.24785811569214555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0.4398321736571873</v>
      </c>
      <c r="G781" s="1">
        <f t="shared" si="897"/>
        <v>0.55280572415387397</v>
      </c>
      <c r="H781" s="1">
        <f t="shared" si="897"/>
        <v>1.7134273803798692</v>
      </c>
      <c r="I781" s="1">
        <f t="shared" si="897"/>
        <v>1.4655904116700711</v>
      </c>
      <c r="J781" s="1">
        <f t="shared" si="897"/>
        <v>3.2436108601664557</v>
      </c>
      <c r="K781" s="1">
        <f t="shared" si="897"/>
        <v>3.2436109908881878</v>
      </c>
      <c r="L781" s="1">
        <f t="shared" ref="L781" si="898">L778-L779</f>
        <v>3.2436106880120739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35.244428568129145</v>
      </c>
      <c r="G782" s="1">
        <f>[1]Industry!C$37</f>
        <v>29.064035623653108</v>
      </c>
      <c r="H782" s="1">
        <f>[1]Industry!D$37</f>
        <v>32.571486073854658</v>
      </c>
      <c r="I782" s="1">
        <f>[1]Industry!E$37</f>
        <v>23.744752100200564</v>
      </c>
      <c r="J782" s="1">
        <f>[2]Industry!F$37</f>
        <v>9.9155176578729218</v>
      </c>
      <c r="K782" s="1">
        <f>[2]Industry!G$37</f>
        <v>2.3055447069097972</v>
      </c>
      <c r="L782" s="1">
        <f>[2]Industry!H$37</f>
        <v>0.390866973806408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35.241370666373271</v>
      </c>
      <c r="G783" s="1">
        <f>[1]Industry!C$37*G779/SUM(G779:G780)</f>
        <v>29.063300558779183</v>
      </c>
      <c r="H783" s="1">
        <f>[1]Industry!D$37*H779/SUM(H779:H780)</f>
        <v>32.335188921858226</v>
      </c>
      <c r="I783" s="1">
        <f>[1]Industry!E$37*I779/SUM(I779:I780)</f>
        <v>23.744752100200564</v>
      </c>
      <c r="J783" s="1">
        <f>[2]Industry!F$37*J779/SUM(J779:J780)</f>
        <v>9.9155176578729218</v>
      </c>
      <c r="K783" s="1">
        <f>[2]Industry!G$37*K779/SUM(K779:K780)</f>
        <v>2.3055447069097972</v>
      </c>
      <c r="L783" s="1">
        <f>[2]Industry!H$37*L779/SUM(L779:L780)</f>
        <v>0.390866973806408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3.0579017558736155E-3</v>
      </c>
      <c r="G784" s="1">
        <f t="shared" ref="G784:K784" si="903">G782-G783</f>
        <v>7.3506487392549502E-4</v>
      </c>
      <c r="H784" s="1">
        <f t="shared" si="903"/>
        <v>0.23629715199643186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0.74468367941365154</v>
      </c>
      <c r="G785" s="1">
        <f t="shared" ref="G785:K785" si="905">SUM(G786:G788)</f>
        <v>0.55210068334238915</v>
      </c>
      <c r="H785" s="1">
        <f t="shared" si="905"/>
        <v>3.0591465246494858</v>
      </c>
      <c r="I785" s="1">
        <f t="shared" si="905"/>
        <v>3.1055973851077985</v>
      </c>
      <c r="J785" s="1">
        <f t="shared" si="905"/>
        <v>4.8703844021329239</v>
      </c>
      <c r="K785" s="1">
        <f t="shared" si="905"/>
        <v>4.8617121903802216</v>
      </c>
      <c r="L785" s="1">
        <f t="shared" ref="L785" si="906">SUM(L786:L788)</f>
        <v>4.860450564341309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0.30790940751233914</v>
      </c>
      <c r="G786" s="1">
        <f>[1]Industry!C$38*G779/SUM(G779:G780)</f>
        <v>3.0024062442110563E-5</v>
      </c>
      <c r="H786" s="1">
        <f>[1]Industry!D$38*H779/SUM(H779:H780)</f>
        <v>1.5820162962660507</v>
      </c>
      <c r="I786" s="1">
        <f>[1]Industry!E$38*I779/SUM(I779:I780)</f>
        <v>1.6400069734377274</v>
      </c>
      <c r="J786" s="1">
        <f>[2]Industry!F$38*J779/SUM(J779:J780)</f>
        <v>1.6267735419664688</v>
      </c>
      <c r="K786" s="1">
        <f>[2]Industry!G$38*K779/SUM(K779:K780)</f>
        <v>1.6181011994920336</v>
      </c>
      <c r="L786" s="1">
        <f>[2]Industry!H$38*L779/SUM(L779:L780)</f>
        <v>1.6168398763292351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2.6717369389472889E-5</v>
      </c>
      <c r="G787" s="1">
        <f>[1]Industry!C$38-G786</f>
        <v>7.5936432715253683E-10</v>
      </c>
      <c r="H787" s="1">
        <f>[1]Industry!D$38-H786</f>
        <v>1.1560963695712578E-2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0.43674755453192288</v>
      </c>
      <c r="G788" s="1">
        <f>[1]Industry!C$39</f>
        <v>0.55207065852058268</v>
      </c>
      <c r="H788" s="1">
        <f>[1]Industry!D$39</f>
        <v>1.4655692646877225</v>
      </c>
      <c r="I788" s="1">
        <f>[1]Industry!E$39</f>
        <v>1.4655904116700709</v>
      </c>
      <c r="J788" s="1">
        <f>[2]Industry!F$39</f>
        <v>3.2436108601664548</v>
      </c>
      <c r="K788" s="1">
        <f>[2]Industry!G$39</f>
        <v>3.2436109908881878</v>
      </c>
      <c r="L788" s="1">
        <f>[2]Industry!H$39</f>
        <v>3.2436106880120739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3.5600254872178341</v>
      </c>
      <c r="G789" s="1">
        <f>[1]Industry!C$18</f>
        <v>3.4647226795167949</v>
      </c>
      <c r="H789" s="1">
        <f>[1]Industry!D$18</f>
        <v>0.98900736887270957</v>
      </c>
      <c r="I789" s="1">
        <f>[1]Industry!E$18</f>
        <v>4.4505442796075246E-4</v>
      </c>
      <c r="J789" s="1">
        <f>[2]Industry!F$18</f>
        <v>1.0816076551075618E-3</v>
      </c>
      <c r="K789" s="1">
        <f>[2]Industry!G$18</f>
        <v>6.0440432822879355E-5</v>
      </c>
      <c r="L789" s="1">
        <f>[2]Industry!H$18</f>
        <v>5.2895793472374137E-4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3.5600254872178341</v>
      </c>
      <c r="G790" s="1">
        <f t="shared" ref="G790:K790" si="909">G789</f>
        <v>3.4647226795167949</v>
      </c>
      <c r="H790" s="1">
        <f t="shared" si="909"/>
        <v>0.98900736887270957</v>
      </c>
      <c r="I790" s="1">
        <f t="shared" si="909"/>
        <v>4.4505442796075246E-4</v>
      </c>
      <c r="J790" s="1">
        <f t="shared" si="909"/>
        <v>1.0816076551075618E-3</v>
      </c>
      <c r="K790" s="1">
        <f t="shared" si="909"/>
        <v>6.0440432822879355E-5</v>
      </c>
      <c r="L790" s="1">
        <f t="shared" ref="L790" si="910">L789</f>
        <v>5.2895793472374137E-4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12.728655727200438</v>
      </c>
      <c r="G791" s="1">
        <f>[1]Industry!C$19</f>
        <v>13.638430963735932</v>
      </c>
      <c r="H791" s="1">
        <f>[1]Industry!D$19</f>
        <v>13.518654595783994</v>
      </c>
      <c r="I791" s="1">
        <f>[1]Industry!E$19</f>
        <v>14.506429750696224</v>
      </c>
      <c r="J791" s="1">
        <f>[2]Industry!F$19</f>
        <v>15.586868104992259</v>
      </c>
      <c r="K791" s="1">
        <f>[2]Industry!G$19</f>
        <v>15.98553490453796</v>
      </c>
      <c r="L791" s="1">
        <f>[2]Industry!H$19</f>
        <v>20.427107778096261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4.3028839059881223</v>
      </c>
      <c r="G792" s="1">
        <f t="shared" ref="G792:K792" si="913">SUM(G793:G801)</f>
        <v>5.0829417870219249</v>
      </c>
      <c r="H792" s="1">
        <f t="shared" si="913"/>
        <v>5.5399062928124874</v>
      </c>
      <c r="I792" s="1">
        <f t="shared" si="913"/>
        <v>7.9981846502731404</v>
      </c>
      <c r="J792" s="1">
        <f t="shared" si="913"/>
        <v>9.0489182549509231</v>
      </c>
      <c r="K792" s="1">
        <f t="shared" si="913"/>
        <v>9.470773678802626</v>
      </c>
      <c r="L792" s="1">
        <f t="shared" ref="L792" si="914">SUM(L793:L801)</f>
        <v>11.209153477586225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0.92941520446191328</v>
      </c>
      <c r="G793" s="1">
        <f t="shared" ref="G793:K793" si="917">G235</f>
        <v>2.0703834895038904</v>
      </c>
      <c r="H793" s="1">
        <f t="shared" si="917"/>
        <v>0.82595651843136164</v>
      </c>
      <c r="I793" s="1">
        <f t="shared" si="917"/>
        <v>1.3159799433697916</v>
      </c>
      <c r="J793" s="1">
        <f t="shared" si="917"/>
        <v>0.84032241494347748</v>
      </c>
      <c r="K793" s="1">
        <f t="shared" si="917"/>
        <v>1.2977038729395712E-2</v>
      </c>
      <c r="L793" s="1">
        <f t="shared" ref="L793" si="918">L235</f>
        <v>9.5096000226026767E-2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0.77903370510879599</v>
      </c>
      <c r="G794" s="1">
        <f t="shared" ref="G794:K794" si="919">G241</f>
        <v>0.58792414981164998</v>
      </c>
      <c r="H794" s="1">
        <f t="shared" si="919"/>
        <v>0.44229531125113303</v>
      </c>
      <c r="I794" s="1">
        <f t="shared" si="919"/>
        <v>3.5057400812382497E-2</v>
      </c>
      <c r="J794" s="1">
        <f t="shared" si="919"/>
        <v>3.1795897799291463E-2</v>
      </c>
      <c r="K794" s="1">
        <f t="shared" si="919"/>
        <v>8.9461047567104077E-3</v>
      </c>
      <c r="L794" s="1">
        <f t="shared" ref="L794" si="920">L241</f>
        <v>3.0041860538756703E-3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0</v>
      </c>
      <c r="L795" s="1">
        <f t="shared" ref="L795" si="922">L242</f>
        <v>1.7996471132980165E-3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0</v>
      </c>
      <c r="J796" s="1">
        <f t="shared" si="923"/>
        <v>6.9709486214834197E-4</v>
      </c>
      <c r="K796" s="1">
        <f t="shared" si="923"/>
        <v>4.0977232451193862E-4</v>
      </c>
      <c r="L796" s="1">
        <f t="shared" ref="L796" si="924">L243</f>
        <v>7.132940626677377E-4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1.9348406886931981</v>
      </c>
      <c r="G797" s="1">
        <f t="shared" ref="G797:K797" si="925">G274</f>
        <v>1.858781292415014</v>
      </c>
      <c r="H797" s="1">
        <f t="shared" si="925"/>
        <v>1.5300069227797846E-2</v>
      </c>
      <c r="I797" s="1">
        <f t="shared" si="925"/>
        <v>5.6622719877645472E-3</v>
      </c>
      <c r="J797" s="1">
        <f t="shared" si="925"/>
        <v>9.0447692111480429E-3</v>
      </c>
      <c r="K797" s="1">
        <f t="shared" si="925"/>
        <v>6.360984141957759E-3</v>
      </c>
      <c r="L797" s="1">
        <f t="shared" ref="L797" si="926">L274</f>
        <v>8.3725420698677055E-4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0</v>
      </c>
      <c r="L798" s="1">
        <f t="shared" ref="L798" si="928">L275</f>
        <v>0.82072700049909153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0.65959430772421512</v>
      </c>
      <c r="G799" s="1">
        <f t="shared" ref="G799:K799" si="929">G283</f>
        <v>0.56585285529137075</v>
      </c>
      <c r="H799" s="1">
        <f t="shared" si="929"/>
        <v>4.2563543939021944</v>
      </c>
      <c r="I799" s="1">
        <f t="shared" si="929"/>
        <v>6.6414850341032015</v>
      </c>
      <c r="J799" s="1">
        <f t="shared" si="929"/>
        <v>8.1619579201791943</v>
      </c>
      <c r="K799" s="1">
        <f t="shared" si="929"/>
        <v>9.4388171455991987</v>
      </c>
      <c r="L799" s="1">
        <f t="shared" ref="L799" si="930">L283</f>
        <v>7.4007311432680325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0</v>
      </c>
      <c r="L800" s="1">
        <f t="shared" ref="L800" si="932">L284</f>
        <v>2.8441834566856081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0</v>
      </c>
      <c r="J801" s="1">
        <f t="shared" si="933"/>
        <v>5.1001579556635068E-3</v>
      </c>
      <c r="K801" s="1">
        <f t="shared" si="933"/>
        <v>3.26263325085277E-3</v>
      </c>
      <c r="L801" s="1">
        <f t="shared" ref="L801" si="934">L289</f>
        <v>4.2061495470638352E-2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7.1200084774534016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7.628907724382314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7.3906120595616596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6.4767586682261511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6.558642330688091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6.55864256520276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8.4142268308914812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9.0019267027387677</v>
      </c>
      <c r="G803" s="1">
        <f t="shared" ref="G803:L803" si="935">G804</f>
        <v>10.609956594267411</v>
      </c>
      <c r="H803" s="1">
        <f t="shared" si="935"/>
        <v>9.8532855747135706</v>
      </c>
      <c r="I803" s="1">
        <f t="shared" si="935"/>
        <v>9.9385384104263128</v>
      </c>
      <c r="J803" s="1">
        <f t="shared" si="935"/>
        <v>11.363269722261688</v>
      </c>
      <c r="K803" s="1">
        <f t="shared" si="935"/>
        <v>12.160680739151161</v>
      </c>
      <c r="L803" s="1">
        <f t="shared" si="935"/>
        <v>14.061968755881946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9.0019267027387677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10.609956594267411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9.8532855747135706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9.9385384104263128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11.363269722261688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12.160680739151161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14.061968755881946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0.62579824910803716</v>
      </c>
      <c r="G805" s="1">
        <f t="shared" ref="G805:L805" si="937">G806</f>
        <v>0.73757751851636921</v>
      </c>
      <c r="H805" s="1">
        <f t="shared" si="937"/>
        <v>0.73634039967949361</v>
      </c>
      <c r="I805" s="1">
        <f t="shared" si="937"/>
        <v>0.73430551199156069</v>
      </c>
      <c r="J805" s="1">
        <f t="shared" si="937"/>
        <v>0.73278014178243989</v>
      </c>
      <c r="K805" s="1">
        <f t="shared" si="937"/>
        <v>0.73073660849687461</v>
      </c>
      <c r="L805" s="1">
        <f t="shared" si="937"/>
        <v>0.72669053871989397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0.62579824910803716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0.73757751851636921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0.73634039967949361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0.73430551199156069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0.73278014178243989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0.73073660849687461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0.72669053871989397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7.7980559924360975</v>
      </c>
      <c r="G807" s="1">
        <f>[1]Industry!C$21</f>
        <v>8.0801715131694731</v>
      </c>
      <c r="H807" s="1">
        <f>[1]Industry!D$21</f>
        <v>11.008862407597146</v>
      </c>
      <c r="I807" s="1">
        <f>[1]Industry!E$21</f>
        <v>10.904585351801449</v>
      </c>
      <c r="J807" s="1">
        <f>[2]Industry!F$21</f>
        <v>10.77010554646103</v>
      </c>
      <c r="K807" s="1">
        <f>[2]Industry!G$21</f>
        <v>10.720091296318113</v>
      </c>
      <c r="L807" s="1">
        <f>[2]Industry!H$21</f>
        <v>6.2897265841494452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7.7980559924360975</v>
      </c>
      <c r="G808" s="1">
        <f t="shared" ref="G808:K808" si="939">G807</f>
        <v>8.0801715131694731</v>
      </c>
      <c r="H808" s="1">
        <f t="shared" si="939"/>
        <v>11.008862407597146</v>
      </c>
      <c r="I808" s="1">
        <f t="shared" si="939"/>
        <v>10.904585351801449</v>
      </c>
      <c r="J808" s="1">
        <f t="shared" si="939"/>
        <v>10.77010554646103</v>
      </c>
      <c r="K808" s="1">
        <f t="shared" si="939"/>
        <v>10.720091296318113</v>
      </c>
      <c r="L808" s="1">
        <f t="shared" ref="L808" si="940">L807</f>
        <v>6.2897265841494452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7.7980559924360975</v>
      </c>
      <c r="G810" s="1">
        <f t="shared" ref="G810:K810" si="941">G808</f>
        <v>8.0801715131694731</v>
      </c>
      <c r="H810" s="1">
        <f t="shared" si="941"/>
        <v>11.008862407597146</v>
      </c>
      <c r="I810" s="1">
        <f t="shared" si="941"/>
        <v>10.904585351801449</v>
      </c>
      <c r="J810" s="1">
        <f t="shared" si="941"/>
        <v>10.77010554646103</v>
      </c>
      <c r="K810" s="1">
        <f t="shared" si="941"/>
        <v>10.720091296318113</v>
      </c>
      <c r="L810" s="1">
        <f t="shared" ref="L810" si="942">L808</f>
        <v>6.2897265841494452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6.7646983408906847E-2</v>
      </c>
      <c r="G811" s="1">
        <f>[1]Industry!C$22</f>
        <v>8.5497042382649491E-2</v>
      </c>
      <c r="H811" s="1">
        <f>[1]Industry!D$22</f>
        <v>8.6271676196359545E-2</v>
      </c>
      <c r="I811" s="1">
        <f>[1]Industry!E$22</f>
        <v>0.45157611361254418</v>
      </c>
      <c r="J811" s="1">
        <f>[2]Industry!F$22</f>
        <v>0.19438870338494443</v>
      </c>
      <c r="K811" s="1">
        <f>[2]Industry!G$22</f>
        <v>0.19444796025340907</v>
      </c>
      <c r="L811" s="1">
        <f>[2]Industry!H$22</f>
        <v>0.19133641525995443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6.7646983408906847E-2</v>
      </c>
      <c r="G812" s="1">
        <f t="shared" ref="G812:K812" si="945">G811</f>
        <v>8.5497042382649491E-2</v>
      </c>
      <c r="H812" s="1">
        <f t="shared" si="945"/>
        <v>8.6271676196359545E-2</v>
      </c>
      <c r="I812" s="1">
        <f t="shared" si="945"/>
        <v>0.45157611361254418</v>
      </c>
      <c r="J812" s="1">
        <f t="shared" si="945"/>
        <v>0.19438870338494443</v>
      </c>
      <c r="K812" s="1">
        <f t="shared" si="945"/>
        <v>0.19444796025340907</v>
      </c>
      <c r="L812" s="1">
        <f t="shared" ref="L812" si="946">L811</f>
        <v>0.19133641525995443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3.6445260740539105</v>
      </c>
      <c r="K813" s="1">
        <f>[2]Industry!G$23</f>
        <v>8.531659405379008</v>
      </c>
      <c r="L813" s="1">
        <f>[2]Industry!H$23</f>
        <v>8.4330502582900291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</v>
      </c>
      <c r="J814" s="1">
        <f t="shared" si="949"/>
        <v>3.6445260740539105</v>
      </c>
      <c r="K814" s="1">
        <f t="shared" si="949"/>
        <v>8.531659405379008</v>
      </c>
      <c r="L814" s="1">
        <f t="shared" ref="L814" si="950">L813</f>
        <v>8.4330502582900291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0.74849546556731217</v>
      </c>
      <c r="G815" s="1">
        <f>[1]Industry!C$24</f>
        <v>0.94973410475198583</v>
      </c>
      <c r="H815" s="1">
        <f>[1]Industry!D$24</f>
        <v>0.96359198951334912</v>
      </c>
      <c r="I815" s="1">
        <f>[1]Industry!E$24</f>
        <v>2.4618969181976271</v>
      </c>
      <c r="J815" s="1">
        <f>[2]Industry!F$24</f>
        <v>5.2766525857770974</v>
      </c>
      <c r="K815" s="1">
        <f>[2]Industry!G$24</f>
        <v>6.7799847644451177</v>
      </c>
      <c r="L815" s="1">
        <f>[2]Industry!H$24</f>
        <v>8.0212160183631713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0.74849546556731217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0.94973410475198583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0.96359198951334912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2.4618969181976271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5.2737192385597451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6.7789090099367435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8.0178801343184016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0</v>
      </c>
      <c r="I817" s="1">
        <f t="shared" si="955"/>
        <v>0</v>
      </c>
      <c r="J817" s="1">
        <f t="shared" si="955"/>
        <v>2.9333472173522779E-3</v>
      </c>
      <c r="K817" s="1">
        <f t="shared" si="955"/>
        <v>1.0757545083741604E-3</v>
      </c>
      <c r="L817" s="1">
        <f t="shared" ref="L817" si="956">L815-L816</f>
        <v>3.3358840447696991E-3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72.708383882187121</v>
      </c>
      <c r="G818" s="17">
        <f>[1]Industry!C$71</f>
        <v>73.853065257109108</v>
      </c>
      <c r="H818" s="17">
        <f>[1]Industry!D$71</f>
        <v>76.143536291270536</v>
      </c>
      <c r="I818" s="17">
        <f>[1]Industry!E$71</f>
        <v>76.724859058094452</v>
      </c>
      <c r="J818" s="17">
        <f>[2]Industry!F$71</f>
        <v>76.899478950740829</v>
      </c>
      <c r="K818" s="17">
        <f>[2]Industry!G$71</f>
        <v>77.480361831732509</v>
      </c>
      <c r="L818" s="17">
        <f>[2]Industry!H$71</f>
        <v>78.407982485899396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58.985486771295314</v>
      </c>
      <c r="G819" s="18">
        <f t="shared" ref="G819:K819" si="957">SUM(G820:G822)</f>
        <v>60.080749863452411</v>
      </c>
      <c r="H819" s="18">
        <f t="shared" si="957"/>
        <v>62.866319685205362</v>
      </c>
      <c r="I819" s="18">
        <f t="shared" si="957"/>
        <v>63.103946786439558</v>
      </c>
      <c r="J819" s="18">
        <f t="shared" si="957"/>
        <v>71.427310474792677</v>
      </c>
      <c r="K819" s="18">
        <f t="shared" si="957"/>
        <v>73.598091130328697</v>
      </c>
      <c r="L819" s="18">
        <f t="shared" ref="L819" si="958">SUM(L820:L822)</f>
        <v>76.539091251023294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9.8139095624007151</v>
      </c>
      <c r="G820" s="1">
        <f>[1]Industry!C$55</f>
        <v>10.335085018705572</v>
      </c>
      <c r="H820" s="1">
        <f>[1]Industry!D$55</f>
        <v>10.335097206580622</v>
      </c>
      <c r="I820" s="1">
        <f>[1]Industry!E$55</f>
        <v>10.335108166049295</v>
      </c>
      <c r="J820" s="1">
        <f>[2]Industry!F$55</f>
        <v>13.157338605202938</v>
      </c>
      <c r="K820" s="1">
        <f>[2]Industry!G$55</f>
        <v>13.15733995954842</v>
      </c>
      <c r="L820" s="1">
        <f>[2]Industry!H$55</f>
        <v>13.15733895199423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1.1081795567235997</v>
      </c>
      <c r="G821" s="1">
        <f>[1]Industry!C$56</f>
        <v>1.400799029951814</v>
      </c>
      <c r="H821" s="1">
        <f>[1]Industry!D$56</f>
        <v>1.4133697828964702</v>
      </c>
      <c r="I821" s="1">
        <f>[1]Industry!E$56</f>
        <v>3.579028311953814</v>
      </c>
      <c r="J821" s="1">
        <f>[2]Industry!F$56</f>
        <v>7.601907746604109</v>
      </c>
      <c r="K821" s="1">
        <f>[2]Industry!G$56</f>
        <v>9.6926223962473053</v>
      </c>
      <c r="L821" s="1">
        <f>[2]Industry!H$56</f>
        <v>11.291366629593188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48.344865814795028</v>
      </c>
      <c r="H822" s="1">
        <f>[1]Industry!D$3-([1]Industry!D$6-[1]Industry!D$70)</f>
        <v>51.117852695728267</v>
      </c>
      <c r="I822" s="1">
        <f>[1]Industry!E$3-([1]Industry!E$6-[1]Industry!E$70)</f>
        <v>49.189810308436449</v>
      </c>
      <c r="J822" s="1">
        <f>[2]Industry!F$3-([2]Industry!F$6-[2]Industry!F$70)</f>
        <v>50.668064122985633</v>
      </c>
      <c r="K822" s="1">
        <f>[2]Industry!G$3-([2]Industry!G$6-[2]Industry!G$70)</f>
        <v>50.748128774532972</v>
      </c>
      <c r="L822" s="1">
        <f>[2]Industry!H$3-([2]Industry!H$6-[2]Industry!H$70)</f>
        <v>52.090385669435875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8.7635547142524821</v>
      </c>
      <c r="G823" s="1">
        <f t="shared" ref="G823:K823" si="960">SUM(G824:G825)</f>
        <v>8.1576092915933156</v>
      </c>
      <c r="H823" s="1">
        <f t="shared" si="960"/>
        <v>6.2480446527487228</v>
      </c>
      <c r="I823" s="1">
        <f t="shared" si="960"/>
        <v>4.6364595803561066</v>
      </c>
      <c r="J823" s="1">
        <f t="shared" si="960"/>
        <v>3.5457217919404513</v>
      </c>
      <c r="K823" s="1">
        <f t="shared" si="960"/>
        <v>2.41243973634481</v>
      </c>
      <c r="L823" s="1">
        <f t="shared" ref="L823" si="961">SUM(L824:L825)</f>
        <v>0.84932977751091854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6.9177250408567614</v>
      </c>
      <c r="G824" s="1">
        <f>[1]Industry!C$57</f>
        <v>6.3117849134579203</v>
      </c>
      <c r="H824" s="1">
        <f>[1]Industry!D$57</f>
        <v>6.2439426213999063</v>
      </c>
      <c r="I824" s="1">
        <f>[1]Industry!E$57</f>
        <v>4.6360709647981979</v>
      </c>
      <c r="J824" s="1">
        <f>[2]Industry!F$57</f>
        <v>3.5447640623738645</v>
      </c>
      <c r="K824" s="1">
        <f>[2]Industry!G$57</f>
        <v>2.4123908555244395</v>
      </c>
      <c r="L824" s="1">
        <f>[2]Industry!H$57</f>
        <v>0.84932977751091854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1.8458296733957211</v>
      </c>
      <c r="G825" s="1">
        <f>[1]Industry!C$58</f>
        <v>1.8458243781353956</v>
      </c>
      <c r="H825" s="1">
        <f>[1]Industry!D$58</f>
        <v>4.1020313488166985E-3</v>
      </c>
      <c r="I825" s="1">
        <f>[1]Industry!E$58</f>
        <v>3.8861555790906094E-4</v>
      </c>
      <c r="J825" s="1">
        <f>[2]Industry!F$58</f>
        <v>9.5772956658665936E-4</v>
      </c>
      <c r="K825" s="1">
        <f>[2]Industry!G$58</f>
        <v>4.8880820370291711E-5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28.930299517439586</v>
      </c>
      <c r="G826" s="1">
        <f t="shared" ref="G826:K826" si="962">SUM(G827:G829)</f>
        <v>23.809671132584711</v>
      </c>
      <c r="H826" s="1">
        <f t="shared" si="962"/>
        <v>28.605193329327136</v>
      </c>
      <c r="I826" s="1">
        <f t="shared" si="962"/>
        <v>21.56628392222294</v>
      </c>
      <c r="J826" s="1">
        <f t="shared" si="962"/>
        <v>11.910322887338122</v>
      </c>
      <c r="K826" s="1">
        <f t="shared" si="962"/>
        <v>5.5921925266359702</v>
      </c>
      <c r="L826" s="1">
        <f t="shared" ref="L826" si="963">SUM(L827:L829)</f>
        <v>4.0250471969588881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28.619772006167388</v>
      </c>
      <c r="G827" s="1">
        <f>[1]Industry!C$59</f>
        <v>23.417148894376577</v>
      </c>
      <c r="H827" s="1">
        <f>[1]Industry!D$59</f>
        <v>27.563173582134166</v>
      </c>
      <c r="I827" s="1">
        <f>[1]Industry!E$59</f>
        <v>20.524249139525519</v>
      </c>
      <c r="J827" s="1">
        <f>[2]Industry!F$59</f>
        <v>9.5981237682847347</v>
      </c>
      <c r="K827" s="1">
        <f>[2]Industry!G$59</f>
        <v>3.2838292089235686</v>
      </c>
      <c r="L827" s="1">
        <f>[2]Industry!H$59</f>
        <v>1.6831928139738728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</v>
      </c>
      <c r="I828" s="1">
        <f>[1]Industry!E$60</f>
        <v>0</v>
      </c>
      <c r="J828" s="1">
        <f>[2]Industry!F$60</f>
        <v>5.9917974750430935E-3</v>
      </c>
      <c r="K828" s="1">
        <f>[2]Industry!G$60</f>
        <v>2.1559031909000573E-3</v>
      </c>
      <c r="L828" s="1">
        <f>[2]Industry!H$60</f>
        <v>6.454687616321635E-3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0.31052751127219724</v>
      </c>
      <c r="G829" s="1">
        <f>[1]Industry!C$68</f>
        <v>0.39252223820813392</v>
      </c>
      <c r="H829" s="1">
        <f>[1]Industry!D$68</f>
        <v>1.0420197471929695</v>
      </c>
      <c r="I829" s="1">
        <f>[1]Industry!E$68</f>
        <v>1.0420347826974214</v>
      </c>
      <c r="J829" s="1">
        <f>[2]Industry!F$68</f>
        <v>2.3062073215783458</v>
      </c>
      <c r="K829" s="1">
        <f>[2]Industry!G$68</f>
        <v>2.3062074145215017</v>
      </c>
      <c r="L829" s="1">
        <f>[2]Industry!H$68</f>
        <v>2.335399695368694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2.3674169489998631</v>
      </c>
      <c r="G830" s="1">
        <f t="shared" ref="G830:L830" si="966">G831</f>
        <v>2.3075053045581861</v>
      </c>
      <c r="H830" s="1">
        <f t="shared" si="966"/>
        <v>0.66016241872253345</v>
      </c>
      <c r="I830" s="1">
        <f t="shared" si="966"/>
        <v>2.9818646673370375E-4</v>
      </c>
      <c r="J830" s="1">
        <f t="shared" si="966"/>
        <v>7.273811480598358E-4</v>
      </c>
      <c r="K830" s="1">
        <f t="shared" si="966"/>
        <v>4.0797292155443544E-5</v>
      </c>
      <c r="L830" s="1">
        <f t="shared" si="966"/>
        <v>3.5969139561214421E-4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2.3674169489998631</v>
      </c>
      <c r="G831" s="1">
        <f>[1]Industry!C$61</f>
        <v>2.3075053045581861</v>
      </c>
      <c r="H831" s="1">
        <f>[1]Industry!D$61</f>
        <v>0.66016241872253345</v>
      </c>
      <c r="I831" s="1">
        <f>[1]Industry!E$61</f>
        <v>2.9818646673370375E-4</v>
      </c>
      <c r="J831" s="1">
        <f>[2]Industry!F$61</f>
        <v>7.273811480598358E-4</v>
      </c>
      <c r="K831" s="1">
        <f>[2]Industry!G$61</f>
        <v>4.0797292155443544E-5</v>
      </c>
      <c r="L831" s="1">
        <f>[2]Industry!H$61</f>
        <v>3.5969139561214421E-4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11.767340071622678</v>
      </c>
      <c r="G832" s="1">
        <f t="shared" ref="G832:K832" si="967">G833+G843</f>
        <v>12.635411163077247</v>
      </c>
      <c r="H832" s="1">
        <f t="shared" si="967"/>
        <v>12.564596052404045</v>
      </c>
      <c r="I832" s="1">
        <f t="shared" si="967"/>
        <v>13.554470991781198</v>
      </c>
      <c r="J832" s="1">
        <f t="shared" si="967"/>
        <v>14.641166455242814</v>
      </c>
      <c r="K832" s="1">
        <f t="shared" si="967"/>
        <v>15.094777418857753</v>
      </c>
      <c r="L832" s="1">
        <f t="shared" ref="L832" si="968">L833+L843</f>
        <v>18.610816145095349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5.1850612463740919</v>
      </c>
      <c r="G833" s="1">
        <f>[1]Industry!C$62</f>
        <v>5.5675610504759092</v>
      </c>
      <c r="H833" s="1">
        <f>[1]Industry!D$62</f>
        <v>5.695565229072109</v>
      </c>
      <c r="I833" s="1">
        <f>[1]Industry!E$62</f>
        <v>7.5027381396626138</v>
      </c>
      <c r="J833" s="1">
        <f>[2]Industry!F$62</f>
        <v>8.4804564628839145</v>
      </c>
      <c r="K833" s="1">
        <f>[2]Industry!G$62</f>
        <v>8.9016002569551169</v>
      </c>
      <c r="L833" s="1">
        <f>[2]Industry!H$62</f>
        <v>10.617300655748442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1.1199639273882891</v>
      </c>
      <c r="G834" s="1">
        <f t="shared" ref="G834:K834" si="969">IFERROR(G793/G$792,0)*G$833</f>
        <v>2.2677785736483664</v>
      </c>
      <c r="H834" s="1">
        <f t="shared" si="969"/>
        <v>0.8491640432991614</v>
      </c>
      <c r="I834" s="1">
        <f t="shared" si="969"/>
        <v>1.2344617364909674</v>
      </c>
      <c r="J834" s="1">
        <f t="shared" si="969"/>
        <v>0.78753254852474985</v>
      </c>
      <c r="K834" s="1">
        <f t="shared" si="969"/>
        <v>1.2197146210626154E-2</v>
      </c>
      <c r="L834" s="1">
        <f t="shared" ref="L834" si="970">IFERROR(L793/L$792,0)*L$833</f>
        <v>9.0074850663590722E-2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0.93875121017266661</v>
      </c>
      <c r="G835" s="1">
        <f t="shared" si="971"/>
        <v>0.64397817922745115</v>
      </c>
      <c r="H835" s="1">
        <f t="shared" si="971"/>
        <v>0.45472281706495749</v>
      </c>
      <c r="I835" s="1">
        <f t="shared" si="971"/>
        <v>3.2885774666820029E-2</v>
      </c>
      <c r="J835" s="1">
        <f t="shared" si="971"/>
        <v>2.979844876349368E-2</v>
      </c>
      <c r="K835" s="1">
        <f t="shared" si="971"/>
        <v>8.4084628248817829E-3</v>
      </c>
      <c r="L835" s="1">
        <f t="shared" ref="L835" si="972">IFERROR(L794/L$792,0)*L$833</f>
        <v>2.8455624792348751E-3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0</v>
      </c>
      <c r="L836" s="1">
        <f t="shared" ref="L836" si="973">IFERROR(L795/L$792,0)*L$833</f>
        <v>1.7046242175505837E-3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0</v>
      </c>
      <c r="J837" s="1">
        <f t="shared" si="971"/>
        <v>6.5330268904955865E-4</v>
      </c>
      <c r="K837" s="1">
        <f t="shared" si="971"/>
        <v>3.8514587644857879E-4</v>
      </c>
      <c r="L837" s="1">
        <f t="shared" ref="L837" si="974">IFERROR(L796/L$792,0)*L$833</f>
        <v>6.7563153046722884E-4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2.3315217635524452</v>
      </c>
      <c r="G838" s="1">
        <f t="shared" si="971"/>
        <v>2.0360017404540196</v>
      </c>
      <c r="H838" s="1">
        <f t="shared" si="971"/>
        <v>1.5729966842453796E-2</v>
      </c>
      <c r="I838" s="1">
        <f t="shared" si="971"/>
        <v>5.3115232840108932E-3</v>
      </c>
      <c r="J838" s="1">
        <f t="shared" si="971"/>
        <v>8.4765680660234752E-3</v>
      </c>
      <c r="K838" s="1">
        <f t="shared" si="971"/>
        <v>5.978702479109115E-3</v>
      </c>
      <c r="L838" s="1">
        <f t="shared" ref="L838" si="975">IFERROR(L797/L$792,0)*L$833</f>
        <v>7.9304647390580798E-4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0</v>
      </c>
      <c r="L839" s="1">
        <f t="shared" ref="L839" si="976">IFERROR(L798/L$792,0)*L$833</f>
        <v>0.77739191795470941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0.79482434526069123</v>
      </c>
      <c r="G840" s="1">
        <f t="shared" si="971"/>
        <v>0.61980255714607257</v>
      </c>
      <c r="H840" s="1">
        <f t="shared" si="971"/>
        <v>4.3759484018655357</v>
      </c>
      <c r="I840" s="1">
        <f t="shared" si="971"/>
        <v>6.2300791052208151</v>
      </c>
      <c r="J840" s="1">
        <f t="shared" si="971"/>
        <v>7.6492158337378644</v>
      </c>
      <c r="K840" s="1">
        <f t="shared" si="971"/>
        <v>8.8715642436554099</v>
      </c>
      <c r="L840" s="1">
        <f t="shared" ref="L840" si="977">IFERROR(L799/L$792,0)*L$833</f>
        <v>7.0099662545933912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0</v>
      </c>
      <c r="L841" s="1">
        <f t="shared" ref="L841" si="978">IFERROR(L800/L$792,0)*L$833</f>
        <v>2.6940081550422046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0</v>
      </c>
      <c r="J842" s="1">
        <f t="shared" si="971"/>
        <v>4.7797611027341497E-3</v>
      </c>
      <c r="K842" s="1">
        <f t="shared" si="971"/>
        <v>3.0665559086417893E-3</v>
      </c>
      <c r="L842" s="1">
        <f t="shared" ref="L842" si="979">IFERROR(L801/L$792,0)*L$833</f>
        <v>3.9840612793387763E-2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6.5822788252485864</v>
      </c>
      <c r="G843" s="1">
        <f>[1]Industry!C$63</f>
        <v>7.067850112601338</v>
      </c>
      <c r="H843" s="1">
        <f>[1]Industry!D$63</f>
        <v>6.8690308233319373</v>
      </c>
      <c r="I843" s="1">
        <f>[1]Industry!E$63</f>
        <v>6.051732852118584</v>
      </c>
      <c r="J843" s="1">
        <f>[2]Industry!F$63</f>
        <v>6.1607099923588997</v>
      </c>
      <c r="K843" s="1">
        <f>[2]Industry!G$63</f>
        <v>6.1931771619026348</v>
      </c>
      <c r="L843" s="1">
        <f>[2]Industry!H$63</f>
        <v>7.9935154893469074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5.3111367546158688</v>
      </c>
      <c r="G844" s="1">
        <f t="shared" ref="G844:L844" si="980">G845</f>
        <v>6.2669476950139451</v>
      </c>
      <c r="H844" s="1">
        <f t="shared" si="980"/>
        <v>5.8298606317055262</v>
      </c>
      <c r="I844" s="1">
        <f t="shared" si="980"/>
        <v>5.8968661235196089</v>
      </c>
      <c r="J844" s="1">
        <f t="shared" si="980"/>
        <v>6.7611454847456987</v>
      </c>
      <c r="K844" s="1">
        <f t="shared" si="980"/>
        <v>7.2558728410268571</v>
      </c>
      <c r="L844" s="1">
        <f t="shared" si="980"/>
        <v>8.4371812535291681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5.3111367546158688</v>
      </c>
      <c r="G845" s="1">
        <f>[1]Industry!C$64</f>
        <v>6.2669476950139451</v>
      </c>
      <c r="H845" s="1">
        <f>[1]Industry!D$64</f>
        <v>5.8298606317055262</v>
      </c>
      <c r="I845" s="1">
        <f>[1]Industry!E$64</f>
        <v>5.8968661235196089</v>
      </c>
      <c r="J845" s="1">
        <f>[2]Industry!F$64</f>
        <v>6.7611454847456987</v>
      </c>
      <c r="K845" s="1">
        <f>[2]Industry!G$64</f>
        <v>7.2558728410268571</v>
      </c>
      <c r="L845" s="1">
        <f>[2]Industry!H$64</f>
        <v>8.4371812535291681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0.46152620871717753</v>
      </c>
      <c r="G846" s="1">
        <f t="shared" ref="G846:L846" si="981">G847</f>
        <v>0.54457806783791973</v>
      </c>
      <c r="H846" s="1">
        <f t="shared" si="981"/>
        <v>0.54458508726295862</v>
      </c>
      <c r="I846" s="1">
        <f t="shared" si="981"/>
        <v>0.54460992139374098</v>
      </c>
      <c r="J846" s="1">
        <f t="shared" si="981"/>
        <v>0.54500523045068971</v>
      </c>
      <c r="K846" s="1">
        <f t="shared" si="981"/>
        <v>0.54500772050391855</v>
      </c>
      <c r="L846" s="1">
        <f t="shared" si="981"/>
        <v>0.54501790403992056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0.46152620871717753</v>
      </c>
      <c r="G847" s="1">
        <f>[1]Industry!C$65</f>
        <v>0.54457806783791973</v>
      </c>
      <c r="H847" s="1">
        <f>[1]Industry!D$65</f>
        <v>0.54458508726295862</v>
      </c>
      <c r="I847" s="1">
        <f>[1]Industry!E$65</f>
        <v>0.54460992139374098</v>
      </c>
      <c r="J847" s="1">
        <f>[2]Industry!F$65</f>
        <v>0.54500523045068971</v>
      </c>
      <c r="K847" s="1">
        <f>[2]Industry!G$65</f>
        <v>0.54500772050391855</v>
      </c>
      <c r="L847" s="1">
        <f>[2]Industry!H$65</f>
        <v>0.54501790403992056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4.1173735640062636</v>
      </c>
      <c r="G848" s="1">
        <f t="shared" ref="G848:L848" si="982">G849</f>
        <v>4.2663305589534835</v>
      </c>
      <c r="H848" s="1">
        <f t="shared" si="982"/>
        <v>5.8126793512112895</v>
      </c>
      <c r="I848" s="1">
        <f t="shared" si="982"/>
        <v>5.7576210657511648</v>
      </c>
      <c r="J848" s="1">
        <f t="shared" si="982"/>
        <v>5.6866157285314287</v>
      </c>
      <c r="K848" s="1">
        <f t="shared" si="982"/>
        <v>5.6602082044559632</v>
      </c>
      <c r="L848" s="1">
        <f t="shared" si="982"/>
        <v>3.4216112617772998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4.1173735640062636</v>
      </c>
      <c r="G849" s="1">
        <f>[1]Industry!C$66</f>
        <v>4.2663305589534835</v>
      </c>
      <c r="H849" s="1">
        <f>[1]Industry!D$66</f>
        <v>5.8126793512112895</v>
      </c>
      <c r="I849" s="1">
        <f>[1]Industry!E$66</f>
        <v>5.7576210657511648</v>
      </c>
      <c r="J849" s="1">
        <f>[2]Industry!F$66</f>
        <v>5.6866157285314287</v>
      </c>
      <c r="K849" s="1">
        <f>[2]Industry!G$66</f>
        <v>5.6602082044559632</v>
      </c>
      <c r="L849" s="1">
        <f>[2]Industry!H$66</f>
        <v>3.4216112617772998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6.7646983408906847E-2</v>
      </c>
      <c r="G850" s="1">
        <f t="shared" ref="G850:L850" si="983">G851</f>
        <v>8.5497042382649491E-2</v>
      </c>
      <c r="H850" s="1">
        <f t="shared" si="983"/>
        <v>8.6271676196359545E-2</v>
      </c>
      <c r="I850" s="1">
        <f t="shared" si="983"/>
        <v>0.45157611361254418</v>
      </c>
      <c r="J850" s="1">
        <f t="shared" si="983"/>
        <v>0.19438870338494443</v>
      </c>
      <c r="K850" s="1">
        <f t="shared" si="983"/>
        <v>0.19444796025340907</v>
      </c>
      <c r="L850" s="1">
        <f t="shared" si="983"/>
        <v>0.19133641525995443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6.7646983408906847E-2</v>
      </c>
      <c r="G851" s="1">
        <f>[1]Industry!C$67</f>
        <v>8.5497042382649491E-2</v>
      </c>
      <c r="H851" s="1">
        <f>[1]Industry!D$67</f>
        <v>8.6271676196359545E-2</v>
      </c>
      <c r="I851" s="1">
        <f>[1]Industry!E$67</f>
        <v>0.45157611361254418</v>
      </c>
      <c r="J851" s="1">
        <f>[2]Industry!F$67</f>
        <v>0.19438870338494443</v>
      </c>
      <c r="K851" s="1">
        <f>[2]Industry!G$67</f>
        <v>0.19444796025340907</v>
      </c>
      <c r="L851" s="1">
        <f>[2]Industry!H$67</f>
        <v>0.19133641525995443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0</v>
      </c>
      <c r="J852" s="1">
        <f t="shared" si="984"/>
        <v>2.6933322422853547</v>
      </c>
      <c r="K852" s="1">
        <f t="shared" si="984"/>
        <v>6.7999883130037109</v>
      </c>
      <c r="L852" s="1">
        <f t="shared" si="984"/>
        <v>6.7999579461727313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2.6933322422853547</v>
      </c>
      <c r="K853" s="1">
        <f>[2]Industry!G$69</f>
        <v>6.7999883130037109</v>
      </c>
      <c r="L853" s="1">
        <f>[2]Industry!H$69</f>
        <v>6.7999579461727313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4.8942321334634595</v>
      </c>
      <c r="H854" s="1">
        <f t="shared" si="985"/>
        <v>4.8942867807424388</v>
      </c>
      <c r="I854" s="1">
        <f t="shared" si="985"/>
        <v>14.466150191722601</v>
      </c>
      <c r="J854" s="1">
        <f t="shared" si="985"/>
        <v>13.916483001266689</v>
      </c>
      <c r="K854" s="1">
        <f t="shared" si="985"/>
        <v>15.267812582975983</v>
      </c>
      <c r="L854" s="1">
        <f t="shared" ref="L854" si="986">SUM(L855:L856)</f>
        <v>15.283544581473652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0.85060118101318594</v>
      </c>
      <c r="H855" s="1">
        <f>[1]Industry!D$6-H856</f>
        <v>0.85061067852756</v>
      </c>
      <c r="I855" s="1">
        <f>[1]Industry!E$6-I856</f>
        <v>4.0636135167352947</v>
      </c>
      <c r="J855" s="1">
        <f>[2]Industry!F$6-J856</f>
        <v>3.7546763074004676</v>
      </c>
      <c r="K855" s="1">
        <f>[2]Industry!G$6-K856</f>
        <v>4.1923886254137308</v>
      </c>
      <c r="L855" s="1">
        <f>[2]Industry!H$6-L856</f>
        <v>4.2049252689015084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4.0436309524502736</v>
      </c>
      <c r="H856" s="1">
        <f>[1]Industry!D$70</f>
        <v>4.0436761022148788</v>
      </c>
      <c r="I856" s="1">
        <f>[1]Industry!E$70</f>
        <v>10.402536674987306</v>
      </c>
      <c r="J856" s="1">
        <f>[2]Industry!F$70</f>
        <v>10.161806693866222</v>
      </c>
      <c r="K856" s="1">
        <f>[2]Industry!G$70</f>
        <v>11.075423957562252</v>
      </c>
      <c r="L856" s="1">
        <f>[2]Industry!H$70</f>
        <v>11.078619312572144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0.84306236513985267</v>
      </c>
      <c r="H858" s="4">
        <f t="shared" si="987"/>
        <v>0.84373276872970704</v>
      </c>
      <c r="I858" s="4">
        <f t="shared" si="987"/>
        <v>0.84485010804612937</v>
      </c>
      <c r="J858" s="4">
        <f t="shared" si="987"/>
        <v>0.84596744736255403</v>
      </c>
      <c r="K858" s="4">
        <f t="shared" si="987"/>
        <v>0.84708478667897813</v>
      </c>
      <c r="L858" s="4">
        <f t="shared" ref="L858" si="988">IFERROR(L820/L765,"-")</f>
        <v>0.84931946531182279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3.0809801822513219</v>
      </c>
      <c r="G859" s="4">
        <f t="shared" si="991"/>
        <v>3.1055374774069167</v>
      </c>
      <c r="H859" s="4">
        <f t="shared" si="991"/>
        <v>3.142373420140288</v>
      </c>
      <c r="I859" s="4">
        <f t="shared" si="991"/>
        <v>3.2037666580292474</v>
      </c>
      <c r="J859" s="4">
        <f t="shared" si="991"/>
        <v>3.2651598959182104</v>
      </c>
      <c r="K859" s="4">
        <f t="shared" si="991"/>
        <v>3.3265531338071712</v>
      </c>
      <c r="L859" s="4">
        <f t="shared" ref="L859" si="992">IFERROR(L821/L766,"-")</f>
        <v>3.449339609585087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1</v>
      </c>
      <c r="G860" s="4">
        <f t="shared" si="993"/>
        <v>0.99999995608545633</v>
      </c>
      <c r="H860" s="4">
        <f t="shared" si="993"/>
        <v>0.99999995947540243</v>
      </c>
      <c r="I860" s="4">
        <f t="shared" si="993"/>
        <v>1.00000044378925</v>
      </c>
      <c r="J860" s="4">
        <f t="shared" si="993"/>
        <v>1.0000012534553333</v>
      </c>
      <c r="K860" s="4">
        <f t="shared" si="993"/>
        <v>1.000002204297058</v>
      </c>
      <c r="L860" s="4">
        <f t="shared" ref="L860" si="994">IFERROR(L822/L767,"-")</f>
        <v>0.9603315378206545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995">IFERROR(G824/G769,"-")</f>
        <v>0.77871988564932337</v>
      </c>
      <c r="H861" s="4">
        <f t="shared" si="995"/>
        <v>0.78060651575785545</v>
      </c>
      <c r="I861" s="4">
        <f t="shared" si="995"/>
        <v>0.78375089927207675</v>
      </c>
      <c r="J861" s="4">
        <f t="shared" si="995"/>
        <v>0.78689528278629883</v>
      </c>
      <c r="K861" s="4">
        <f t="shared" si="995"/>
        <v>0.79003966630051936</v>
      </c>
      <c r="L861" s="4">
        <f t="shared" ref="L861" si="996">IFERROR(L824/L769,"-")</f>
        <v>0.79632843332896164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0.67612500000000031</v>
      </c>
      <c r="G862" s="4">
        <f t="shared" si="995"/>
        <v>0.67904999999999949</v>
      </c>
      <c r="H862" s="4">
        <f t="shared" si="995"/>
        <v>0.68343750000000003</v>
      </c>
      <c r="I862" s="4">
        <f t="shared" si="995"/>
        <v>0.69074999999999964</v>
      </c>
      <c r="J862" s="4">
        <f t="shared" si="995"/>
        <v>0.69806250000000047</v>
      </c>
      <c r="K862" s="4">
        <f t="shared" si="995"/>
        <v>0.70537499999999997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0.80507318141700956</v>
      </c>
      <c r="G863" s="4">
        <f t="shared" ref="G863:K865" si="998">IFERROR(G827/G779,"-")</f>
        <v>0.80572833273972966</v>
      </c>
      <c r="H863" s="4">
        <f t="shared" si="998"/>
        <v>0.81266051860326283</v>
      </c>
      <c r="I863" s="4">
        <f t="shared" si="998"/>
        <v>0.80852645006348145</v>
      </c>
      <c r="J863" s="4">
        <f t="shared" si="998"/>
        <v>0.83156139470976886</v>
      </c>
      <c r="K863" s="4">
        <f t="shared" si="998"/>
        <v>0.83693311966955641</v>
      </c>
      <c r="L863" s="4">
        <f t="shared" ref="L863" si="999">IFERROR(L827/L779,"-")</f>
        <v>0.83836582709281204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0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0.70601363399628803</v>
      </c>
      <c r="G865" s="4">
        <f t="shared" si="998"/>
        <v>0.71005458347763961</v>
      </c>
      <c r="H865" s="4">
        <f t="shared" si="998"/>
        <v>0.60814934973313683</v>
      </c>
      <c r="I865" s="4">
        <f t="shared" si="998"/>
        <v>0.71100000000000063</v>
      </c>
      <c r="J865" s="4">
        <f t="shared" si="998"/>
        <v>0.71099999999999874</v>
      </c>
      <c r="K865" s="4">
        <f t="shared" si="998"/>
        <v>0.71100000000000008</v>
      </c>
      <c r="L865" s="4">
        <f t="shared" ref="L865" si="1001">IFERROR(L829/L781,"-")</f>
        <v>0.7200000000000002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0.66500000000000092</v>
      </c>
      <c r="G866" s="4">
        <f t="shared" ref="G866:K866" si="1002">IFERROR(G831/G790,"-")</f>
        <v>0.66600000000000026</v>
      </c>
      <c r="H866" s="4">
        <f t="shared" si="1002"/>
        <v>0.66749999999999976</v>
      </c>
      <c r="I866" s="4">
        <f t="shared" si="1002"/>
        <v>0.66999999999999915</v>
      </c>
      <c r="J866" s="4">
        <f t="shared" si="1002"/>
        <v>0.67250000000000043</v>
      </c>
      <c r="K866" s="4">
        <f t="shared" si="1002"/>
        <v>0.67499999999999971</v>
      </c>
      <c r="L866" s="4">
        <f t="shared" ref="L866" si="1003">IFERROR(L831/L790,"-")</f>
        <v>0.68000000000000016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1.2050200190524045</v>
      </c>
      <c r="G867" s="4">
        <f t="shared" ref="G867:K867" si="1004">IFERROR(G834/G793,"-")</f>
        <v>1.0953422808601396</v>
      </c>
      <c r="H867" s="4">
        <f t="shared" si="1004"/>
        <v>1.0280977561771349</v>
      </c>
      <c r="I867" s="4">
        <f t="shared" si="1004"/>
        <v>0.93805512972326688</v>
      </c>
      <c r="J867" s="4">
        <f t="shared" si="1004"/>
        <v>0.93717903333296371</v>
      </c>
      <c r="K867" s="4">
        <f t="shared" si="1004"/>
        <v>0.93990211981082117</v>
      </c>
      <c r="L867" s="4">
        <f t="shared" ref="L867" si="1005">IFERROR(L834/L793,"-")</f>
        <v>0.94719915085280515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1.2050200190524045</v>
      </c>
      <c r="G868" s="4">
        <f t="shared" si="1006"/>
        <v>1.0953422808601396</v>
      </c>
      <c r="H868" s="4">
        <f t="shared" si="1006"/>
        <v>1.0280977561771352</v>
      </c>
      <c r="I868" s="4">
        <f t="shared" si="1006"/>
        <v>0.93805512972326699</v>
      </c>
      <c r="J868" s="4">
        <f t="shared" si="1006"/>
        <v>0.93717903333296371</v>
      </c>
      <c r="K868" s="4">
        <f t="shared" si="1006"/>
        <v>0.93990211981082117</v>
      </c>
      <c r="L868" s="4">
        <f t="shared" ref="L868" si="1007">IFERROR(L835/L794,"-")</f>
        <v>0.94719915085280537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 t="str">
        <f t="shared" si="1006"/>
        <v>-</v>
      </c>
      <c r="L869" s="4">
        <f t="shared" ref="L869" si="1008">IFERROR(L836/L795,"-")</f>
        <v>0.94719915085280537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 t="str">
        <f t="shared" si="1006"/>
        <v>-</v>
      </c>
      <c r="J870" s="4">
        <f t="shared" si="1006"/>
        <v>0.9371790333329636</v>
      </c>
      <c r="K870" s="4">
        <f t="shared" si="1006"/>
        <v>0.93990211981082106</v>
      </c>
      <c r="L870" s="4">
        <f t="shared" ref="L870" si="1009">IFERROR(L837/L796,"-")</f>
        <v>0.94719915085280526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1.2050200190524045</v>
      </c>
      <c r="G871" s="4">
        <f t="shared" si="1006"/>
        <v>1.0953422808601396</v>
      </c>
      <c r="H871" s="4">
        <f t="shared" si="1006"/>
        <v>1.0280977561771349</v>
      </c>
      <c r="I871" s="4">
        <f t="shared" si="1006"/>
        <v>0.93805512972326699</v>
      </c>
      <c r="J871" s="4">
        <f t="shared" si="1006"/>
        <v>0.93717903333296371</v>
      </c>
      <c r="K871" s="4">
        <f t="shared" si="1006"/>
        <v>0.93990211981082117</v>
      </c>
      <c r="L871" s="4">
        <f t="shared" ref="L871" si="1010">IFERROR(L838/L797,"-")</f>
        <v>0.94719915085280537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 t="str">
        <f t="shared" si="1006"/>
        <v>-</v>
      </c>
      <c r="L872" s="4">
        <f t="shared" ref="L872" si="1011">IFERROR(L839/L798,"-")</f>
        <v>0.94719915085280526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1.2050200190524045</v>
      </c>
      <c r="G873" s="4">
        <f t="shared" si="1006"/>
        <v>1.0953422808601396</v>
      </c>
      <c r="H873" s="4">
        <f t="shared" si="1006"/>
        <v>1.0280977561771349</v>
      </c>
      <c r="I873" s="4">
        <f t="shared" si="1006"/>
        <v>0.93805512972326699</v>
      </c>
      <c r="J873" s="4">
        <f t="shared" si="1006"/>
        <v>0.93717903333296371</v>
      </c>
      <c r="K873" s="4">
        <f t="shared" si="1006"/>
        <v>0.93990211981082106</v>
      </c>
      <c r="L873" s="4">
        <f t="shared" ref="L873" si="1012">IFERROR(L840/L799,"-")</f>
        <v>0.94719915085280526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 t="str">
        <f t="shared" si="1006"/>
        <v>-</v>
      </c>
      <c r="L874" s="4">
        <f t="shared" ref="L874" si="1013">IFERROR(L841/L800,"-")</f>
        <v>0.94719915085280526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 t="str">
        <f t="shared" si="1006"/>
        <v>-</v>
      </c>
      <c r="J875" s="4">
        <f t="shared" si="1006"/>
        <v>0.93717903333296371</v>
      </c>
      <c r="K875" s="4">
        <f t="shared" si="1006"/>
        <v>0.93990211981082117</v>
      </c>
      <c r="L875" s="4">
        <f t="shared" ref="L875" si="1014">IFERROR(L842/L801,"-")</f>
        <v>0.94719915085280526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0.92447626236575164</v>
      </c>
      <c r="G876" s="4">
        <f t="shared" si="1006"/>
        <v>0.92645636412827326</v>
      </c>
      <c r="H876" s="4">
        <f t="shared" si="1006"/>
        <v>0.92942651677205512</v>
      </c>
      <c r="I876" s="4">
        <f t="shared" si="1006"/>
        <v>0.9343767711783566</v>
      </c>
      <c r="J876" s="4">
        <f t="shared" si="1006"/>
        <v>0.93932702558466197</v>
      </c>
      <c r="K876" s="4">
        <f>IFERROR(K843/K802,"-")</f>
        <v>0.94427727999096611</v>
      </c>
      <c r="L876" s="4">
        <f>IFERROR(L843/L802,"-")</f>
        <v>0.95000000000000007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15">IFERROR(G845/G804,"-")</f>
        <v>0.59066666666666612</v>
      </c>
      <c r="H877" s="4">
        <f t="shared" si="1015"/>
        <v>0.59166666666666634</v>
      </c>
      <c r="I877" s="4">
        <f t="shared" si="1015"/>
        <v>0.59333333333333305</v>
      </c>
      <c r="J877" s="4">
        <f t="shared" si="1015"/>
        <v>0.59499999999999953</v>
      </c>
      <c r="K877" s="4">
        <f t="shared" si="1015"/>
        <v>0.59666666666666646</v>
      </c>
      <c r="L877" s="4">
        <f t="shared" ref="L877" si="1016">IFERROR(L845/L804,"-")</f>
        <v>0.60000000000000009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17">IFERROR(G847/G806,"-")</f>
        <v>0.73833333333333395</v>
      </c>
      <c r="H878" s="4">
        <f t="shared" si="1017"/>
        <v>0.73958333333333304</v>
      </c>
      <c r="I878" s="4">
        <f t="shared" si="1017"/>
        <v>0.74166666666666681</v>
      </c>
      <c r="J878" s="4">
        <f t="shared" si="1017"/>
        <v>0.74375000000000002</v>
      </c>
      <c r="K878" s="4">
        <f t="shared" si="1017"/>
        <v>0.74583333333333279</v>
      </c>
      <c r="L878" s="4">
        <f t="shared" ref="L878" si="1018">IFERROR(L847/L806,"-")</f>
        <v>0.75000000000000011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0.52800000000000058</v>
      </c>
      <c r="G879" s="4">
        <f t="shared" ref="G879:K879" si="1019">IFERROR(G849/G808,"-")</f>
        <v>0.52800000000000025</v>
      </c>
      <c r="H879" s="4">
        <f t="shared" si="1019"/>
        <v>0.52799999999999969</v>
      </c>
      <c r="I879" s="4">
        <f t="shared" si="1019"/>
        <v>0.52799999999999991</v>
      </c>
      <c r="J879" s="4">
        <f t="shared" si="1019"/>
        <v>0.52800000000000047</v>
      </c>
      <c r="K879" s="4">
        <f t="shared" si="1019"/>
        <v>0.52799999999999991</v>
      </c>
      <c r="L879" s="4">
        <f t="shared" ref="L879" si="1020">IFERROR(L849/L808,"-")</f>
        <v>0.54400000000000026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 t="str">
        <f t="shared" si="1023"/>
        <v>-</v>
      </c>
      <c r="J881" s="4">
        <f t="shared" si="1023"/>
        <v>0.73900753830785038</v>
      </c>
      <c r="K881" s="4">
        <f t="shared" si="1023"/>
        <v>0.79702997856624236</v>
      </c>
      <c r="L881" s="4">
        <f t="shared" ref="L881" si="1024">IFERROR(L853/L814,"-")</f>
        <v>0.80634619003818908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140.10115563936907</v>
      </c>
      <c r="G882" s="17">
        <f t="shared" si="1025"/>
        <v>137.10230581612601</v>
      </c>
      <c r="H882" s="17">
        <f t="shared" si="1025"/>
        <v>132.14774722520764</v>
      </c>
      <c r="I882" s="17">
        <f t="shared" si="1025"/>
        <v>118.3132511459926</v>
      </c>
      <c r="J882" s="17">
        <f t="shared" si="1025"/>
        <v>108.72921439136367</v>
      </c>
      <c r="K882" s="17">
        <f t="shared" si="1025"/>
        <v>98.969872435371769</v>
      </c>
      <c r="L882" s="17">
        <f t="shared" ref="L882" si="1026">L883+L887+L894+L905+L913+L915+L917+L919+L923</f>
        <v>82.162702086198763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60.950037389413218</v>
      </c>
      <c r="G883" s="1">
        <f>[1]Services!C$11</f>
        <v>60.772358610345044</v>
      </c>
      <c r="H883" s="1">
        <f>[1]Services!D$11</f>
        <v>61.846951823956815</v>
      </c>
      <c r="I883" s="1">
        <f>[1]Services!E$11</f>
        <v>59.380326323248511</v>
      </c>
      <c r="J883" s="1">
        <f>[2]Services!F$11</f>
        <v>57.134760493085921</v>
      </c>
      <c r="K883" s="1">
        <f>[2]Services!G$11</f>
        <v>54.456921186997697</v>
      </c>
      <c r="L883" s="1">
        <f>[2]Services!H$11</f>
        <v>47.062996644226132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2.6236237103542646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0.64525956356087977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1.0949979902872349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0.59204912641152341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0.49708652663998221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0.39012572988937588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0.25605577211163455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1.3316391041465085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1.4252033952154148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2.2376529436071633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4.3352350382749743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5.2915835152208714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6.525389688139497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5.8878535466704793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58.701895651568748</v>
      </c>
      <c r="H886" s="1">
        <f>[1]Services!D$11-[1]Services!D$28</f>
        <v>58.514300890062415</v>
      </c>
      <c r="I886" s="1">
        <f>[1]Services!E$11-[1]Services!E$28</f>
        <v>54.453042158562013</v>
      </c>
      <c r="J886" s="1">
        <f>[2]Services!F$11-[2]Services!F$28</f>
        <v>51.346090451225066</v>
      </c>
      <c r="K886" s="1">
        <f>[2]Services!G$11-[2]Services!G$28</f>
        <v>47.541405768968822</v>
      </c>
      <c r="L886" s="1">
        <f>[2]Services!H$11-[2]Services!H$28</f>
        <v>40.919087325444018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30.256635621358559</v>
      </c>
      <c r="G887" s="1">
        <f t="shared" ref="G887:L887" si="1029">G888</f>
        <v>23.411591648706132</v>
      </c>
      <c r="H887" s="1">
        <f t="shared" si="1029"/>
        <v>25.746801282660119</v>
      </c>
      <c r="I887" s="1">
        <f t="shared" si="1029"/>
        <v>13.03113234884802</v>
      </c>
      <c r="J887" s="1">
        <f t="shared" si="1029"/>
        <v>8.5644845721908069</v>
      </c>
      <c r="K887" s="1">
        <f t="shared" si="1029"/>
        <v>2.7458249455005497</v>
      </c>
      <c r="L887" s="1">
        <f t="shared" si="1029"/>
        <v>0.1747042519477591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30.256635621358559</v>
      </c>
      <c r="G888" s="1">
        <f t="shared" ref="G888:K888" si="1030">SUM(G891,G893)</f>
        <v>23.411591648706132</v>
      </c>
      <c r="H888" s="1">
        <f t="shared" si="1030"/>
        <v>25.746801282660119</v>
      </c>
      <c r="I888" s="1">
        <f t="shared" si="1030"/>
        <v>13.03113234884802</v>
      </c>
      <c r="J888" s="1">
        <f t="shared" si="1030"/>
        <v>8.5644845721908069</v>
      </c>
      <c r="K888" s="1">
        <f t="shared" si="1030"/>
        <v>2.7458249455005497</v>
      </c>
      <c r="L888" s="1">
        <f t="shared" ref="L888" si="1031">SUM(L891,L893)</f>
        <v>0.1747042519477591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30.256635621358559</v>
      </c>
      <c r="G889" s="1">
        <f t="shared" ref="G889:L889" si="1032">G890</f>
        <v>23.411591648706132</v>
      </c>
      <c r="H889" s="1">
        <f t="shared" si="1032"/>
        <v>25.746485478879315</v>
      </c>
      <c r="I889" s="1">
        <f t="shared" si="1032"/>
        <v>13.031021111511466</v>
      </c>
      <c r="J889" s="1">
        <f t="shared" si="1032"/>
        <v>8.5639235097453081</v>
      </c>
      <c r="K889" s="1">
        <f t="shared" si="1032"/>
        <v>2.7451284115012582</v>
      </c>
      <c r="L889" s="1">
        <f t="shared" si="1032"/>
        <v>1.0736064445898351E-5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30.256635621358559</v>
      </c>
      <c r="G890" s="1">
        <f>[1]Services!C$12</f>
        <v>23.411591648706132</v>
      </c>
      <c r="H890" s="1">
        <f>[1]Services!D$12</f>
        <v>25.746485478879315</v>
      </c>
      <c r="I890" s="1">
        <f>[1]Services!E$12</f>
        <v>13.031021111511466</v>
      </c>
      <c r="J890" s="1">
        <f>[2]Services!F$12</f>
        <v>8.5639235097453081</v>
      </c>
      <c r="K890" s="1">
        <f>[2]Services!G$12</f>
        <v>2.7451284115012582</v>
      </c>
      <c r="L890" s="1">
        <f>[2]Services!H$12</f>
        <v>1.0736064445898351E-5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30.256635621358559</v>
      </c>
      <c r="G891" s="1">
        <f t="shared" ref="G891:K891" si="1033">G890</f>
        <v>23.411591648706132</v>
      </c>
      <c r="H891" s="1">
        <f t="shared" si="1033"/>
        <v>25.746485478879315</v>
      </c>
      <c r="I891" s="1">
        <f t="shared" si="1033"/>
        <v>13.031021111511466</v>
      </c>
      <c r="J891" s="1">
        <f t="shared" si="1033"/>
        <v>8.5639235097453081</v>
      </c>
      <c r="K891" s="1">
        <f t="shared" si="1033"/>
        <v>2.7451284115012582</v>
      </c>
      <c r="L891" s="1">
        <f t="shared" ref="L891" si="1034">L890</f>
        <v>1.0736064445898351E-5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3.1580378080554595E-4</v>
      </c>
      <c r="I892">
        <f t="shared" si="1035"/>
        <v>1.1123733655372214E-4</v>
      </c>
      <c r="J892">
        <f t="shared" si="1035"/>
        <v>5.6106244549872599E-4</v>
      </c>
      <c r="K892">
        <f t="shared" si="1035"/>
        <v>6.9653399929128074E-4</v>
      </c>
      <c r="L892">
        <f t="shared" si="1035"/>
        <v>0.17469351588331319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3.1580378080554595E-4</v>
      </c>
      <c r="I893">
        <f>[1]Services!E$13</f>
        <v>1.1123733655372214E-4</v>
      </c>
      <c r="J893">
        <f>[2]Services!F$13</f>
        <v>5.6106244549872599E-4</v>
      </c>
      <c r="K893">
        <f>[2]Services!G$13</f>
        <v>6.9653399929128074E-4</v>
      </c>
      <c r="L893">
        <f>[2]Services!H$13</f>
        <v>0.17469351588331319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26.95097135101874</v>
      </c>
      <c r="G894" s="1">
        <f t="shared" ref="G894:K894" si="1036">SUM(G895:G897)</f>
        <v>28.287015378664162</v>
      </c>
      <c r="H894" s="1">
        <f t="shared" si="1036"/>
        <v>24.000323145398607</v>
      </c>
      <c r="I894" s="1">
        <f t="shared" si="1036"/>
        <v>17.148020599289428</v>
      </c>
      <c r="J894" s="1">
        <f t="shared" si="1036"/>
        <v>11.879197925370001</v>
      </c>
      <c r="K894" s="1">
        <f t="shared" si="1036"/>
        <v>7.5418033747744957</v>
      </c>
      <c r="L894" s="1">
        <f t="shared" ref="L894" si="1037">SUM(L895:L897)</f>
        <v>5.1557441758307778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25.548690217693171</v>
      </c>
      <c r="G895" s="1">
        <f>SUM([1]Services!C$14:C$15)</f>
        <v>26.749786636868894</v>
      </c>
      <c r="H895" s="1">
        <f>SUM([1]Services!D$14:D$15)</f>
        <v>22.819852219822412</v>
      </c>
      <c r="I895" s="1">
        <f>SUM([1]Services!E$14:E$15)</f>
        <v>15.20354922992439</v>
      </c>
      <c r="J895" s="1">
        <f>SUM([2]Services!F$14:F$15)</f>
        <v>9.5513646796087901</v>
      </c>
      <c r="K895" s="1">
        <f>SUM([2]Services!G$14:G$15)</f>
        <v>4.8819844126168892</v>
      </c>
      <c r="L895" s="1">
        <f>SUM([2]Services!H$14:H$15)</f>
        <v>3.018208199420882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1.1804709255761958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1.9444713693650373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2.327833245761211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2.6598189621576069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2.1375359764098962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1.4022811333255694</v>
      </c>
      <c r="G897" s="1">
        <f>[1]Services!C$16</f>
        <v>1.5372287417952686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25.262699718605031</v>
      </c>
      <c r="G898" s="1">
        <f>[1]Services!C$14</f>
        <v>24.948001600225211</v>
      </c>
      <c r="H898" s="1">
        <f>[1]Services!D$14</f>
        <v>21.662898697330743</v>
      </c>
      <c r="I898" s="1">
        <f>[1]Services!E$14</f>
        <v>14.650949783985773</v>
      </c>
      <c r="J898" s="1">
        <f>[2]Services!F$14</f>
        <v>8.9826162572802755</v>
      </c>
      <c r="K898" s="1">
        <f>[2]Services!G$14</f>
        <v>4.8726087282318131</v>
      </c>
      <c r="L898" s="1">
        <f>[2]Services!H$14</f>
        <v>2.9849477542713889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25.262699718605031</v>
      </c>
      <c r="G899" s="1">
        <f>[1]Services!C$14*IFERROR(G895/SUM(G895:G896),0)</f>
        <v>24.948001600225211</v>
      </c>
      <c r="H899" s="1">
        <f>[1]Services!D$14*IFERROR(H895/SUM(H895:H896),0)</f>
        <v>20.597395457187737</v>
      </c>
      <c r="I899" s="1">
        <f>[1]Services!E$14*IFERROR(I895/SUM(I895:I896),0)</f>
        <v>12.98962962029611</v>
      </c>
      <c r="J899" s="1">
        <f>[2]Services!F$14*IFERROR(J895/SUM(J895:J896),0)</f>
        <v>7.2223936489040561</v>
      </c>
      <c r="K899" s="1">
        <f>[2]Services!G$14*IFERROR(K895/SUM(K895:K896),0)</f>
        <v>3.1541527507298599</v>
      </c>
      <c r="L899" s="1">
        <f>[2]Services!H$14*IFERROR(L895/SUM(L895:L896),0)</f>
        <v>1.747409002374162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1.0655032401430056</v>
      </c>
      <c r="I900" s="1">
        <f t="shared" si="1041"/>
        <v>1.6613201636896626</v>
      </c>
      <c r="J900" s="1">
        <f t="shared" si="1041"/>
        <v>1.7602226083762194</v>
      </c>
      <c r="K900" s="1">
        <f t="shared" si="1041"/>
        <v>1.7184559775019532</v>
      </c>
      <c r="L900" s="1">
        <f t="shared" ref="L900" si="1042">L898-L899</f>
        <v>1.237538751897227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1.6882716324137075</v>
      </c>
      <c r="G901" s="1">
        <f>[1]Services!C$15+G904</f>
        <v>3.339013778438952</v>
      </c>
      <c r="H901" s="1">
        <f>[1]Services!D$15+H904</f>
        <v>1.1569535224916685</v>
      </c>
      <c r="I901" s="1">
        <f>[1]Services!E$15+I904</f>
        <v>0.55259944593861576</v>
      </c>
      <c r="J901" s="1">
        <f>[2]Services!F$15+J904</f>
        <v>0.56874842232851386</v>
      </c>
      <c r="K901" s="1">
        <f>[2]Services!G$15+K904</f>
        <v>9.3756843850765059E-3</v>
      </c>
      <c r="L901" s="1">
        <f>[2]Services!H$15+L904</f>
        <v>3.326044514949314E-2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0.28599049908813823</v>
      </c>
      <c r="G902" s="1">
        <f>[1]Services!C$15*G895/SUM(G895:G896)</f>
        <v>1.8017850366436834</v>
      </c>
      <c r="H902" s="1">
        <f>[1]Services!D$15*H895/SUM(H895:H896)</f>
        <v>1.1000480388750355</v>
      </c>
      <c r="I902" s="1">
        <f>[1]Services!E$15*I895/SUM(I895:I896)</f>
        <v>0.48993834781752138</v>
      </c>
      <c r="J902" s="1">
        <f>[2]Services!F$15*J895/SUM(J895:J896)</f>
        <v>0.45729716995540259</v>
      </c>
      <c r="K902" s="1">
        <f>[2]Services!G$15*K895/SUM(K895:K896)</f>
        <v>6.069098165387754E-3</v>
      </c>
      <c r="L902" s="1">
        <f>[2]Services!H$15*L895/SUM(L895:L896)</f>
        <v>1.9470893986009829E-2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5.6905483616633071E-2</v>
      </c>
      <c r="I903" s="1">
        <f>[1]Services!E$15*I896/SUM(I895:I896)</f>
        <v>6.26610981210943E-2</v>
      </c>
      <c r="J903" s="1">
        <f>[2]Services!F$15*J896/SUM(J895:J896)</f>
        <v>0.11145125237311132</v>
      </c>
      <c r="K903" s="1">
        <f>[2]Services!G$15*K896/SUM(K895:K896)</f>
        <v>3.3065862196887518E-3</v>
      </c>
      <c r="L903" s="1">
        <f>[2]Services!H$15*L896/SUM(L895:L896)</f>
        <v>1.3789551163483313E-2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1.4022811333255694</v>
      </c>
      <c r="G904" s="1">
        <f>[1]Services!C$16</f>
        <v>1.5372287417952686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7.7268948288589492</v>
      </c>
      <c r="G905" s="1">
        <f>[1]Services!C$17</f>
        <v>8.3697003835238633</v>
      </c>
      <c r="H905" s="1">
        <f>[1]Services!D$17</f>
        <v>6.020905176280162</v>
      </c>
      <c r="I905" s="1">
        <f>[1]Services!E$17</f>
        <v>9.8742396885031454</v>
      </c>
      <c r="J905" s="1">
        <f>[2]Services!F$17</f>
        <v>11.070638281929464</v>
      </c>
      <c r="K905" s="1">
        <f>[2]Services!G$17</f>
        <v>12.09499371345726</v>
      </c>
      <c r="L905" s="1">
        <f>[2]Services!H$17</f>
        <v>10.294001400111588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2.1168902728725261</v>
      </c>
      <c r="G906" s="1">
        <f>[1]Services!C$51/0.99</f>
        <v>2.2929959682931838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1.4243074187521794</v>
      </c>
      <c r="G907" s="1">
        <f t="shared" ref="G907:L907" si="1044">IF(G906-SUM(G908:G911)&lt;0,0,G906-SUM(G908:G911))</f>
        <v>1.5542364726746818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0.69258285412034659</v>
      </c>
      <c r="G908" s="1">
        <f t="shared" si="1045"/>
        <v>0.73875949561850196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2.6275928450274657E-3</v>
      </c>
      <c r="J911" s="1">
        <f t="shared" si="1050"/>
        <v>2.5087676868524055E-3</v>
      </c>
      <c r="K911" s="1">
        <f t="shared" si="1050"/>
        <v>3.382774291361957E-3</v>
      </c>
      <c r="L911" s="1">
        <f t="shared" ref="L911" si="1051">L290</f>
        <v>4.1039972093272611E-3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5.6100045559864231</v>
      </c>
      <c r="G912" s="1">
        <f t="shared" ref="G912:K912" si="1052">G905-G906</f>
        <v>6.0767044152306795</v>
      </c>
      <c r="H912" s="1">
        <f t="shared" si="1052"/>
        <v>6.020905176280162</v>
      </c>
      <c r="I912" s="1">
        <f t="shared" si="1052"/>
        <v>9.8742396885031454</v>
      </c>
      <c r="J912" s="1">
        <f t="shared" si="1052"/>
        <v>11.070638281929464</v>
      </c>
      <c r="K912" s="1">
        <f t="shared" si="1052"/>
        <v>12.09499371345726</v>
      </c>
      <c r="L912" s="1">
        <f t="shared" ref="L912" si="1053">L905-L906</f>
        <v>10.294001400111588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8.5743715377992569</v>
      </c>
      <c r="G913" s="1">
        <f t="shared" ref="G913:L913" si="1054">G914</f>
        <v>9.981750341648862</v>
      </c>
      <c r="H913" s="1">
        <f t="shared" si="1054"/>
        <v>9.4433689030370243</v>
      </c>
      <c r="I913" s="1">
        <f t="shared" si="1054"/>
        <v>8.0288729229292599</v>
      </c>
      <c r="J913" s="1">
        <f t="shared" si="1054"/>
        <v>6.1304079899230857</v>
      </c>
      <c r="K913" s="1">
        <f t="shared" si="1054"/>
        <v>3.9423106014263967</v>
      </c>
      <c r="L913" s="1">
        <f t="shared" si="1054"/>
        <v>1.4496223280680334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8.5743715377992569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9.981750341648862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9.4433689030370243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8.0288729229292599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6.1304079899230857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3.9423106014263967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1.4496223280680334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2.0856376609209204</v>
      </c>
      <c r="G915" s="1">
        <f t="shared" ref="G915:L915" si="1055">G916</f>
        <v>2.4000941335506005</v>
      </c>
      <c r="H915" s="1">
        <f t="shared" si="1055"/>
        <v>0.28283870769214003</v>
      </c>
      <c r="I915" s="1">
        <f t="shared" si="1055"/>
        <v>0.24781517944486917</v>
      </c>
      <c r="J915" s="1">
        <f t="shared" si="1055"/>
        <v>0.19825624704017128</v>
      </c>
      <c r="K915" s="1">
        <f t="shared" si="1055"/>
        <v>0.12674220132963812</v>
      </c>
      <c r="L915" s="1">
        <f t="shared" si="1055"/>
        <v>4.025252698485942E-2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2.0856376609209204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2.4000941335506005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0.28283870769214003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0.24781517944486917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0.19825624704017128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0.12674220132963812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4.025252698485942E-2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0.62700122087710108</v>
      </c>
      <c r="G917" s="1">
        <f t="shared" ref="G917:L917" si="1056">G918</f>
        <v>0.68733971440478714</v>
      </c>
      <c r="H917" s="1">
        <f t="shared" si="1056"/>
        <v>0.5697971565956419</v>
      </c>
      <c r="I917" s="1">
        <f t="shared" si="1056"/>
        <v>0.81009781478217058</v>
      </c>
      <c r="J917" s="1">
        <f t="shared" si="1056"/>
        <v>0.95698520669389797</v>
      </c>
      <c r="K917" s="1">
        <f t="shared" si="1056"/>
        <v>1.1346639421122209</v>
      </c>
      <c r="L917" s="1">
        <f t="shared" si="1056"/>
        <v>1.2448581985197693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0.62700122087710108</v>
      </c>
      <c r="G918" s="1">
        <f>[1]Services!C$19</f>
        <v>0.68733971440478714</v>
      </c>
      <c r="H918" s="1">
        <f>[1]Services!D$19</f>
        <v>0.5697971565956419</v>
      </c>
      <c r="I918" s="1">
        <f>[1]Services!E$19</f>
        <v>0.81009781478217058</v>
      </c>
      <c r="J918" s="1">
        <f>[2]Services!F$19</f>
        <v>0.95698520669389797</v>
      </c>
      <c r="K918" s="1">
        <f>[2]Services!G$19</f>
        <v>1.1346639421122209</v>
      </c>
      <c r="L918" s="1">
        <f>[2]Services!H$19</f>
        <v>1.2448581985197693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2.7747980148346745E-3</v>
      </c>
      <c r="J919" s="1">
        <f>[2]Services!F$20</f>
        <v>2.4329569971311481E-3</v>
      </c>
      <c r="K919" s="1">
        <f>[2]Services!G$20</f>
        <v>1.7531566008838421E-3</v>
      </c>
      <c r="L919" s="1">
        <f>[2]Services!H$20</f>
        <v>3.4126613817227363E-3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2.7747980148346745E-3</v>
      </c>
      <c r="J921" s="1">
        <f t="shared" si="1059"/>
        <v>2.4329569971311481E-3</v>
      </c>
      <c r="K921" s="1">
        <f t="shared" si="1059"/>
        <v>1.7531566008838421E-3</v>
      </c>
      <c r="L921" s="1">
        <f t="shared" si="1059"/>
        <v>3.4126613817227363E-3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2.7747980148346745E-3</v>
      </c>
      <c r="J922" s="1">
        <f>[2]Services!F$20</f>
        <v>2.4329569971311481E-3</v>
      </c>
      <c r="K922" s="1">
        <f>[2]Services!G$20</f>
        <v>1.7531566008838421E-3</v>
      </c>
      <c r="L922" s="1">
        <f>[2]Services!H$20</f>
        <v>3.4126613817227363E-3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2.9296060291223185</v>
      </c>
      <c r="G923" s="1">
        <f t="shared" ref="G923:L923" si="1060">G924</f>
        <v>3.1924556052825324</v>
      </c>
      <c r="H923" s="1">
        <f t="shared" si="1060"/>
        <v>4.2367610295871225</v>
      </c>
      <c r="I923" s="1">
        <f t="shared" si="1060"/>
        <v>9.7899714709323771</v>
      </c>
      <c r="J923" s="1">
        <f t="shared" si="1060"/>
        <v>12.792050718133193</v>
      </c>
      <c r="K923" s="1">
        <f t="shared" si="1060"/>
        <v>16.924859313172611</v>
      </c>
      <c r="L923" s="1">
        <f t="shared" si="1060"/>
        <v>16.737109899128132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2.9296060291223185</v>
      </c>
      <c r="G924" s="1">
        <f>[1]Services!C$21-G925</f>
        <v>3.1924556052825324</v>
      </c>
      <c r="H924" s="1">
        <f>[1]Services!D$21-H925</f>
        <v>4.2367610295871225</v>
      </c>
      <c r="I924" s="1">
        <f>[1]Services!E$21-I925</f>
        <v>9.7899714709323771</v>
      </c>
      <c r="J924" s="1">
        <f>[2]Services!F$21-J925</f>
        <v>12.792050718133193</v>
      </c>
      <c r="K924" s="1">
        <f>[2]Services!G$21-K925</f>
        <v>16.924859313172611</v>
      </c>
      <c r="L924" s="1">
        <f>[2]Services!H$21-L925</f>
        <v>16.737109899128132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1.0941504867371332</v>
      </c>
      <c r="I925" s="1">
        <f>[1]Services!E$50-I896</f>
        <v>2.0176260074178898</v>
      </c>
      <c r="J925" s="1">
        <f>[2]Services!F$50-J896</f>
        <v>2.5739447491089051</v>
      </c>
      <c r="K925" s="1">
        <f>[2]Services!G$50-K896</f>
        <v>3.1626182489074126</v>
      </c>
      <c r="L925" s="1">
        <f>[2]Services!H$50-L896</f>
        <v>2.9828042391130434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73.238408125314578</v>
      </c>
      <c r="G926" s="17">
        <f>[1]Services!C$59</f>
        <v>78.574160255405715</v>
      </c>
      <c r="H926" s="17">
        <f>[1]Services!D$59</f>
        <v>62.417429977532933</v>
      </c>
      <c r="I926" s="17">
        <f>[1]Services!E$59</f>
        <v>60.386740097829289</v>
      </c>
      <c r="J926" s="17">
        <f>[2]Services!F$59</f>
        <v>58.730557184919213</v>
      </c>
      <c r="K926" s="17">
        <f>[2]Services!G$59</f>
        <v>57.580051547235229</v>
      </c>
      <c r="L926" s="17">
        <f>[2]Services!H$59</f>
        <v>54.750997319427483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63.650076343879533</v>
      </c>
      <c r="G927" s="1">
        <f t="shared" ref="G927:K927" si="1063">SUM(G928:G930)</f>
        <v>63.90996715272491</v>
      </c>
      <c r="H927" s="1">
        <f t="shared" si="1063"/>
        <v>65.515056458183452</v>
      </c>
      <c r="I927" s="1">
        <f t="shared" si="1063"/>
        <v>68.878597637448394</v>
      </c>
      <c r="J927" s="1">
        <f t="shared" si="1063"/>
        <v>69.685406761723442</v>
      </c>
      <c r="K927" s="1">
        <f t="shared" si="1063"/>
        <v>71.195866922108848</v>
      </c>
      <c r="L927" s="1">
        <f t="shared" ref="L927" si="1064">SUM(L928:L930)</f>
        <v>63.680919964966968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2.3940566356982664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0.59041250065820527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0.52634159492675481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0.30034896967903735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0.25568207714430868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0.20421215182792274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0.13686919372433096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4.2612451332688268</v>
      </c>
      <c r="G929" s="1">
        <f>[1]Services!C$47</f>
        <v>4.6176590004979472</v>
      </c>
      <c r="H929" s="1">
        <f>[1]Services!D$47</f>
        <v>6.4744139731942845</v>
      </c>
      <c r="I929" s="1">
        <f>[1]Services!E$47</f>
        <v>14.125206509207349</v>
      </c>
      <c r="J929" s="1">
        <f>[2]Services!F$47</f>
        <v>18.083634233354065</v>
      </c>
      <c r="K929" s="1">
        <f>[2]Services!G$47</f>
        <v>23.450249001312113</v>
      </c>
      <c r="L929" s="1">
        <f>[2]Services!H$47</f>
        <v>22.624963445798613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58.701895651568755</v>
      </c>
      <c r="H930" s="1">
        <f>[1]Services!D$3-([1]Services!D$6-[1]Services!D$58)</f>
        <v>58.514300890062415</v>
      </c>
      <c r="I930" s="1">
        <f>[1]Services!E$3-([1]Services!E$6-[1]Services!E$58)</f>
        <v>54.453042158562013</v>
      </c>
      <c r="J930" s="1">
        <f>[2]Services!F$3-([2]Services!F$6-[2]Services!F$58)</f>
        <v>51.346090451225066</v>
      </c>
      <c r="K930" s="1">
        <f>[2]Services!G$3-([2]Services!G$6-[2]Services!G$58)</f>
        <v>47.541405768968822</v>
      </c>
      <c r="L930" s="1">
        <f>[2]Services!H$3-([2]Services!H$6-[2]Services!H$58)</f>
        <v>40.919087325444025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24.843070914595856</v>
      </c>
      <c r="G931" s="1">
        <f t="shared" ref="G931:L931" si="1067">G932</f>
        <v>19.260817804174788</v>
      </c>
      <c r="H931" s="1">
        <f t="shared" si="1067"/>
        <v>20.306601398888024</v>
      </c>
      <c r="I931" s="1">
        <f t="shared" si="1067"/>
        <v>10.66267258222752</v>
      </c>
      <c r="J931" s="1">
        <f t="shared" si="1067"/>
        <v>7.0078556785498707</v>
      </c>
      <c r="K931" s="1">
        <f t="shared" si="1067"/>
        <v>2.2467604179135918</v>
      </c>
      <c r="L931" s="1">
        <f t="shared" si="1067"/>
        <v>0.14295106421865297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24.843070914595856</v>
      </c>
      <c r="G932" s="1">
        <f>[1]Services!C$48</f>
        <v>19.260817804174788</v>
      </c>
      <c r="H932" s="1">
        <f>[1]Services!D$48</f>
        <v>20.306601398888024</v>
      </c>
      <c r="I932" s="1">
        <f>[1]Services!E$48</f>
        <v>10.66267258222752</v>
      </c>
      <c r="J932" s="1">
        <f>[2]Services!F$48</f>
        <v>7.0078556785498707</v>
      </c>
      <c r="K932" s="1">
        <f>[2]Services!G$48</f>
        <v>2.2467604179135918</v>
      </c>
      <c r="L932" s="1">
        <f>[2]Services!H$48</f>
        <v>0.14295106421865297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25.412786938259895</v>
      </c>
      <c r="G933" s="1">
        <f t="shared" ref="G933:K933" si="1068">SUM(G934:G936)</f>
        <v>26.667696554139958</v>
      </c>
      <c r="H933" s="1">
        <f t="shared" si="1068"/>
        <v>20.691655130905076</v>
      </c>
      <c r="I933" s="1">
        <f t="shared" si="1068"/>
        <v>15.442207502970847</v>
      </c>
      <c r="J933" s="1">
        <f t="shared" si="1068"/>
        <v>11.156927189366471</v>
      </c>
      <c r="K933" s="1">
        <f t="shared" si="1068"/>
        <v>7.7475702356898033</v>
      </c>
      <c r="L933" s="1">
        <f t="shared" ref="L933" si="1069">SUM(L934:L936)</f>
        <v>5.8856474538871435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24.189717333773334</v>
      </c>
      <c r="G934" s="1">
        <f>[1]Services!C$49</f>
        <v>25.326925645546122</v>
      </c>
      <c r="H934" s="1">
        <f>[1]Services!D$49</f>
        <v>18.417033718591746</v>
      </c>
      <c r="I934" s="1">
        <f>[1]Services!E$49</f>
        <v>11.48011012618792</v>
      </c>
      <c r="J934" s="1">
        <f>[2]Services!F$49</f>
        <v>6.2551491944963553</v>
      </c>
      <c r="K934" s="1">
        <f>[2]Services!G$49</f>
        <v>1.9251330246247842</v>
      </c>
      <c r="L934" s="1">
        <f>[2]Services!H$49</f>
        <v>0.76530723836420422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2.274621412313329</v>
      </c>
      <c r="I935" s="1">
        <f>[1]Services!E$50</f>
        <v>3.9620973767829271</v>
      </c>
      <c r="J935" s="1">
        <f>[2]Services!F$50</f>
        <v>4.9017779948701161</v>
      </c>
      <c r="K935" s="1">
        <f>[2]Services!G$50</f>
        <v>5.8224372110650195</v>
      </c>
      <c r="L935" s="1">
        <f>[2]Services!H$50</f>
        <v>5.1203402155229396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1.2230696044865601</v>
      </c>
      <c r="G936" s="1">
        <f>[1]Services!C$56</f>
        <v>1.3407709085938346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7.6496258805703512</v>
      </c>
      <c r="G937" s="1">
        <f t="shared" ref="G937:K937" si="1074">G938+G944</f>
        <v>8.2860033796886245</v>
      </c>
      <c r="H937" s="1">
        <f t="shared" si="1074"/>
        <v>4.9433260101213223</v>
      </c>
      <c r="I937" s="1">
        <f t="shared" si="1074"/>
        <v>8.1862861341505599</v>
      </c>
      <c r="J937" s="1">
        <f t="shared" si="1074"/>
        <v>9.1781661700065413</v>
      </c>
      <c r="K937" s="1">
        <f t="shared" si="1074"/>
        <v>10.027412991037394</v>
      </c>
      <c r="L937" s="1">
        <f t="shared" ref="L937" si="1075">L938+L944</f>
        <v>8.534291609791234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2.0957213701438007</v>
      </c>
      <c r="G938" s="1">
        <f>[1]Services!C$51</f>
        <v>2.270066008610252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1.4100643445646575</v>
      </c>
      <c r="G939" s="1">
        <f t="shared" ref="G939:K939" si="1076">IFERROR(G907/G$906,0)*G$938</f>
        <v>1.538694107947935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0.6856570255791431</v>
      </c>
      <c r="G940" s="1">
        <f t="shared" ref="G940:K943" si="1078">IFERROR(G908/G$906,0)*G$938</f>
        <v>0.73137190066231705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5.553904510426551</v>
      </c>
      <c r="G944" s="1">
        <f>[1]Services!C$52</f>
        <v>6.0159373710783726</v>
      </c>
      <c r="H944" s="1">
        <f>[1]Services!D$52</f>
        <v>4.9433260101213223</v>
      </c>
      <c r="I944" s="1">
        <f>[1]Services!E$52</f>
        <v>8.1862861341505599</v>
      </c>
      <c r="J944" s="1">
        <f>[2]Services!F$52</f>
        <v>9.1781661700065413</v>
      </c>
      <c r="K944" s="1">
        <f>[2]Services!G$52</f>
        <v>10.027412991037394</v>
      </c>
      <c r="L944" s="1">
        <f>[2]Services!H$52</f>
        <v>8.534291609791234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6.1735475072154617</v>
      </c>
      <c r="G945" s="1">
        <f t="shared" ref="G945:L945" si="1083">G946</f>
        <v>7.1868602459871767</v>
      </c>
      <c r="H945" s="1">
        <f t="shared" si="1083"/>
        <v>6.3614425200668494</v>
      </c>
      <c r="I945" s="1">
        <f t="shared" si="1083"/>
        <v>5.4085797266386244</v>
      </c>
      <c r="J945" s="1">
        <f t="shared" si="1083"/>
        <v>4.1296954988078785</v>
      </c>
      <c r="K945" s="1">
        <f t="shared" si="1083"/>
        <v>2.6557029111886972</v>
      </c>
      <c r="L945" s="1">
        <f t="shared" si="1083"/>
        <v>1.0354326457628986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6.1735475072154617</v>
      </c>
      <c r="G946" s="1">
        <f>[1]Services!C$53</f>
        <v>7.1868602459871767</v>
      </c>
      <c r="H946" s="1">
        <f>[1]Services!D$53</f>
        <v>6.3614425200668494</v>
      </c>
      <c r="I946" s="1">
        <f>[1]Services!E$53</f>
        <v>5.4085797266386244</v>
      </c>
      <c r="J946" s="1">
        <f>[2]Services!F$53</f>
        <v>4.1296954988078785</v>
      </c>
      <c r="K946" s="1">
        <f>[2]Services!G$53</f>
        <v>2.6557029111886972</v>
      </c>
      <c r="L946" s="1">
        <f>[2]Services!H$53</f>
        <v>1.0354326457628986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1.8770738948288272</v>
      </c>
      <c r="G947" s="1">
        <f t="shared" ref="G947:L947" si="1084">G948</f>
        <v>2.1600847201955409</v>
      </c>
      <c r="H947" s="1">
        <f t="shared" si="1084"/>
        <v>0.18522841638653448</v>
      </c>
      <c r="I947" s="1">
        <f t="shared" si="1084"/>
        <v>0.16229183628954039</v>
      </c>
      <c r="J947" s="1">
        <f t="shared" si="1084"/>
        <v>0.12983615636499021</v>
      </c>
      <c r="K947" s="1">
        <f t="shared" si="1084"/>
        <v>8.3002278695125664E-2</v>
      </c>
      <c r="L947" s="1">
        <f t="shared" si="1084"/>
        <v>2.7828621316280781E-2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1.8770738948288272</v>
      </c>
      <c r="G948" s="1">
        <f>[1]Services!C$54</f>
        <v>2.1600847201955409</v>
      </c>
      <c r="H948" s="1">
        <f>[1]Services!D$54</f>
        <v>0.18522841638653448</v>
      </c>
      <c r="I948" s="1">
        <f>[1]Services!E$54</f>
        <v>0.16229183628954039</v>
      </c>
      <c r="J948" s="1">
        <f>[2]Services!F$54</f>
        <v>0.12983615636499021</v>
      </c>
      <c r="K948" s="1">
        <f>[2]Services!G$54</f>
        <v>8.3002278695125664E-2</v>
      </c>
      <c r="L948" s="1">
        <f>[2]Services!H$54</f>
        <v>2.7828621316280781E-2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0.62700122087710108</v>
      </c>
      <c r="G949" s="1">
        <f t="shared" ref="G949:L949" si="1085">G950</f>
        <v>0.68733971440478714</v>
      </c>
      <c r="H949" s="1">
        <f t="shared" si="1085"/>
        <v>0.5697971565956419</v>
      </c>
      <c r="I949" s="1">
        <f t="shared" si="1085"/>
        <v>0.81009781478217058</v>
      </c>
      <c r="J949" s="1">
        <f t="shared" si="1085"/>
        <v>0.95698520669389797</v>
      </c>
      <c r="K949" s="1">
        <f t="shared" si="1085"/>
        <v>1.1346639421122209</v>
      </c>
      <c r="L949" s="1">
        <f t="shared" si="1085"/>
        <v>1.2448581985197693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0.62700122087710108</v>
      </c>
      <c r="G950" s="1">
        <f>[1]Services!C$55</f>
        <v>0.68733971440478714</v>
      </c>
      <c r="H950" s="1">
        <f>[1]Services!D$55</f>
        <v>0.5697971565956419</v>
      </c>
      <c r="I950" s="1">
        <f>[1]Services!E$55</f>
        <v>0.81009781478217058</v>
      </c>
      <c r="J950" s="1">
        <f>[2]Services!F$55</f>
        <v>0.95698520669389797</v>
      </c>
      <c r="K950" s="1">
        <f>[2]Services!G$55</f>
        <v>1.1346639421122209</v>
      </c>
      <c r="L950" s="1">
        <f>[2]Services!H$55</f>
        <v>1.2448581985197693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9.1172863356586955</v>
      </c>
      <c r="H953" s="1">
        <f>[1]Services!D$58</f>
        <v>2.3586237764484421</v>
      </c>
      <c r="I953" s="1">
        <f>[1]Services!E$58</f>
        <v>5.2890490218836392</v>
      </c>
      <c r="J953" s="1">
        <f>[2]Services!F$58</f>
        <v>7.8317749746311929</v>
      </c>
      <c r="K953" s="1">
        <f>[2]Services!G$58</f>
        <v>10.030477617458359</v>
      </c>
      <c r="L953" s="1">
        <f>[2]Services!H$58</f>
        <v>15.118155086408553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0.91249999999999998</v>
      </c>
      <c r="G955" s="4">
        <f t="shared" si="1089"/>
        <v>0.91500000000000048</v>
      </c>
      <c r="H955" s="4">
        <f t="shared" si="1089"/>
        <v>0.48067813785547431</v>
      </c>
      <c r="I955" s="4">
        <f t="shared" si="1089"/>
        <v>0.50730413453945344</v>
      </c>
      <c r="J955" s="4">
        <f t="shared" si="1089"/>
        <v>0.51436131023822318</v>
      </c>
      <c r="K955" s="4">
        <f t="shared" si="1089"/>
        <v>0.52345214935151596</v>
      </c>
      <c r="L955" s="4">
        <f t="shared" ref="L955" si="1090">IFERROR(L928/L884,"-")</f>
        <v>0.53452883563452369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3.1999999999999997</v>
      </c>
      <c r="G956" s="4">
        <f t="shared" si="1089"/>
        <v>3.240000000000002</v>
      </c>
      <c r="H956" s="4">
        <f t="shared" si="1089"/>
        <v>2.8933950600745693</v>
      </c>
      <c r="I956" s="4">
        <f t="shared" si="1089"/>
        <v>3.2582331487217093</v>
      </c>
      <c r="J956" s="4">
        <f t="shared" si="1089"/>
        <v>3.4174333980249485</v>
      </c>
      <c r="K956" s="4">
        <f t="shared" si="1089"/>
        <v>3.5936932692211658</v>
      </c>
      <c r="L956" s="4">
        <f t="shared" ref="L956" si="1091">IFERROR(L929/L885,"-")</f>
        <v>3.8426505120177112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0.99999999999999989</v>
      </c>
      <c r="G957" s="4">
        <f t="shared" si="1089"/>
        <v>1.0000000000000002</v>
      </c>
      <c r="H957" s="4">
        <f t="shared" si="1089"/>
        <v>1</v>
      </c>
      <c r="I957" s="4">
        <f t="shared" si="1089"/>
        <v>1</v>
      </c>
      <c r="J957" s="4">
        <f t="shared" si="1089"/>
        <v>1</v>
      </c>
      <c r="K957" s="4">
        <f t="shared" si="1089"/>
        <v>1</v>
      </c>
      <c r="L957" s="4">
        <f t="shared" ref="L957" si="1092">IFERROR(L930/L886,"-")</f>
        <v>1.0000000000000002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0.82107843137254843</v>
      </c>
      <c r="G958" s="4">
        <f t="shared" si="1093"/>
        <v>0.82270432925645443</v>
      </c>
      <c r="H958" s="4">
        <f t="shared" si="1093"/>
        <v>0.78870385396433906</v>
      </c>
      <c r="I958" s="4">
        <f t="shared" si="1093"/>
        <v>0.81824605082536228</v>
      </c>
      <c r="J958" s="4">
        <f t="shared" si="1093"/>
        <v>0.81824605082536239</v>
      </c>
      <c r="K958" s="4">
        <f t="shared" si="1093"/>
        <v>0.81824605082536284</v>
      </c>
      <c r="L958" s="4">
        <f t="shared" ref="L958" si="1094">IFERROR(L932/L888,"-")</f>
        <v>0.81824605082536217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0.94680851063829841</v>
      </c>
      <c r="G959" s="4">
        <f t="shared" si="1095"/>
        <v>0.94680851063829941</v>
      </c>
      <c r="H959" s="4">
        <f t="shared" si="1095"/>
        <v>0.80706191877061462</v>
      </c>
      <c r="I959" s="4">
        <f t="shared" si="1095"/>
        <v>0.75509408708278403</v>
      </c>
      <c r="J959" s="4">
        <f t="shared" si="1095"/>
        <v>0.65489586088681906</v>
      </c>
      <c r="K959" s="4">
        <f t="shared" si="1095"/>
        <v>0.39433411947189229</v>
      </c>
      <c r="L959" s="4">
        <f t="shared" ref="L959" si="1096">IFERROR(L934/L895,"-")</f>
        <v>0.25356343492508149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1.9268762686408993</v>
      </c>
      <c r="I960" s="4">
        <f t="shared" si="1095"/>
        <v>2.0376218643305304</v>
      </c>
      <c r="J960" s="4">
        <f t="shared" si="1095"/>
        <v>2.1057255728243605</v>
      </c>
      <c r="K960" s="4">
        <f t="shared" si="1095"/>
        <v>2.1890351538594723</v>
      </c>
      <c r="L960" s="4">
        <f t="shared" ref="L960" si="1097">IFERROR(L935/L896,"-")</f>
        <v>2.3954404847598494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0.87219999999999898</v>
      </c>
      <c r="G961" s="4">
        <f t="shared" si="1095"/>
        <v>0.87220000000000086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0.9900000000000001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>
        <f t="shared" si="1099"/>
        <v>0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0.98999999999999855</v>
      </c>
      <c r="G967" s="4">
        <f t="shared" si="1099"/>
        <v>0.99</v>
      </c>
      <c r="H967" s="4">
        <f t="shared" si="1099"/>
        <v>0.82102704915466052</v>
      </c>
      <c r="I967" s="4">
        <f t="shared" si="1099"/>
        <v>0.82905483281736447</v>
      </c>
      <c r="J967" s="4">
        <f t="shared" si="1099"/>
        <v>0.82905483281736403</v>
      </c>
      <c r="K967" s="4">
        <f t="shared" si="1099"/>
        <v>0.82905483281736536</v>
      </c>
      <c r="L967" s="4">
        <f t="shared" ref="L967" si="1105">IFERROR(L944/L912,"-")</f>
        <v>0.82905483281736503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0.71999999999999964</v>
      </c>
      <c r="G968" s="4">
        <f t="shared" si="1106"/>
        <v>0.71999999999999964</v>
      </c>
      <c r="H968" s="4">
        <f t="shared" si="1106"/>
        <v>0.67364121696241097</v>
      </c>
      <c r="I968" s="4">
        <f t="shared" si="1106"/>
        <v>0.67364121696241197</v>
      </c>
      <c r="J968" s="4">
        <f t="shared" si="1106"/>
        <v>0.67364121696241153</v>
      </c>
      <c r="K968" s="4">
        <f t="shared" si="1106"/>
        <v>0.67364121696241219</v>
      </c>
      <c r="L968" s="4">
        <f t="shared" ref="L968" si="1107">IFERROR(L946/L913,"-")</f>
        <v>0.71427752298963199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0.89999999999999947</v>
      </c>
      <c r="G969" s="4">
        <f t="shared" si="1108"/>
        <v>0.90000000000000013</v>
      </c>
      <c r="H969" s="4">
        <f t="shared" si="1108"/>
        <v>0.65489061910206814</v>
      </c>
      <c r="I969" s="4">
        <f t="shared" si="1108"/>
        <v>0.65489061910206781</v>
      </c>
      <c r="J969" s="4">
        <f t="shared" si="1108"/>
        <v>0.65489061910206758</v>
      </c>
      <c r="K969" s="4">
        <f t="shared" si="1108"/>
        <v>0.65489061910206803</v>
      </c>
      <c r="L969" s="4">
        <f t="shared" ref="L969" si="1109">IFERROR(L948/L916,"-")</f>
        <v>0.69135091386307834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>
        <f t="shared" si="1112"/>
        <v>0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219.87423080493457</v>
      </c>
      <c r="G972" s="3">
        <f>[1]Residential!C$26</f>
        <v>216.46301812830364</v>
      </c>
      <c r="H972" s="3">
        <f>[1]Residential!D$26</f>
        <v>219.07144003015637</v>
      </c>
      <c r="I972" s="3">
        <f>[1]Residential!E$26</f>
        <v>196.14900403904147</v>
      </c>
      <c r="J972" s="3">
        <f>[2]Residential!F$26</f>
        <v>181.80754072696601</v>
      </c>
      <c r="K972" s="3">
        <f>[2]Residential!G$26</f>
        <v>168.67463050144752</v>
      </c>
      <c r="L972" s="3">
        <f>[2]Residential!H$26</f>
        <v>144.00963214379161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69.470101824221928</v>
      </c>
      <c r="G973" s="1">
        <f>[1]Residential!C$15</f>
        <v>70.02843467073231</v>
      </c>
      <c r="H973" s="1">
        <f>[1]Residential!D$15</f>
        <v>70.673627119619681</v>
      </c>
      <c r="I973" s="1">
        <f>[1]Residential!E$15</f>
        <v>69.681997650529482</v>
      </c>
      <c r="J973" s="1">
        <f>[2]Residential!F$15</f>
        <v>68.174938120652385</v>
      </c>
      <c r="K973" s="1">
        <f>[2]Residential!G$15</f>
        <v>66.567968453798102</v>
      </c>
      <c r="L973" s="1">
        <f>[2]Residential!H$15</f>
        <v>56.668732608684394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15.33325424787304</v>
      </c>
      <c r="G974" s="1">
        <f t="shared" ref="G974:K974" si="1114">SUM(G975:G976)</f>
        <v>15.081940836844979</v>
      </c>
      <c r="H974" s="1">
        <f t="shared" si="1114"/>
        <v>12.299992433129701</v>
      </c>
      <c r="I974" s="1">
        <f t="shared" si="1114"/>
        <v>15.188207296590571</v>
      </c>
      <c r="J974" s="1">
        <f t="shared" si="1114"/>
        <v>15.906301366940749</v>
      </c>
      <c r="K974" s="1">
        <f t="shared" si="1114"/>
        <v>16.898033353259013</v>
      </c>
      <c r="L974" s="1">
        <f t="shared" ref="L974" si="1115">SUM(L975:L976)</f>
        <v>13.843315606768531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9.3768867976394716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8.2976292013458739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0.90767301631086383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0.16789806454779083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2.5888555966905057E-2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2.0272087978132333E-2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1.1363527943434914E-2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5.956367450233568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6.7843116354991047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11.392319416818836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15.020309232042781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15.880412810973844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16.877761265280881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13.831952078825097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9.5599405461390496</v>
      </c>
      <c r="G977" s="1">
        <f t="shared" ref="G977:K977" si="1119">SUM(G978:G979)</f>
        <v>10.085312069061098</v>
      </c>
      <c r="H977" s="1">
        <f t="shared" si="1119"/>
        <v>8.8502419128753793</v>
      </c>
      <c r="I977" s="1">
        <f t="shared" si="1119"/>
        <v>8.1284128751151599</v>
      </c>
      <c r="J977" s="1">
        <f t="shared" si="1119"/>
        <v>8.4681668516323043</v>
      </c>
      <c r="K977" s="1">
        <f t="shared" si="1119"/>
        <v>8.9296485790346143</v>
      </c>
      <c r="L977" s="1">
        <f t="shared" ref="L977" si="1120">SUM(L978:L979)</f>
        <v>8.3377350768633107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8.4110354156377216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8.7988774561049237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6.0462294465607238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3.9354197864588683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3.5135254709206443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3.1297307857431518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2.6512979629369635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1.148905130501328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1.2864346129561752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2.8040124663146546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4.1929930886562907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4.95464138071166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5.7999177932914625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5.6864371139263463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44.576907030209838</v>
      </c>
      <c r="G980" s="1">
        <f>[1]Residential!C$3-([1]Residential!C$10-[1]Residential!C$244)</f>
        <v>44.861181764826235</v>
      </c>
      <c r="H980" s="1">
        <f>[1]Residential!D$3-([1]Residential!D$10-[1]Residential!D$244)</f>
        <v>49.523392773614603</v>
      </c>
      <c r="I980" s="1">
        <f>[1]Residential!E$3-([1]Residential!E$10-[1]Residential!E$244)</f>
        <v>46.365377478823753</v>
      </c>
      <c r="J980" s="1">
        <f>[2]Residential!F$3-([2]Residential!F$10-[2]Residential!F$244)</f>
        <v>43.800469902079335</v>
      </c>
      <c r="K980" s="1">
        <f>[2]Residential!G$3-([2]Residential!G$10-[2]Residential!G$244)</f>
        <v>40.740286521504466</v>
      </c>
      <c r="L980" s="1">
        <f>[2]Residential!H$3-([2]Residential!H$10-[2]Residential!H$244)</f>
        <v>34.487681925052556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60.231858070432999</v>
      </c>
      <c r="G981" s="1">
        <f>SUM([1]Residential!C$16:C$17)</f>
        <v>50.662267276066935</v>
      </c>
      <c r="H981" s="1">
        <f>SUM([1]Residential!D$16:D$17)</f>
        <v>49.639929573144002</v>
      </c>
      <c r="I981" s="1">
        <f>SUM([1]Residential!E$16:E$17)</f>
        <v>22.194162073379211</v>
      </c>
      <c r="J981" s="1">
        <f>SUM([2]Residential!F$16:F$17)</f>
        <v>13.30794358799983</v>
      </c>
      <c r="K981" s="1">
        <f>SUM([2]Residential!G$16:G$17)</f>
        <v>3.6690744760664398</v>
      </c>
      <c r="L981" s="1">
        <f>SUM([2]Residential!H$16:H$17)</f>
        <v>0.37366626361416494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60.231858070432999</v>
      </c>
      <c r="G982" s="1">
        <f>[1]Residential!C$16</f>
        <v>50.662267276066935</v>
      </c>
      <c r="H982" s="1">
        <f>[1]Residential!D$16</f>
        <v>49.639613297603127</v>
      </c>
      <c r="I982" s="1">
        <f>[1]Residential!E$16</f>
        <v>22.194050535299919</v>
      </c>
      <c r="J982" s="1">
        <f>[2]Residential!F$16</f>
        <v>13.307381166333487</v>
      </c>
      <c r="K982" s="1">
        <f>[2]Residential!G$16</f>
        <v>3.668368618712603</v>
      </c>
      <c r="L982" s="1">
        <f>[2]Residential!H$16</f>
        <v>1.3094429023409852E-5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3.1627554087598959E-4</v>
      </c>
      <c r="I983" s="1">
        <f>[1]Residential!E$17</f>
        <v>1.1153807929097121E-4</v>
      </c>
      <c r="J983" s="1">
        <f>[2]Residential!F$17</f>
        <v>5.6242166634242689E-4</v>
      </c>
      <c r="K983" s="1">
        <f>[2]Residential!G$17</f>
        <v>7.0585735383654996E-4</v>
      </c>
      <c r="L983" s="1">
        <f>[2]Residential!H$17</f>
        <v>0.37365316918514152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50.371438619601747</v>
      </c>
      <c r="G984" s="1">
        <f t="shared" ref="G984:K984" si="1123">SUM(G986,G988)</f>
        <v>42.906931071069067</v>
      </c>
      <c r="H984" s="1">
        <f t="shared" si="1123"/>
        <v>40.654249078398408</v>
      </c>
      <c r="I984" s="1">
        <f t="shared" si="1123"/>
        <v>18.646371765859342</v>
      </c>
      <c r="J984" s="1">
        <f t="shared" si="1123"/>
        <v>11.02521909235012</v>
      </c>
      <c r="K984" s="1">
        <f t="shared" si="1123"/>
        <v>2.8611699506412251</v>
      </c>
      <c r="L984" s="1">
        <f t="shared" ref="L984" si="1124">SUM(L986,L988)</f>
        <v>0.32491698690038923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50.371438619601747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42.906931071069067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40.654249078398408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18.646371765859342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11.02521909235012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2.8611699506412251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0.32491698690038923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50.371438619601747</v>
      </c>
      <c r="G986" s="1">
        <f t="shared" ref="G986:L986" si="1125">G987</f>
        <v>42.906931071069067</v>
      </c>
      <c r="H986" s="1">
        <f t="shared" si="1125"/>
        <v>40.653990054166769</v>
      </c>
      <c r="I986" s="1">
        <f t="shared" si="1125"/>
        <v>18.646278057410893</v>
      </c>
      <c r="J986" s="1">
        <f t="shared" si="1125"/>
        <v>11.024753143418739</v>
      </c>
      <c r="K986" s="1">
        <f t="shared" si="1125"/>
        <v>2.860619518137494</v>
      </c>
      <c r="L986" s="1">
        <f t="shared" si="1125"/>
        <v>1.1386102620868372E-5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50.371438619601747</v>
      </c>
      <c r="G987" s="1">
        <f t="shared" ref="G987:K987" si="1126">G985*IFERROR(G982/G981,0)</f>
        <v>42.906931071069067</v>
      </c>
      <c r="H987" s="1">
        <f t="shared" si="1126"/>
        <v>40.653990054166769</v>
      </c>
      <c r="I987" s="1">
        <f t="shared" si="1126"/>
        <v>18.646278057410893</v>
      </c>
      <c r="J987" s="1">
        <f t="shared" si="1126"/>
        <v>11.024753143418739</v>
      </c>
      <c r="K987" s="1">
        <f t="shared" si="1126"/>
        <v>2.860619518137494</v>
      </c>
      <c r="L987" s="1">
        <f t="shared" ref="L987" si="1127">L985*IFERROR(L982/L981,0)</f>
        <v>1.1386102620868372E-5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2.590242316387048E-4</v>
      </c>
      <c r="I988" s="1">
        <f t="shared" si="1128"/>
        <v>9.3708448449802972E-5</v>
      </c>
      <c r="J988" s="1">
        <f t="shared" si="1128"/>
        <v>4.6594893138163229E-4</v>
      </c>
      <c r="K988" s="1">
        <f t="shared" si="1128"/>
        <v>5.5043250373110197E-4</v>
      </c>
      <c r="L988" s="1">
        <f t="shared" si="1128"/>
        <v>0.32490560079776837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2.590242316387048E-4</v>
      </c>
      <c r="I989" s="1">
        <f t="shared" si="1129"/>
        <v>9.3708448449802972E-5</v>
      </c>
      <c r="J989" s="1">
        <f t="shared" si="1129"/>
        <v>4.6594893138163229E-4</v>
      </c>
      <c r="K989" s="1">
        <f t="shared" si="1129"/>
        <v>5.5043250373110197E-4</v>
      </c>
      <c r="L989" s="1">
        <f t="shared" ref="L989" si="1130">L985-L987</f>
        <v>0.32490560079776837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9.8604194508312464</v>
      </c>
      <c r="G990" s="1">
        <f t="shared" ref="G990:L990" si="1131">G991</f>
        <v>7.7553362049978629</v>
      </c>
      <c r="H990" s="1">
        <f t="shared" si="1131"/>
        <v>8.9856804947455906</v>
      </c>
      <c r="I990" s="1">
        <f t="shared" si="1131"/>
        <v>3.5477903075198682</v>
      </c>
      <c r="J990" s="1">
        <f t="shared" si="1131"/>
        <v>2.2827244956497075</v>
      </c>
      <c r="K990" s="1">
        <f t="shared" si="1131"/>
        <v>0.80790452542521429</v>
      </c>
      <c r="L990" s="1">
        <f t="shared" si="1131"/>
        <v>4.8749276713775665E-2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9.8604194508312464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7.7553362049978629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8.9856804947455906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3.5477903075198682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2.2827244956497075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0.80790452542521429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4.8749276713775665E-2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9.8604194508312464</v>
      </c>
      <c r="G992" s="1">
        <f t="shared" ref="G992:K992" si="1132">IFERROR(G982/G981,0)*G991</f>
        <v>7.7553362049978629</v>
      </c>
      <c r="H992" s="1">
        <f t="shared" si="1132"/>
        <v>8.9856232434363505</v>
      </c>
      <c r="I992" s="1">
        <f t="shared" si="1132"/>
        <v>3.5477724778890254</v>
      </c>
      <c r="J992" s="1">
        <f t="shared" si="1132"/>
        <v>2.282628022914746</v>
      </c>
      <c r="K992" s="1">
        <f t="shared" si="1132"/>
        <v>0.80774910057510851</v>
      </c>
      <c r="L992" s="1">
        <f t="shared" ref="L992" si="1133">IFERROR(L982/L981,0)*L991</f>
        <v>1.7083264025414784E-6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5.725130924005839E-5</v>
      </c>
      <c r="I993" s="1">
        <f t="shared" si="1134"/>
        <v>1.7829630842847166E-5</v>
      </c>
      <c r="J993" s="1">
        <f t="shared" si="1134"/>
        <v>9.6472734961494666E-5</v>
      </c>
      <c r="K993" s="1">
        <f t="shared" si="1134"/>
        <v>1.5542485010577867E-4</v>
      </c>
      <c r="L993" s="1">
        <f t="shared" ref="L993" si="1135">L991-L992</f>
        <v>4.8747568387373125E-2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47.001936767652509</v>
      </c>
      <c r="G994" s="1">
        <f t="shared" ref="G994:K994" si="1136">SUM(G995:G996)</f>
        <v>48.270440501138609</v>
      </c>
      <c r="H994" s="1">
        <f t="shared" si="1136"/>
        <v>45.742432873529324</v>
      </c>
      <c r="I994" s="1">
        <f t="shared" si="1136"/>
        <v>31.001177016348169</v>
      </c>
      <c r="J994" s="1">
        <f t="shared" si="1136"/>
        <v>20.155205395417855</v>
      </c>
      <c r="K994" s="1">
        <f t="shared" si="1136"/>
        <v>10.557031249975886</v>
      </c>
      <c r="L994" s="1">
        <f t="shared" ref="L994" si="1137">SUM(L995:L996)</f>
        <v>6.4967583799582913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46.694646918501668</v>
      </c>
      <c r="G995" s="1">
        <f>[1]Residential!C$18</f>
        <v>45.814982642411742</v>
      </c>
      <c r="H995" s="1">
        <f>[1]Residential!D$18</f>
        <v>44.195239524310914</v>
      </c>
      <c r="I995" s="1">
        <f>[1]Residential!E$18</f>
        <v>30.374238833674518</v>
      </c>
      <c r="J995" s="1">
        <f>[2]Residential!F$18</f>
        <v>19.421961412407391</v>
      </c>
      <c r="K995" s="1">
        <f>[2]Residential!G$18</f>
        <v>10.55154522586515</v>
      </c>
      <c r="L995" s="1">
        <f>[2]Residential!H$18</f>
        <v>6.4540970189701179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0.30728984915083885</v>
      </c>
      <c r="G996" s="1">
        <f>[1]Residential!C$19</f>
        <v>2.4554578587268678</v>
      </c>
      <c r="H996" s="1">
        <f>[1]Residential!D$19</f>
        <v>1.5471933492184142</v>
      </c>
      <c r="I996" s="1">
        <f>[1]Residential!E$19</f>
        <v>0.62693818267365042</v>
      </c>
      <c r="J996" s="1">
        <f>[2]Residential!F$19</f>
        <v>0.73324398301046267</v>
      </c>
      <c r="K996" s="1">
        <f>[2]Residential!G$19</f>
        <v>5.4860241107362812E-3</v>
      </c>
      <c r="L996" s="1">
        <f>[2]Residential!H$19</f>
        <v>4.2661360988173268E-2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38.494661005292969</v>
      </c>
      <c r="G997" s="1">
        <f t="shared" ref="G997:K997" si="1140">SUM(G998:G999)</f>
        <v>40.921670258232872</v>
      </c>
      <c r="H997" s="1">
        <f t="shared" si="1140"/>
        <v>35.647967775788644</v>
      </c>
      <c r="I997" s="1">
        <f t="shared" si="1140"/>
        <v>24.869287868118789</v>
      </c>
      <c r="J997" s="1">
        <f t="shared" si="1140"/>
        <v>15.827979347091343</v>
      </c>
      <c r="K997" s="1">
        <f t="shared" si="1140"/>
        <v>7.859263679361896</v>
      </c>
      <c r="L997" s="1">
        <f t="shared" ref="L997" si="1141">SUM(L998:L999)</f>
        <v>4.7805333522792104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38.494661005292969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40.921670258232872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33.392751695317251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21.570385535403528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12.09819953706778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3.7793434232219703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1.4776755917060429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2.2552160804713894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3.2989023327152607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3.7297798100235631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4.0799202561399257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3.3028577605731675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38.242990129858534</v>
      </c>
      <c r="G1000" s="1">
        <f t="shared" ref="G1000:K1000" si="1142">SUM(G1001:G1002)</f>
        <v>38.840035291064147</v>
      </c>
      <c r="H1000" s="1">
        <f t="shared" si="1142"/>
        <v>34.44220990085563</v>
      </c>
      <c r="I1000" s="1">
        <f t="shared" si="1142"/>
        <v>24.366355152622077</v>
      </c>
      <c r="J1000" s="1">
        <f t="shared" si="1142"/>
        <v>15.252159334753136</v>
      </c>
      <c r="K1000" s="1">
        <f t="shared" si="1142"/>
        <v>7.8551795662228248</v>
      </c>
      <c r="L1000" s="1">
        <f t="shared" ref="L1000" si="1143">SUM(L1001:L1002)</f>
        <v>4.7491416878321022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38.242990129858534</v>
      </c>
      <c r="G1001" s="1">
        <f t="shared" ref="G1001:K1001" si="1144">G998-G1004</f>
        <v>38.840035291064147</v>
      </c>
      <c r="H1001" s="1">
        <f t="shared" si="1144"/>
        <v>32.263274313168765</v>
      </c>
      <c r="I1001" s="1">
        <f t="shared" si="1144"/>
        <v>21.134166668616487</v>
      </c>
      <c r="J1001" s="1">
        <f t="shared" si="1144"/>
        <v>11.658068472075922</v>
      </c>
      <c r="K1001" s="1">
        <f t="shared" si="1144"/>
        <v>3.7773794649223684</v>
      </c>
      <c r="L1001" s="1">
        <f t="shared" ref="L1001" si="1145">L998-L1004</f>
        <v>1.4679723446165938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2.1789355876868672</v>
      </c>
      <c r="I1002" s="1">
        <f t="shared" si="1146"/>
        <v>3.2321884840055901</v>
      </c>
      <c r="J1002" s="1">
        <f t="shared" si="1146"/>
        <v>3.594090862677215</v>
      </c>
      <c r="K1002" s="1">
        <f t="shared" si="1146"/>
        <v>4.0778001013004568</v>
      </c>
      <c r="L1002" s="1">
        <f t="shared" ref="L1002" si="1147">L999-L1005</f>
        <v>3.2811693432155087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0.25167087543443689</v>
      </c>
      <c r="G1003" s="1">
        <f t="shared" ref="G1003:K1003" si="1148">SUM(G1004:G1005)</f>
        <v>2.0816349671687222</v>
      </c>
      <c r="H1003" s="1">
        <f t="shared" si="1148"/>
        <v>1.2057578749330089</v>
      </c>
      <c r="I1003" s="1">
        <f t="shared" si="1148"/>
        <v>0.50293271549671248</v>
      </c>
      <c r="J1003" s="1">
        <f t="shared" si="1148"/>
        <v>0.57582001233820668</v>
      </c>
      <c r="K1003" s="1">
        <f t="shared" si="1148"/>
        <v>4.084113139071345E-3</v>
      </c>
      <c r="L1003" s="1">
        <f t="shared" ref="L1003" si="1149">SUM(L1004:L1005)</f>
        <v>3.1391664447107663E-2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0.25167087543443689</v>
      </c>
      <c r="G1004" s="1">
        <f t="shared" ref="G1004:K1004" si="1150">G998*IFERROR(G996/G994,0)</f>
        <v>2.0816349671687222</v>
      </c>
      <c r="H1004" s="1">
        <f t="shared" si="1150"/>
        <v>1.1294773821484865</v>
      </c>
      <c r="I1004" s="1">
        <f t="shared" si="1150"/>
        <v>0.43621886678704175</v>
      </c>
      <c r="J1004" s="1">
        <f t="shared" si="1150"/>
        <v>0.44013106499185856</v>
      </c>
      <c r="K1004" s="1">
        <f t="shared" si="1150"/>
        <v>1.9639582996020481E-3</v>
      </c>
      <c r="L1004" s="1">
        <f t="shared" ref="L1004" si="1151">L998*IFERROR(L996/L994,0)</f>
        <v>9.7032470894490522E-3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7.6280492784522397E-2</v>
      </c>
      <c r="I1005" s="1">
        <f t="shared" si="1152"/>
        <v>6.6713848709670676E-2</v>
      </c>
      <c r="J1005" s="1">
        <f t="shared" si="1152"/>
        <v>0.13568894734634807</v>
      </c>
      <c r="K1005" s="1">
        <f t="shared" si="1152"/>
        <v>2.120154839469297E-3</v>
      </c>
      <c r="L1005" s="1">
        <f t="shared" ref="L1005" si="1153">L999*IFERROR(L$996/L$994,0)</f>
        <v>2.1688417357658613E-2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8.5072757623595407</v>
      </c>
      <c r="G1006" s="1">
        <f t="shared" ref="G1006:K1006" si="1154">SUM(G1007:G1008)</f>
        <v>7.3487702429057364</v>
      </c>
      <c r="H1006" s="1">
        <f t="shared" si="1154"/>
        <v>10.094465097740684</v>
      </c>
      <c r="I1006" s="1">
        <f t="shared" si="1154"/>
        <v>6.1318891482293809</v>
      </c>
      <c r="J1006" s="1">
        <f t="shared" si="1154"/>
        <v>4.3272260483265121</v>
      </c>
      <c r="K1006" s="1">
        <f t="shared" si="1154"/>
        <v>2.6977675706139896</v>
      </c>
      <c r="L1006" s="1">
        <f t="shared" ref="L1006" si="1155">SUM(L1007:L1008)</f>
        <v>1.7162250276790809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8.5072757623595407</v>
      </c>
      <c r="G1007" s="1">
        <f t="shared" ref="G1007:K1007" si="1156">G994-G998-G999-G1008</f>
        <v>7.3487702429057364</v>
      </c>
      <c r="H1007" s="1">
        <f t="shared" si="1156"/>
        <v>9.6074618073542748</v>
      </c>
      <c r="I1007" s="1">
        <f t="shared" si="1156"/>
        <v>5.2693893889047922</v>
      </c>
      <c r="J1007" s="1">
        <f t="shared" si="1156"/>
        <v>3.2110767806565637</v>
      </c>
      <c r="K1007" s="1">
        <f t="shared" si="1156"/>
        <v>1.3885327769418758</v>
      </c>
      <c r="L1007" s="1">
        <f t="shared" ref="L1007" si="1157">L994-L998-L999-L1008</f>
        <v>0.59231599206411278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0.48700329038640988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0.86249975932458889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1.1161492676699483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1.3092347936721138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1.1239090356149681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8.4516567886431382</v>
      </c>
      <c r="G1009" s="1">
        <f t="shared" ref="G1009:K1009" si="1158">SUM(G1010:G1011)</f>
        <v>6.9749473513475913</v>
      </c>
      <c r="H1009" s="1">
        <f t="shared" si="1158"/>
        <v>9.75302962345528</v>
      </c>
      <c r="I1009" s="1">
        <f t="shared" si="1158"/>
        <v>6.0078836810524434</v>
      </c>
      <c r="J1009" s="1">
        <f t="shared" si="1158"/>
        <v>4.1698020776542561</v>
      </c>
      <c r="K1009" s="1">
        <f t="shared" si="1158"/>
        <v>2.6963656596423249</v>
      </c>
      <c r="L1009" s="1">
        <f t="shared" ref="L1009" si="1159">SUM(L1010:L1011)</f>
        <v>1.7049553311380155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8.4516567886431382</v>
      </c>
      <c r="G1010" s="1">
        <f t="shared" ref="G1010:K1010" si="1160">G1007-G1013</f>
        <v>6.9749473513475913</v>
      </c>
      <c r="H1010" s="1">
        <f t="shared" si="1160"/>
        <v>9.2824987462003836</v>
      </c>
      <c r="I1010" s="1">
        <f t="shared" si="1160"/>
        <v>5.1628262927508084</v>
      </c>
      <c r="J1010" s="1">
        <f t="shared" si="1160"/>
        <v>3.0942581880295537</v>
      </c>
      <c r="K1010" s="1">
        <f t="shared" si="1160"/>
        <v>1.3878112176216011</v>
      </c>
      <c r="L1010" s="1">
        <f t="shared" ref="L1010" si="1161">L1007-L1013</f>
        <v>0.58842651289947789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0.47053087725489556</v>
      </c>
      <c r="I1011" s="1">
        <f t="shared" si="1162"/>
        <v>0.8450573883016349</v>
      </c>
      <c r="J1011" s="1">
        <f t="shared" si="1162"/>
        <v>1.0755438896247023</v>
      </c>
      <c r="K1011" s="1">
        <f t="shared" si="1162"/>
        <v>1.3085544420207236</v>
      </c>
      <c r="L1011" s="1">
        <f t="shared" ref="L1011" si="1163">L1008-L1014</f>
        <v>1.1165288182385376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5.561897371640194E-2</v>
      </c>
      <c r="G1012" s="1">
        <f t="shared" si="1164"/>
        <v>0.3738228915581453</v>
      </c>
      <c r="H1012" s="1">
        <f t="shared" si="1164"/>
        <v>0.34143547428540522</v>
      </c>
      <c r="I1012" s="1">
        <f t="shared" si="1164"/>
        <v>0.12400546717693794</v>
      </c>
      <c r="J1012" s="1">
        <f t="shared" si="1164"/>
        <v>0.157423970672256</v>
      </c>
      <c r="K1012" s="1">
        <f t="shared" si="1164"/>
        <v>1.4019109716649361E-3</v>
      </c>
      <c r="L1012" s="1">
        <f t="shared" ref="L1012" si="1165">SUM(L1013:L1014)</f>
        <v>1.1269696541065605E-2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5.561897371640194E-2</v>
      </c>
      <c r="G1013" s="1">
        <f t="shared" ref="G1013:K1013" si="1166">G1007*IFERROR(G$996/G$994,0)</f>
        <v>0.3738228915581453</v>
      </c>
      <c r="H1013" s="1">
        <f t="shared" si="1166"/>
        <v>0.3249630611538909</v>
      </c>
      <c r="I1013" s="1">
        <f t="shared" si="1166"/>
        <v>0.10656309615398396</v>
      </c>
      <c r="J1013" s="1">
        <f t="shared" si="1166"/>
        <v>0.11681859262701</v>
      </c>
      <c r="K1013" s="1">
        <f t="shared" si="1166"/>
        <v>7.2155932027464001E-4</v>
      </c>
      <c r="L1013" s="1">
        <f t="shared" ref="L1013" si="1167">L1007*IFERROR(L$996/L$994,0)</f>
        <v>3.8894791646349198E-3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1.6472413131514336E-2</v>
      </c>
      <c r="I1014" s="1">
        <f t="shared" si="1168"/>
        <v>1.7442371022953991E-2</v>
      </c>
      <c r="J1014" s="1">
        <f t="shared" si="1168"/>
        <v>4.0605378045245999E-2</v>
      </c>
      <c r="K1014" s="1">
        <f t="shared" si="1168"/>
        <v>6.8035165139029624E-4</v>
      </c>
      <c r="L1014" s="1">
        <f t="shared" ref="L1014" si="1169">L1008*IFERROR(L$996/L$994,0)</f>
        <v>7.380217376430684E-3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0.10000470528783008</v>
      </c>
      <c r="G1015" s="1">
        <f>[1]Residential!C$20</f>
        <v>0.10000182413697438</v>
      </c>
      <c r="H1015" s="1">
        <f>[1]Residential!D$20</f>
        <v>2.6341168928954148E-2</v>
      </c>
      <c r="I1015" s="1">
        <f>[1]Residential!E$20</f>
        <v>0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0.10000470528783008</v>
      </c>
      <c r="G1016" s="1">
        <f t="shared" ref="G1016:G1017" si="1170">G1015</f>
        <v>0.10000182413697438</v>
      </c>
      <c r="H1016" s="1">
        <f t="shared" ref="H1016:H1017" si="1171">H1015</f>
        <v>2.6341168928954148E-2</v>
      </c>
      <c r="I1016" s="1">
        <f t="shared" ref="I1016:I1017" si="1172">I1015</f>
        <v>0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0.10000470528783008</v>
      </c>
      <c r="G1017" s="1">
        <f t="shared" si="1170"/>
        <v>0.10000182413697438</v>
      </c>
      <c r="H1017" s="1">
        <f t="shared" si="1171"/>
        <v>2.6341168928954148E-2</v>
      </c>
      <c r="I1017" s="1">
        <f t="shared" si="1172"/>
        <v>0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13.723015686138488</v>
      </c>
      <c r="G1020" s="1">
        <f t="shared" ref="G1020:K1020" si="1176">G1021+G1023</f>
        <v>13.331599971512588</v>
      </c>
      <c r="H1020" s="1">
        <f t="shared" si="1176"/>
        <v>15.518627302805307</v>
      </c>
      <c r="I1020" s="1">
        <f t="shared" si="1176"/>
        <v>12.185114466261135</v>
      </c>
      <c r="J1020" s="1">
        <f t="shared" si="1176"/>
        <v>9.3697672369232805</v>
      </c>
      <c r="K1020" s="1">
        <f t="shared" si="1176"/>
        <v>6.6533835812041309</v>
      </c>
      <c r="L1020" s="1">
        <f t="shared" ref="L1020" si="1177">L1021+L1023</f>
        <v>2.6072349166585158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12.682059946865383</v>
      </c>
      <c r="G1021" s="1">
        <f t="shared" ref="G1021:L1021" si="1178">G1022</f>
        <v>12.137105551350412</v>
      </c>
      <c r="H1021" s="1">
        <f t="shared" si="1178"/>
        <v>13.173420105927852</v>
      </c>
      <c r="I1021" s="1">
        <f t="shared" si="1178"/>
        <v>10.250797256856762</v>
      </c>
      <c r="J1021" s="1">
        <f t="shared" si="1178"/>
        <v>7.8083816544999261</v>
      </c>
      <c r="K1021" s="1">
        <f t="shared" si="1178"/>
        <v>5.4701021829055163</v>
      </c>
      <c r="L1021" s="1">
        <f t="shared" si="1178"/>
        <v>2.1003754254417117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12.682059946865383</v>
      </c>
      <c r="G1022" s="1">
        <f>[1]Residential!C$22-G1024-G1025</f>
        <v>12.137105551350412</v>
      </c>
      <c r="H1022" s="1">
        <f>[1]Residential!D$22-H1024-H1025</f>
        <v>13.173420105927852</v>
      </c>
      <c r="I1022" s="1">
        <f>[1]Residential!E$22-I1024-I1025</f>
        <v>10.250797256856762</v>
      </c>
      <c r="J1022" s="1">
        <f>[2]Residential!F$22-J1024-J1025</f>
        <v>7.8083816544999261</v>
      </c>
      <c r="K1022" s="1">
        <f>[2]Residential!G$22-K1024-K1025</f>
        <v>5.4701021829055163</v>
      </c>
      <c r="L1022" s="1">
        <f>[2]Residential!H$22-L1024-L1025</f>
        <v>2.1003754254417117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1.0409557392731046</v>
      </c>
      <c r="G1023" s="1">
        <f t="shared" ref="G1023" si="1179">G1024</f>
        <v>1.1944944201621766</v>
      </c>
      <c r="H1023" s="1">
        <f t="shared" ref="H1023" si="1180">H1024</f>
        <v>2.3452071968774555</v>
      </c>
      <c r="I1023" s="1">
        <f t="shared" ref="I1023" si="1181">I1024</f>
        <v>1.9343172094043732</v>
      </c>
      <c r="J1023" s="1">
        <f t="shared" ref="J1023" si="1182">J1024</f>
        <v>1.561385582423354</v>
      </c>
      <c r="K1023" s="1">
        <f t="shared" ref="K1023:L1023" si="1183">K1024</f>
        <v>1.1832813982986148</v>
      </c>
      <c r="L1023" s="1">
        <f t="shared" si="1183"/>
        <v>0.50685949121680407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1.0409557392731046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1.1944944201621766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2.3452071968774555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1.9343172094043732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1.561385582423354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1.1832813982986148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0.50685949121680407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3.268236859182839</v>
      </c>
      <c r="G1025" s="1">
        <f t="shared" ref="G1025:K1025" si="1184">G1026+G1028</f>
        <v>3.8319960552868437</v>
      </c>
      <c r="H1025" s="1">
        <f t="shared" si="1184"/>
        <v>0.30768276463054339</v>
      </c>
      <c r="I1025" s="1">
        <f t="shared" si="1184"/>
        <v>0.26820077425479172</v>
      </c>
      <c r="J1025" s="1">
        <f t="shared" si="1184"/>
        <v>0.21508942941145764</v>
      </c>
      <c r="K1025" s="1">
        <f t="shared" si="1184"/>
        <v>0.15760251282400364</v>
      </c>
      <c r="L1025" s="1">
        <f t="shared" ref="L1025" si="1185">L1026+L1028</f>
        <v>5.3743715154853183E-2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2.9965528693726915</v>
      </c>
      <c r="G1026" s="1">
        <f t="shared" ref="G1026:L1026" si="1186">G1027</f>
        <v>3.5202544121831867</v>
      </c>
      <c r="H1026" s="1">
        <f t="shared" si="1186"/>
        <v>0.22450656490868859</v>
      </c>
      <c r="I1026" s="1">
        <f t="shared" si="1186"/>
        <v>0.19419695071165075</v>
      </c>
      <c r="J1026" s="1">
        <f t="shared" si="1186"/>
        <v>0.15358819953567024</v>
      </c>
      <c r="K1026" s="1">
        <f t="shared" si="1186"/>
        <v>0.11026649763759157</v>
      </c>
      <c r="L1026" s="1">
        <f t="shared" si="1186"/>
        <v>3.7112987203858527E-2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2.9965528693726915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3.5202544121831867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0.22450656490868859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0.19419695071165075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0.15358819953567024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0.11026649763759157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3.7112987203858527E-2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0.27168398981014752</v>
      </c>
      <c r="G1028" s="1">
        <f t="shared" ref="G1028:L1028" si="1187">G1029</f>
        <v>0.31174164310365682</v>
      </c>
      <c r="H1028" s="1">
        <f t="shared" si="1187"/>
        <v>8.317619972185479E-2</v>
      </c>
      <c r="I1028" s="1">
        <f t="shared" si="1187"/>
        <v>7.4003823543141001E-2</v>
      </c>
      <c r="J1028" s="1">
        <f t="shared" si="1187"/>
        <v>6.1501229875787419E-2</v>
      </c>
      <c r="K1028" s="1">
        <f t="shared" si="1187"/>
        <v>4.7336015186412082E-2</v>
      </c>
      <c r="L1028" s="1">
        <f t="shared" si="1187"/>
        <v>1.6630727950994659E-2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0.27168398981014752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0.31174164310365682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8.317619972185479E-2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7.4003823543141001E-2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6.1501229875787419E-2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4.7336015186412082E-2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1.6630727950994659E-2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2.5068320205764563</v>
      </c>
      <c r="G1030" s="1">
        <f>[1]Residential!C$23</f>
        <v>2.9280392628611445</v>
      </c>
      <c r="H1030" s="1">
        <f>[1]Residential!D$23</f>
        <v>1.0494126097765564</v>
      </c>
      <c r="I1030" s="1">
        <f>[1]Residential!E$23</f>
        <v>1.5163042738031656</v>
      </c>
      <c r="J1030" s="1">
        <f>[2]Residential!F$23</f>
        <v>1.7792110035922264</v>
      </c>
      <c r="K1030" s="1">
        <f>[2]Residential!G$23</f>
        <v>2.0701839811456075</v>
      </c>
      <c r="L1030" s="1">
        <f>[2]Residential!H$23</f>
        <v>2.3233748313147817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0.7853439959166052</v>
      </c>
      <c r="G1031" s="1">
        <f t="shared" ref="G1031:L1031" si="1188">G1032</f>
        <v>0.94130088727139538</v>
      </c>
      <c r="H1031" s="1">
        <f t="shared" si="1188"/>
        <v>3.7008437331993833E-2</v>
      </c>
      <c r="I1031" s="1">
        <f t="shared" si="1188"/>
        <v>4.6034461850921748E-2</v>
      </c>
      <c r="J1031" s="1">
        <f t="shared" si="1188"/>
        <v>4.7662028847127502E-2</v>
      </c>
      <c r="K1031" s="1">
        <f t="shared" si="1188"/>
        <v>4.8390230154601033E-2</v>
      </c>
      <c r="L1031" s="1">
        <f t="shared" si="1188"/>
        <v>4.6780968834060889E-2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0.7853439959166052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0.94130088727139538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3.7008437331993833E-2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4.6034461850921748E-2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4.7662028847127502E-2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4.8390230154601033E-2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4.6780968834060889E-2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9">G1030-G1031</f>
        <v>1.986738375589749</v>
      </c>
      <c r="H1033" s="1">
        <f t="shared" si="1189"/>
        <v>1.0124041724445625</v>
      </c>
      <c r="I1033" s="1">
        <f t="shared" si="1189"/>
        <v>1.4702698119522437</v>
      </c>
      <c r="J1033" s="1">
        <f t="shared" si="1189"/>
        <v>1.7315489747450989</v>
      </c>
      <c r="K1033" s="1">
        <f t="shared" si="1189"/>
        <v>2.0217937509910064</v>
      </c>
      <c r="L1033" s="1">
        <f t="shared" ref="L1033" si="1190">L1030-L1031</f>
        <v>2.2765938624807207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1">G1033</f>
        <v>1.986738375589749</v>
      </c>
      <c r="H1034" s="1">
        <f t="shared" si="1191"/>
        <v>1.0124041724445625</v>
      </c>
      <c r="I1034" s="1">
        <f t="shared" si="1191"/>
        <v>1.4702698119522437</v>
      </c>
      <c r="J1034" s="1">
        <f t="shared" si="1191"/>
        <v>1.7315489747450989</v>
      </c>
      <c r="K1034" s="1">
        <f t="shared" si="1191"/>
        <v>2.0217937509910064</v>
      </c>
      <c r="L1034" s="1">
        <f t="shared" ref="L1034" si="1192">L1033</f>
        <v>2.2765938624807207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2.6982321571862584E-3</v>
      </c>
      <c r="J1035" s="1">
        <f>[2]Residential!F$24</f>
        <v>2.9091104907190239E-3</v>
      </c>
      <c r="K1035" s="1">
        <f>[2]Residential!G$24</f>
        <v>4.2947666684145878E-3</v>
      </c>
      <c r="L1035" s="1">
        <f>[2]Residential!H$24</f>
        <v>8.6983756520706869E-3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2.6982321571862584E-3</v>
      </c>
      <c r="J1036" s="1">
        <f t="shared" si="1193"/>
        <v>2.9091104907190239E-3</v>
      </c>
      <c r="K1036" s="1">
        <f t="shared" si="1193"/>
        <v>4.2947666684145878E-3</v>
      </c>
      <c r="L1036" s="1">
        <f t="shared" ref="L1036" si="1194">L1035-L1038-L1040</f>
        <v>8.6983756520706869E-3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8.3772291434152653</v>
      </c>
      <c r="G1042" s="1">
        <f>[1]Residential!C$21</f>
        <v>9.6738934113189554</v>
      </c>
      <c r="H1042" s="1">
        <f>[1]Residential!D$21</f>
        <v>8.425635866810266</v>
      </c>
      <c r="I1042" s="1">
        <f>[1]Residential!E$21</f>
        <v>15.294468105444675</v>
      </c>
      <c r="J1042" s="1">
        <f>[2]Residential!F$21</f>
        <v>17.112336829474554</v>
      </c>
      <c r="K1042" s="1">
        <f>[2]Residential!G$21</f>
        <v>18.460933781074171</v>
      </c>
      <c r="L1042" s="1">
        <f>[2]Residential!H$21</f>
        <v>16.246697082045046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0.10499871231773246</v>
      </c>
      <c r="G1043" s="1">
        <f t="shared" ref="G1043:K1043" si="1199">SUM(G1044:G1046)</f>
        <v>7.830431706286195E-3</v>
      </c>
      <c r="H1043" s="1">
        <f t="shared" si="1199"/>
        <v>6.7381910906558276E-2</v>
      </c>
      <c r="I1043" s="1">
        <f t="shared" si="1199"/>
        <v>3.7453558474575548</v>
      </c>
      <c r="J1043" s="1">
        <f t="shared" si="1199"/>
        <v>4.5529635919997942</v>
      </c>
      <c r="K1043" s="1">
        <f t="shared" si="1199"/>
        <v>5.1703812445257284</v>
      </c>
      <c r="L1043" s="1">
        <f t="shared" ref="L1043" si="1200">SUM(L1044:L1046)</f>
        <v>2.7695951013941094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0.10499871231773246</v>
      </c>
      <c r="G1044" s="1">
        <f t="shared" si="1201"/>
        <v>7.830431706286195E-3</v>
      </c>
      <c r="H1044" s="1">
        <f t="shared" si="1201"/>
        <v>6.7381910906558276E-2</v>
      </c>
      <c r="I1044" s="1">
        <f t="shared" si="1201"/>
        <v>3.7359558867312992</v>
      </c>
      <c r="J1044" s="1">
        <f t="shared" si="1201"/>
        <v>4.5330972527957458</v>
      </c>
      <c r="K1044" s="1">
        <f t="shared" si="1201"/>
        <v>4.9670212303747308</v>
      </c>
      <c r="L1044" s="1">
        <f t="shared" ref="L1044" si="1202">SUM(L244,L246)</f>
        <v>5.76456275172543E-2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9.3999607262555754E-3</v>
      </c>
      <c r="J1046" s="1">
        <f t="shared" si="1204"/>
        <v>1.9866339204048719E-2</v>
      </c>
      <c r="K1046" s="1">
        <f t="shared" si="1204"/>
        <v>0.20336001415099772</v>
      </c>
      <c r="L1046" s="1">
        <f t="shared" ref="L1046" si="1205">SUM(L285,L286)</f>
        <v>2.7119494738768553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8.2722304310975332</v>
      </c>
      <c r="G1047" s="1">
        <f t="shared" ref="G1047:K1047" si="1206">G1042-G1043</f>
        <v>9.6660629796126685</v>
      </c>
      <c r="H1047" s="1">
        <f t="shared" si="1206"/>
        <v>8.3582539559037077</v>
      </c>
      <c r="I1047" s="1">
        <f t="shared" si="1206"/>
        <v>11.549112257987121</v>
      </c>
      <c r="J1047" s="1">
        <f t="shared" si="1206"/>
        <v>12.559373237474759</v>
      </c>
      <c r="K1047" s="1">
        <f t="shared" si="1206"/>
        <v>13.290552536548443</v>
      </c>
      <c r="L1047" s="1">
        <f t="shared" ref="L1047" si="1207">L1042-L1043</f>
        <v>13.477101980650936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15.19501572802627</v>
      </c>
      <c r="G1048" s="1">
        <f>[1]Residential!C$25</f>
        <v>17.636345155249288</v>
      </c>
      <c r="H1048" s="1">
        <f>[1]Residential!D$25</f>
        <v>27.687750750911704</v>
      </c>
      <c r="I1048" s="1">
        <f>[1]Residential!E$25</f>
        <v>44.004881446863621</v>
      </c>
      <c r="J1048" s="1">
        <f>[2]Residential!F$25</f>
        <v>51.690140013003713</v>
      </c>
      <c r="K1048" s="1">
        <f>[2]Residential!G$25</f>
        <v>60.534157698690755</v>
      </c>
      <c r="L1048" s="1">
        <f>[2]Residential!H$25</f>
        <v>59.2307259707095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13.104008390513853</v>
      </c>
      <c r="G1049" s="1">
        <f t="shared" ref="G1049:K1049" si="1208">G1048-G1052</f>
        <v>15.287315551991313</v>
      </c>
      <c r="H1049" s="1">
        <f t="shared" si="1208"/>
        <v>24.687680052560303</v>
      </c>
      <c r="I1049" s="1">
        <f t="shared" si="1208"/>
        <v>38.079895541281694</v>
      </c>
      <c r="J1049" s="1">
        <f t="shared" si="1208"/>
        <v>43.59524111736129</v>
      </c>
      <c r="K1049" s="1">
        <f t="shared" si="1208"/>
        <v>49.945284533903603</v>
      </c>
      <c r="L1049" s="1">
        <f t="shared" ref="L1049" si="1209">L1048-L1052</f>
        <v>46.681428579937069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13.104008390513853</v>
      </c>
      <c r="G1050" s="1">
        <f t="shared" ref="G1050:K1050" si="1210">G1049-G1051</f>
        <v>15.287315551991313</v>
      </c>
      <c r="H1050" s="1">
        <f t="shared" si="1210"/>
        <v>22.751436027152003</v>
      </c>
      <c r="I1050" s="1">
        <f t="shared" si="1210"/>
        <v>34.980438789416134</v>
      </c>
      <c r="J1050" s="1">
        <f t="shared" si="1210"/>
        <v>39.931722277168063</v>
      </c>
      <c r="K1050" s="1">
        <f t="shared" si="1210"/>
        <v>45.757050036892203</v>
      </c>
      <c r="L1050" s="1">
        <f t="shared" ref="L1050" si="1211">L1049-L1051</f>
        <v>42.955435251022251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1.9362440254082989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3.0994567518655582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3.663518840193229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4.1882344970114014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3.7259933289148153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2.091007337512417</v>
      </c>
      <c r="G1052" s="1">
        <f t="shared" ref="G1052:K1052" si="1212">SUM(G1053:G1054)</f>
        <v>2.3490296032579741</v>
      </c>
      <c r="H1052" s="1">
        <f t="shared" si="1212"/>
        <v>3.0000706983514025</v>
      </c>
      <c r="I1052" s="1">
        <f t="shared" si="1212"/>
        <v>5.9249859055819263</v>
      </c>
      <c r="J1052" s="1">
        <f t="shared" si="1212"/>
        <v>8.094898895642423</v>
      </c>
      <c r="K1052" s="1">
        <f t="shared" si="1212"/>
        <v>10.588873164787152</v>
      </c>
      <c r="L1052" s="1">
        <f t="shared" ref="L1052" si="1213">SUM(L1053:L1054)</f>
        <v>12.549297390772429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2.091007337512417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2.3490296032579741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2.5042658431201561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4.799214303299097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6.4490243352865857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8.4248526456460837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10.055444753968693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0.49580485523124662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1.125771602282829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1.6458745603558371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2.1640205191410695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2.4938526368037355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156.0181030919033</v>
      </c>
      <c r="G1055" s="3">
        <f>[1]Residential!C$245</f>
        <v>162.34080243239748</v>
      </c>
      <c r="H1055" s="3">
        <f>[1]Residential!D$245</f>
        <v>147.56132447005271</v>
      </c>
      <c r="I1055" s="3">
        <f>[1]Residential!E$245</f>
        <v>144.9650161642781</v>
      </c>
      <c r="J1055" s="3">
        <f>[2]Residential!F$245</f>
        <v>142.67880596953501</v>
      </c>
      <c r="K1055" s="3">
        <f>[2]Residential!G$245</f>
        <v>141.08179228942035</v>
      </c>
      <c r="L1055" s="3">
        <f>[2]Residential!H$245</f>
        <v>136.36312953317133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129.03972877481354</v>
      </c>
      <c r="G1056" s="1">
        <f>[1]Residential!C$116</f>
        <v>136.41161920115519</v>
      </c>
      <c r="H1056" s="1">
        <f>[1]Residential!D$116</f>
        <v>125.84471920811728</v>
      </c>
      <c r="I1056" s="1">
        <f>[1]Residential!E$116</f>
        <v>122.87917441878318</v>
      </c>
      <c r="J1056" s="1">
        <f>[2]Residential!F$116</f>
        <v>118.82188347485767</v>
      </c>
      <c r="K1056" s="1">
        <f>[2]Residential!G$116</f>
        <v>115.16440408036539</v>
      </c>
      <c r="L1056" s="1">
        <f>[2]Residential!H$116</f>
        <v>109.90553349268941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27.968418298504908</v>
      </c>
      <c r="G1057" s="1">
        <f t="shared" ref="G1057:K1057" si="1216">SUM(G1058:G1059)</f>
        <v>29.954374928768992</v>
      </c>
      <c r="H1057" s="1">
        <f t="shared" si="1216"/>
        <v>34.976882044563531</v>
      </c>
      <c r="I1057" s="1">
        <f t="shared" si="1216"/>
        <v>50.155359171242424</v>
      </c>
      <c r="J1057" s="1">
        <f t="shared" si="1216"/>
        <v>55.83646099741523</v>
      </c>
      <c r="K1057" s="1">
        <f t="shared" si="1216"/>
        <v>62.653953158984429</v>
      </c>
      <c r="L1057" s="1">
        <f t="shared" ref="L1057" si="1217">SUM(L1058:L1059)</f>
        <v>56.798144109960219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8.9080424577574888</v>
      </c>
      <c r="G1058" s="1">
        <f>[1]Residential!C$102</f>
        <v>7.88274774127858</v>
      </c>
      <c r="H1058" s="1">
        <f>[1]Residential!D$102</f>
        <v>0.8331266005927026</v>
      </c>
      <c r="I1058" s="1">
        <f>[1]Residential!E$102</f>
        <v>0.15461114978349635</v>
      </c>
      <c r="J1058" s="1">
        <f>[2]Residential!F$102</f>
        <v>2.4325909273318638E-2</v>
      </c>
      <c r="K1058" s="1">
        <f>[2]Residential!G$102</f>
        <v>1.9141856811329256E-2</v>
      </c>
      <c r="L1058" s="1">
        <f>[2]Residential!H$102</f>
        <v>1.0756780112869246E-2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19.060375840747419</v>
      </c>
      <c r="G1059" s="1">
        <f>[1]Residential!C$104</f>
        <v>22.071627187490414</v>
      </c>
      <c r="H1059" s="1">
        <f>[1]Residential!D$104</f>
        <v>34.143755443970832</v>
      </c>
      <c r="I1059" s="1">
        <f>[1]Residential!E$104</f>
        <v>50.000748021458925</v>
      </c>
      <c r="J1059" s="1">
        <f>[2]Residential!F$104</f>
        <v>55.812135088141915</v>
      </c>
      <c r="K1059" s="1">
        <f>[2]Residential!G$104</f>
        <v>62.634811302173098</v>
      </c>
      <c r="L1059" s="1">
        <f>[2]Residential!H$104</f>
        <v>56.787387329847348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45.124413763393264</v>
      </c>
      <c r="G1060" s="1">
        <f t="shared" ref="G1060:L1060" si="1218">G1061</f>
        <v>38.437459084499402</v>
      </c>
      <c r="H1060" s="1">
        <f t="shared" si="1218"/>
        <v>34.726764555143092</v>
      </c>
      <c r="I1060" s="1">
        <f t="shared" si="1218"/>
        <v>16.221013243169139</v>
      </c>
      <c r="J1060" s="1">
        <f t="shared" si="1218"/>
        <v>9.594883161913236</v>
      </c>
      <c r="K1060" s="1">
        <f t="shared" si="1218"/>
        <v>2.4931701910404906</v>
      </c>
      <c r="L1060" s="1">
        <f t="shared" si="1218"/>
        <v>0.28236688150460881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45.124413763393264</v>
      </c>
      <c r="G1061" s="1">
        <f>[1]Residential!C$105</f>
        <v>38.437459084499402</v>
      </c>
      <c r="H1061" s="1">
        <f>[1]Residential!D$105</f>
        <v>34.726764555143092</v>
      </c>
      <c r="I1061" s="1">
        <f>[1]Residential!E$105</f>
        <v>16.221013243169139</v>
      </c>
      <c r="J1061" s="1">
        <f>[2]Residential!F$105</f>
        <v>9.594883161913236</v>
      </c>
      <c r="K1061" s="1">
        <f>[2]Residential!G$105</f>
        <v>2.4931701910404906</v>
      </c>
      <c r="L1061" s="1">
        <f>[2]Residential!H$105</f>
        <v>0.28236688150460881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36.569927955028298</v>
      </c>
      <c r="G1062" s="1">
        <f t="shared" ref="G1062:K1062" si="1219">SUM(G1063:G1064)</f>
        <v>38.875586745321236</v>
      </c>
      <c r="H1062" s="1">
        <f t="shared" si="1219"/>
        <v>35.386229731006857</v>
      </c>
      <c r="I1062" s="1">
        <f t="shared" si="1219"/>
        <v>26.55025137415964</v>
      </c>
      <c r="J1062" s="1">
        <f t="shared" si="1219"/>
        <v>18.688930818319626</v>
      </c>
      <c r="K1062" s="1">
        <f t="shared" si="1219"/>
        <v>11.788238496751099</v>
      </c>
      <c r="L1062" s="1">
        <f t="shared" ref="L1062" si="1220">SUM(L1063:L1064)</f>
        <v>8.4177705952541455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36.569927955028298</v>
      </c>
      <c r="G1063" s="1">
        <f>[1]Residential!C$106</f>
        <v>38.875586745321236</v>
      </c>
      <c r="H1063" s="1">
        <f>[1]Residential!D$106</f>
        <v>31.194769625127165</v>
      </c>
      <c r="I1063" s="1">
        <f>[1]Residential!E$106</f>
        <v>20.151892289578822</v>
      </c>
      <c r="J1063" s="1">
        <f>[2]Residential!F$106</f>
        <v>11.295632168102834</v>
      </c>
      <c r="K1063" s="1">
        <f>[2]Residential!G$106</f>
        <v>3.5200837435997707</v>
      </c>
      <c r="L1063" s="1">
        <f>[2]Residential!H$106</f>
        <v>1.3889195057661619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4.1914601058796892</v>
      </c>
      <c r="I1064" s="1">
        <f>[1]Residential!E$107</f>
        <v>6.3983590845808189</v>
      </c>
      <c r="J1064" s="1">
        <f>[2]Residential!F$107</f>
        <v>7.3932986502167921</v>
      </c>
      <c r="K1064" s="1">
        <f>[2]Residential!G$107</f>
        <v>8.2681547531513271</v>
      </c>
      <c r="L1064" s="1">
        <f>[2]Residential!H$107</f>
        <v>7.0288510894879836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7.2003387807237682E-2</v>
      </c>
      <c r="G1065" s="1">
        <f t="shared" ref="G1065:L1065" si="1221">G1066</f>
        <v>7.2001313378621534E-2</v>
      </c>
      <c r="H1065" s="1">
        <f t="shared" si="1221"/>
        <v>2.1051899413794289E-2</v>
      </c>
      <c r="I1065" s="1">
        <f t="shared" si="1221"/>
        <v>0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7.2003387807237682E-2</v>
      </c>
      <c r="G1066" s="1">
        <f>[1]Residential!C$108</f>
        <v>7.2001313378621534E-2</v>
      </c>
      <c r="H1066" s="1">
        <f>[1]Residential!D$108</f>
        <v>2.1051899413794289E-2</v>
      </c>
      <c r="I1066" s="1">
        <f>[1]Residential!E$108</f>
        <v>0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6.6001005733847675</v>
      </c>
      <c r="G1067" s="1">
        <f>SUM([1]Residential!C$109:C$110)</f>
        <v>7.700543822324958</v>
      </c>
      <c r="H1067" s="1">
        <f>SUM([1]Residential!D$109:D$110)</f>
        <v>5.9353608026295612</v>
      </c>
      <c r="I1067" s="1">
        <f>SUM([1]Residential!E$109:E$110)</f>
        <v>10.51304094221844</v>
      </c>
      <c r="J1067" s="1">
        <f>SUM([2]Residential!F$109:F$110)</f>
        <v>11.491694947043634</v>
      </c>
      <c r="K1067" s="1">
        <f>SUM([2]Residential!G$109:G$110)</f>
        <v>12.146477373007523</v>
      </c>
      <c r="L1067" s="1">
        <f>SUM([2]Residential!H$109:H$110)</f>
        <v>10.239005283769986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8.0613982624334141E-2</v>
      </c>
      <c r="G1068" s="1">
        <f>[1]Residential!C$109</f>
        <v>7.4913257962543559E-3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8.0613982624334141E-2</v>
      </c>
      <c r="G1069" s="1">
        <f t="shared" ref="G1069:K1069" si="1222">IFERROR(G$1068/G$1043,0)*G1044</f>
        <v>7.4913257962543559E-3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6.5194865907604331</v>
      </c>
      <c r="G1072" s="1">
        <f t="shared" ref="G1072:K1072" si="1228">G1067-G1068</f>
        <v>7.6930524965287033</v>
      </c>
      <c r="H1072" s="1">
        <f t="shared" si="1228"/>
        <v>5.9353608026295612</v>
      </c>
      <c r="I1072" s="1">
        <f t="shared" si="1228"/>
        <v>10.51304094221844</v>
      </c>
      <c r="J1072" s="1">
        <f t="shared" si="1228"/>
        <v>11.491694947043634</v>
      </c>
      <c r="K1072" s="1">
        <f t="shared" si="1228"/>
        <v>12.146477373007523</v>
      </c>
      <c r="L1072" s="1">
        <f t="shared" ref="L1072" si="1229">L1067-L1068</f>
        <v>10.239005283769986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9.1310831617430832</v>
      </c>
      <c r="G1073" s="1">
        <f t="shared" ref="G1073:L1073" si="1230">G1074</f>
        <v>8.7387159969723012</v>
      </c>
      <c r="H1073" s="1">
        <f t="shared" si="1230"/>
        <v>9.4560270606056491</v>
      </c>
      <c r="I1073" s="1">
        <f t="shared" si="1230"/>
        <v>7.4130663791196207</v>
      </c>
      <c r="J1073" s="1">
        <f t="shared" si="1230"/>
        <v>5.655202353953884</v>
      </c>
      <c r="K1073" s="1">
        <f t="shared" si="1230"/>
        <v>3.9767060631607776</v>
      </c>
      <c r="L1073" s="1">
        <f t="shared" si="1230"/>
        <v>1.5835474839319952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9.1310831617430832</v>
      </c>
      <c r="G1074" s="1">
        <f>[1]Residential!C$111</f>
        <v>8.7387159969723012</v>
      </c>
      <c r="H1074" s="1">
        <f>[1]Residential!D$111</f>
        <v>9.4560270606056491</v>
      </c>
      <c r="I1074" s="1">
        <f>[1]Residential!E$111</f>
        <v>7.4130663791196207</v>
      </c>
      <c r="J1074" s="1">
        <f>[2]Residential!F$111</f>
        <v>5.655202353953884</v>
      </c>
      <c r="K1074" s="1">
        <f>[2]Residential!G$111</f>
        <v>3.9767060631607776</v>
      </c>
      <c r="L1074" s="1">
        <f>[2]Residential!H$111</f>
        <v>1.5835474839319952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2.696897582435422</v>
      </c>
      <c r="G1075" s="1">
        <f t="shared" ref="G1075:L1075" si="1231">G1076</f>
        <v>3.1682289709648677</v>
      </c>
      <c r="H1075" s="1">
        <f t="shared" si="1231"/>
        <v>0.163341102714536</v>
      </c>
      <c r="I1075" s="1">
        <f t="shared" si="1231"/>
        <v>0.14129626645436419</v>
      </c>
      <c r="J1075" s="1">
        <f t="shared" si="1231"/>
        <v>0.11174976989963017</v>
      </c>
      <c r="K1075" s="1">
        <f t="shared" si="1231"/>
        <v>8.0229028734368948E-2</v>
      </c>
      <c r="L1075" s="1">
        <f t="shared" si="1231"/>
        <v>2.7676971603053619E-2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2.696897582435422</v>
      </c>
      <c r="G1076" s="1">
        <f>[1]Residential!C$112</f>
        <v>3.1682289709648677</v>
      </c>
      <c r="H1076" s="1">
        <f>[1]Residential!D$112</f>
        <v>0.163341102714536</v>
      </c>
      <c r="I1076" s="1">
        <f>[1]Residential!E$112</f>
        <v>0.14129626645436419</v>
      </c>
      <c r="J1076" s="1">
        <f>[2]Residential!F$112</f>
        <v>0.11174976989963017</v>
      </c>
      <c r="K1076" s="1">
        <f>[2]Residential!G$112</f>
        <v>8.0229028734368948E-2</v>
      </c>
      <c r="L1076" s="1">
        <f>[2]Residential!H$112</f>
        <v>2.7676971603053619E-2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0.7853439959166052</v>
      </c>
      <c r="G1077" s="1">
        <f t="shared" ref="G1077:L1077" si="1232">G1078</f>
        <v>0.94130088727139527</v>
      </c>
      <c r="H1077" s="1">
        <f t="shared" si="1232"/>
        <v>3.7008437331993833E-2</v>
      </c>
      <c r="I1077" s="1">
        <f t="shared" si="1232"/>
        <v>4.6034461850921735E-2</v>
      </c>
      <c r="J1077" s="1">
        <f t="shared" si="1232"/>
        <v>4.7662028847127502E-2</v>
      </c>
      <c r="K1077" s="1">
        <f t="shared" si="1232"/>
        <v>4.8390230154601033E-2</v>
      </c>
      <c r="L1077" s="1">
        <f t="shared" si="1232"/>
        <v>4.6780968834060882E-2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0.7853439959166052</v>
      </c>
      <c r="G1078" s="1">
        <f>[1]Residential!C$113</f>
        <v>0.94130088727139527</v>
      </c>
      <c r="H1078" s="1">
        <f>[1]Residential!D$113</f>
        <v>3.7008437331993833E-2</v>
      </c>
      <c r="I1078" s="1">
        <f>[1]Residential!E$113</f>
        <v>4.6034461850921735E-2</v>
      </c>
      <c r="J1078" s="1">
        <f>[2]Residential!F$113</f>
        <v>4.7662028847127502E-2</v>
      </c>
      <c r="K1078" s="1">
        <f>[2]Residential!G$113</f>
        <v>4.8390230154601033E-2</v>
      </c>
      <c r="L1078" s="1">
        <f>[2]Residential!H$113</f>
        <v>4.6780968834060882E-2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9.1540056599951541E-2</v>
      </c>
      <c r="G1081" s="1">
        <f>[1]Residential!C$10-[1]Residential!C$223</f>
        <v>8.5234074516534388</v>
      </c>
      <c r="H1081" s="1">
        <f>[1]Residential!D$10-[1]Residential!D$223</f>
        <v>5.1420535747082914</v>
      </c>
      <c r="I1081" s="1">
        <f>[1]Residential!E$10-[1]Residential!E$223</f>
        <v>11.839112580568623</v>
      </c>
      <c r="J1081" s="1">
        <f>[2]Residential!F$10-[2]Residential!F$223</f>
        <v>17.395299397465312</v>
      </c>
      <c r="K1081" s="1">
        <f>[2]Residential!G$10-[2]Residential!G$223</f>
        <v>21.977239538532121</v>
      </c>
      <c r="L1081" s="1">
        <f>[2]Residential!H$10-[2]Residential!H$223</f>
        <v>32.510241197831355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26.978374317089791</v>
      </c>
      <c r="G1082" s="1">
        <f>[1]Residential!C$224</f>
        <v>25.929183231242252</v>
      </c>
      <c r="H1082" s="1">
        <f>[1]Residential!D$224</f>
        <v>21.716605261935381</v>
      </c>
      <c r="I1082" s="1">
        <f>[1]Residential!E$224</f>
        <v>22.085841745494935</v>
      </c>
      <c r="J1082" s="1">
        <f>[2]Residential!F$224</f>
        <v>23.856922494677317</v>
      </c>
      <c r="K1082" s="1">
        <f>[2]Residential!G$224</f>
        <v>25.917388209054934</v>
      </c>
      <c r="L1082" s="1">
        <f>[2]Residential!H$224</f>
        <v>26.457596040481885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9.884630446367547</v>
      </c>
      <c r="G1083" s="1">
        <f t="shared" ref="G1083:K1083" si="1234">SUM(G1084:G1085)</f>
        <v>10.604175161449239</v>
      </c>
      <c r="H1083" s="1">
        <f t="shared" si="1234"/>
        <v>8.124141848449522</v>
      </c>
      <c r="I1083" s="1">
        <f t="shared" si="1234"/>
        <v>10.907391190992428</v>
      </c>
      <c r="J1083" s="1">
        <f t="shared" si="1234"/>
        <v>13.150630542057652</v>
      </c>
      <c r="K1083" s="1">
        <f t="shared" si="1234"/>
        <v>15.807184793813505</v>
      </c>
      <c r="L1083" s="1">
        <f t="shared" ref="L1083" si="1235">SUM(L1084:L1085)</f>
        <v>17.121710519695267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6.6447179783538015</v>
      </c>
      <c r="G1084" s="1">
        <f>[1]Residential!C$231-G1058</f>
        <v>6.9687109452350899</v>
      </c>
      <c r="H1084" s="1">
        <f>[1]Residential!D$231-H1058</f>
        <v>2.8158635390147104</v>
      </c>
      <c r="I1084" s="1">
        <f>[1]Residential!E$231-I1058</f>
        <v>1.9151837990370386</v>
      </c>
      <c r="J1084" s="1">
        <f>[2]Residential!F$231-J1058</f>
        <v>1.7469648260594075</v>
      </c>
      <c r="K1084" s="1">
        <f>[2]Residential!G$231-K1058</f>
        <v>1.5824143548759571</v>
      </c>
      <c r="L1084" s="1">
        <f>[2]Residential!H$231-L1058</f>
        <v>1.3798286518002192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3.2399124680137454</v>
      </c>
      <c r="G1085" s="1">
        <f>[1]Residential!C$233-G1059</f>
        <v>3.6354642162141495</v>
      </c>
      <c r="H1085" s="1">
        <f>[1]Residential!D$233-H1059</f>
        <v>5.3082783094348116</v>
      </c>
      <c r="I1085" s="1">
        <f>[1]Residential!E$233-I1059</f>
        <v>8.9922073919553895</v>
      </c>
      <c r="J1085" s="1">
        <f>[2]Residential!F$233-J1059</f>
        <v>11.403665715998244</v>
      </c>
      <c r="K1085" s="1">
        <f>[2]Residential!G$233-K1059</f>
        <v>14.224770438937547</v>
      </c>
      <c r="L1085" s="1">
        <f>[2]Residential!H$233-L1059</f>
        <v>15.741881867895046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6.9844637776721399</v>
      </c>
      <c r="G1086" s="1">
        <f t="shared" ref="G1086:L1086" si="1236">G1087</f>
        <v>5.5418339964880516</v>
      </c>
      <c r="H1086" s="1">
        <f t="shared" si="1236"/>
        <v>4.5163214769155218</v>
      </c>
      <c r="I1086" s="1">
        <f t="shared" si="1236"/>
        <v>1.9156966048350057</v>
      </c>
      <c r="J1086" s="1">
        <f t="shared" si="1236"/>
        <v>1.2597307514320679</v>
      </c>
      <c r="K1086" s="1">
        <f t="shared" si="1236"/>
        <v>0.45236230565323199</v>
      </c>
      <c r="L1086" s="1">
        <f t="shared" si="1236"/>
        <v>2.8686144912831668E-2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6.9844637776721399</v>
      </c>
      <c r="G1087" s="1">
        <f>[1]Residential!C$234-G1061</f>
        <v>5.5418339964880516</v>
      </c>
      <c r="H1087" s="1">
        <f>[1]Residential!D$234-H1061</f>
        <v>4.5163214769155218</v>
      </c>
      <c r="I1087" s="1">
        <f>[1]Residential!E$234-I1061</f>
        <v>1.9156966048350057</v>
      </c>
      <c r="J1087" s="1">
        <f>[2]Residential!F$234-J1061</f>
        <v>1.2597307514320679</v>
      </c>
      <c r="K1087" s="1">
        <f>[2]Residential!G$234-K1061</f>
        <v>0.45236230565323199</v>
      </c>
      <c r="L1087" s="1">
        <f>[2]Residential!H$234-L1061</f>
        <v>2.8686144912831668E-2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6.3804568217696485</v>
      </c>
      <c r="G1088" s="1">
        <f t="shared" ref="G1088:K1088" si="1237">SUM(G1089:G1090)</f>
        <v>5.5409727631509256</v>
      </c>
      <c r="H1088" s="1">
        <f t="shared" si="1237"/>
        <v>6.0507108951267794</v>
      </c>
      <c r="I1088" s="1">
        <f t="shared" si="1237"/>
        <v>4.8935167287481898</v>
      </c>
      <c r="J1088" s="1">
        <f t="shared" si="1237"/>
        <v>4.535935463533173</v>
      </c>
      <c r="K1088" s="1">
        <f t="shared" si="1237"/>
        <v>4.2420057272661529</v>
      </c>
      <c r="L1088" s="1">
        <f t="shared" ref="L1088" si="1238">SUM(L1089:L1090)</f>
        <v>3.9494825996746346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6.3804568217696485</v>
      </c>
      <c r="G1089" s="1">
        <f>[1]Residential!C$235-G1063</f>
        <v>5.5409727631509256</v>
      </c>
      <c r="H1089" s="1">
        <f>[1]Residential!D$235-H1063</f>
        <v>5.0679027495091233</v>
      </c>
      <c r="I1089" s="1">
        <f>[1]Residential!E$235-I1063</f>
        <v>2.9052453671407719</v>
      </c>
      <c r="J1089" s="1">
        <f>[2]Residential!F$235-J1063</f>
        <v>1.7739116355073872</v>
      </c>
      <c r="K1089" s="1">
        <f>[2]Residential!G$235-K1063</f>
        <v>0.76875041445296954</v>
      </c>
      <c r="L1089" s="1">
        <f>[2]Residential!H$235-L1063</f>
        <v>0.33172092725593005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0.98280814561765606</v>
      </c>
      <c r="I1090" s="1">
        <f>[1]Residential!E$236-I1064</f>
        <v>1.9882713616074179</v>
      </c>
      <c r="J1090" s="1">
        <f>[2]Residential!F$236-J1064</f>
        <v>2.7620238280257858</v>
      </c>
      <c r="K1090" s="1">
        <f>[2]Residential!G$236-K1064</f>
        <v>3.4732553128131833</v>
      </c>
      <c r="L1090" s="1">
        <f>[2]Residential!H$236-L1064</f>
        <v>3.6177616724187045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1.317054883352714</v>
      </c>
      <c r="G1093" s="1">
        <f t="shared" ref="G1093:K1093" si="1239">SUM(G1094,G1098)</f>
        <v>1.463377197543414</v>
      </c>
      <c r="H1093" s="1">
        <f t="shared" si="1239"/>
        <v>0.9609287319997426</v>
      </c>
      <c r="I1093" s="1">
        <f t="shared" si="1239"/>
        <v>2.00535513675249</v>
      </c>
      <c r="J1093" s="1">
        <f t="shared" si="1239"/>
        <v>2.4435290332666746</v>
      </c>
      <c r="K1093" s="1">
        <f t="shared" si="1239"/>
        <v>2.8240690118078309</v>
      </c>
      <c r="L1093" s="1">
        <f t="shared" ref="L1093" si="1240">SUM(L1094,L1098)</f>
        <v>2.8217962630696114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1.6086579030331477E-2</v>
      </c>
      <c r="G1094" s="1">
        <f>[1]Residential!C$238-G1068</f>
        <v>1.423618331711219E-3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1.6086579030331477E-2</v>
      </c>
      <c r="G1095" s="1">
        <f t="shared" ref="G1095:K1097" si="1241">IFERROR(G$1094/G$1043,0)*G1044</f>
        <v>1.423618331711219E-3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1.3009683043223825</v>
      </c>
      <c r="G1098" s="1">
        <f>[1]Residential!C$239-G1072</f>
        <v>1.4619535792117029</v>
      </c>
      <c r="H1098" s="1">
        <f>[1]Residential!D$239-H1072</f>
        <v>0.9609287319997426</v>
      </c>
      <c r="I1098" s="1">
        <f>[1]Residential!E$239-I1072</f>
        <v>2.00535513675249</v>
      </c>
      <c r="J1098" s="1">
        <f>[2]Residential!F$239-J1072</f>
        <v>2.4435290332666746</v>
      </c>
      <c r="K1098" s="1">
        <f>[2]Residential!G$239-K1072</f>
        <v>2.8240690118078309</v>
      </c>
      <c r="L1098" s="1">
        <f>[2]Residential!H$239-L1072</f>
        <v>2.8217962630696114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0.52047786963655263</v>
      </c>
      <c r="G1099" s="1">
        <f t="shared" ref="G1099:L1099" si="1245">G1100</f>
        <v>0.59724721008108794</v>
      </c>
      <c r="H1099" s="1">
        <f t="shared" si="1245"/>
        <v>1.0153907950684786</v>
      </c>
      <c r="I1099" s="1">
        <f t="shared" si="1245"/>
        <v>0.86068834829869001</v>
      </c>
      <c r="J1099" s="1">
        <f t="shared" si="1245"/>
        <v>0.70786479107322808</v>
      </c>
      <c r="K1099" s="1">
        <f t="shared" si="1245"/>
        <v>0.54819034432259217</v>
      </c>
      <c r="L1099" s="1">
        <f t="shared" si="1245"/>
        <v>0.25105954422660792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0.52047786963655263</v>
      </c>
      <c r="G1100" s="1">
        <f>[1]Residential!C$240-G1074</f>
        <v>0.59724721008108794</v>
      </c>
      <c r="H1100" s="1">
        <f>[1]Residential!D$240-H1074</f>
        <v>1.0153907950684786</v>
      </c>
      <c r="I1100" s="1">
        <f>[1]Residential!E$240-I1074</f>
        <v>0.86068834829869001</v>
      </c>
      <c r="J1100" s="1">
        <f>[2]Residential!F$240-J1074</f>
        <v>0.70786479107322808</v>
      </c>
      <c r="K1100" s="1">
        <f>[2]Residential!G$240-K1074</f>
        <v>0.54819034432259217</v>
      </c>
      <c r="L1100" s="1">
        <f>[2]Residential!H$240-L1074</f>
        <v>0.25105954422660792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0.16980249363134226</v>
      </c>
      <c r="G1101" s="1">
        <f t="shared" ref="G1101" si="1246">G1102</f>
        <v>0.19483852693978543</v>
      </c>
      <c r="H1101" s="1">
        <f t="shared" ref="H1101" si="1247">H1102</f>
        <v>3.6707341930770188E-2</v>
      </c>
      <c r="I1101" s="1">
        <f t="shared" ref="I1101" si="1248">I1102</f>
        <v>3.2923923915890885E-2</v>
      </c>
      <c r="J1101" s="1">
        <f t="shared" ref="J1101" si="1249">J1102</f>
        <v>2.7682938569419197E-2</v>
      </c>
      <c r="K1101" s="1">
        <f t="shared" ref="K1101:L1101" si="1250">K1102</f>
        <v>2.1782275200618387E-2</v>
      </c>
      <c r="L1101" s="1">
        <f t="shared" si="1250"/>
        <v>8.2671064222198075E-3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0.16980249363134226</v>
      </c>
      <c r="G1102" s="1">
        <f>[1]Residential!C$241-G1076</f>
        <v>0.19483852693978543</v>
      </c>
      <c r="H1102" s="1">
        <f>[1]Residential!D$241-H1076</f>
        <v>3.6707341930770188E-2</v>
      </c>
      <c r="I1102" s="1">
        <f>[1]Residential!E$241-I1076</f>
        <v>3.2923923915890885E-2</v>
      </c>
      <c r="J1102" s="1">
        <f>[2]Residential!F$241-J1076</f>
        <v>2.7682938569419197E-2</v>
      </c>
      <c r="K1102" s="1">
        <f>[2]Residential!G$241-K1076</f>
        <v>2.1782275200618387E-2</v>
      </c>
      <c r="L1102" s="1">
        <f>[2]Residential!H$241-L1076</f>
        <v>8.2671064222198075E-3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1">G1104</f>
        <v>1.9867383755897492</v>
      </c>
      <c r="H1103" s="1">
        <f t="shared" ref="H1103" si="1252">H1104</f>
        <v>1.0124041724445625</v>
      </c>
      <c r="I1103" s="1">
        <f t="shared" ref="I1103" si="1253">I1104</f>
        <v>1.4702698119522439</v>
      </c>
      <c r="J1103" s="1">
        <f t="shared" ref="J1103" si="1254">J1104</f>
        <v>1.7315489747450989</v>
      </c>
      <c r="K1103" s="1">
        <f t="shared" ref="K1103:L1103" si="1255">K1104</f>
        <v>2.0217937509910064</v>
      </c>
      <c r="L1103" s="1">
        <f t="shared" si="1255"/>
        <v>2.2765938624807207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1.9867383755897492</v>
      </c>
      <c r="H1104" s="1">
        <f>[1]Residential!D$242-H1078</f>
        <v>1.0124041724445625</v>
      </c>
      <c r="I1104" s="1">
        <f>[1]Residential!E$242-I1078</f>
        <v>1.4702698119522439</v>
      </c>
      <c r="J1104" s="1">
        <f>[2]Residential!F$242-J1078</f>
        <v>1.7315489747450989</v>
      </c>
      <c r="K1104" s="1">
        <f>[2]Residential!G$242-K1078</f>
        <v>2.0217937509910064</v>
      </c>
      <c r="L1104" s="1">
        <f>[2]Residential!H$242-L1078</f>
        <v>2.2765938624807207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0.94999999999999907</v>
      </c>
      <c r="G1109" s="4">
        <f t="shared" ref="G1109:K1110" si="1263">IFERROR(G1058/G975,"-")</f>
        <v>0.95</v>
      </c>
      <c r="H1109" s="4">
        <f t="shared" si="1263"/>
        <v>0.91787084734418256</v>
      </c>
      <c r="I1109" s="4">
        <f t="shared" si="1263"/>
        <v>0.92086320470649341</v>
      </c>
      <c r="J1109" s="4">
        <f t="shared" si="1263"/>
        <v>0.93963948025590738</v>
      </c>
      <c r="K1109" s="4">
        <f t="shared" si="1263"/>
        <v>0.94424692868232085</v>
      </c>
      <c r="L1109" s="4">
        <f t="shared" ref="L1109" si="1264">IFERROR(L1058/L975,"-")</f>
        <v>0.94660568147621738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3.2533333333333325</v>
      </c>
      <c r="H1110" s="4">
        <f t="shared" si="1263"/>
        <v>2.9970855095199793</v>
      </c>
      <c r="I1110" s="4">
        <f t="shared" si="1263"/>
        <v>3.3288760736558261</v>
      </c>
      <c r="J1110" s="4">
        <f t="shared" si="1263"/>
        <v>3.5145267161804536</v>
      </c>
      <c r="K1110" s="4">
        <f t="shared" si="1263"/>
        <v>3.7110852747407153</v>
      </c>
      <c r="L1110" s="4">
        <f t="shared" ref="L1110" si="1265">IFERROR(L1059/L976,"-")</f>
        <v>4.1055222723610632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266">IFERROR(G1061/G985,"-")</f>
        <v>0.89583333333333404</v>
      </c>
      <c r="H1111" s="4">
        <f t="shared" si="1266"/>
        <v>0.85419766303333644</v>
      </c>
      <c r="I1111" s="4">
        <f t="shared" si="1266"/>
        <v>0.86992866209334496</v>
      </c>
      <c r="J1111" s="4">
        <f t="shared" si="1266"/>
        <v>0.87026689279768354</v>
      </c>
      <c r="K1111" s="4">
        <f t="shared" si="1266"/>
        <v>0.87138136987694104</v>
      </c>
      <c r="L1111" s="4">
        <f t="shared" ref="L1111" si="1267">IFERROR(L1061/L985,"-")</f>
        <v>0.86904314913881331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268">IFERROR(G1063/G998,"-")</f>
        <v>0.95000000000000018</v>
      </c>
      <c r="H1112" s="4">
        <f t="shared" si="1268"/>
        <v>0.93417786919014778</v>
      </c>
      <c r="I1112" s="4">
        <f t="shared" si="1268"/>
        <v>0.93423885523527017</v>
      </c>
      <c r="J1112" s="4">
        <f t="shared" si="1268"/>
        <v>0.93366224730333203</v>
      </c>
      <c r="K1112" s="4">
        <f t="shared" si="1268"/>
        <v>0.93140086766680352</v>
      </c>
      <c r="L1112" s="4">
        <f t="shared" ref="L1112" si="1269">IFERROR(L1063/L998,"-")</f>
        <v>0.93993533733787393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1.8585625307370026</v>
      </c>
      <c r="I1113" s="4">
        <f t="shared" si="1270"/>
        <v>1.9395418352123379</v>
      </c>
      <c r="J1113" s="4">
        <f t="shared" si="1270"/>
        <v>1.9822346161957707</v>
      </c>
      <c r="K1113" s="4">
        <f t="shared" si="1270"/>
        <v>2.0265481269415675</v>
      </c>
      <c r="L1113" s="4">
        <f t="shared" ref="L1113" si="1271">IFERROR(L1064/L999,"-")</f>
        <v>2.1281119560741297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272">IFERROR(G1066/G1017,"-")</f>
        <v>0.71999999999999986</v>
      </c>
      <c r="H1114" s="4">
        <f t="shared" si="1272"/>
        <v>0.7992014124572161</v>
      </c>
      <c r="I1114" s="4" t="str">
        <f t="shared" si="1272"/>
        <v>-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274">IFERROR(G1074/G1022,"-")</f>
        <v>0.72000000000000031</v>
      </c>
      <c r="H1119" s="4">
        <f t="shared" si="1274"/>
        <v>0.71781109116459219</v>
      </c>
      <c r="I1119" s="4">
        <f t="shared" si="1274"/>
        <v>0.72316973922794325</v>
      </c>
      <c r="J1119" s="4">
        <f t="shared" si="1274"/>
        <v>0.72424768718814136</v>
      </c>
      <c r="K1119" s="4">
        <f t="shared" si="1274"/>
        <v>0.72698935599197489</v>
      </c>
      <c r="L1119" s="4">
        <f t="shared" ref="L1119" si="1275">IFERROR(L1074/L1022,"-")</f>
        <v>0.75393544637334209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0.89999999999999991</v>
      </c>
      <c r="G1120" s="4">
        <f t="shared" ref="G1120:K1120" si="1276">IFERROR(G1076/G1027,"-")</f>
        <v>0.89999999999999991</v>
      </c>
      <c r="H1120" s="4">
        <f t="shared" si="1276"/>
        <v>0.72755601949087845</v>
      </c>
      <c r="I1120" s="4">
        <f t="shared" si="1276"/>
        <v>0.72759261119483265</v>
      </c>
      <c r="J1120" s="4">
        <f t="shared" si="1276"/>
        <v>0.72759346250215495</v>
      </c>
      <c r="K1120" s="4">
        <f t="shared" si="1276"/>
        <v>0.72759206516247976</v>
      </c>
      <c r="L1120" s="4">
        <f t="shared" ref="L1120" si="1277">IFERROR(L1076/L1027,"-")</f>
        <v>0.74574895981900713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80">IFERROR(G1084/G978,"-")</f>
        <v>0.79199999999999893</v>
      </c>
      <c r="H1123" s="4">
        <f t="shared" si="1280"/>
        <v>0.46572224291230924</v>
      </c>
      <c r="I1123" s="4">
        <f t="shared" si="1280"/>
        <v>0.48665298823441172</v>
      </c>
      <c r="J1123" s="4">
        <f t="shared" si="1280"/>
        <v>0.49721137373785784</v>
      </c>
      <c r="K1123" s="4">
        <f t="shared" si="1280"/>
        <v>0.50560717940479794</v>
      </c>
      <c r="L1123" s="4">
        <f t="shared" ref="L1123" si="1281">IFERROR(L1084/L978,"-")</f>
        <v>0.52043514953397396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80"/>
        <v>2.8259999999999987</v>
      </c>
      <c r="H1124" s="4">
        <f t="shared" si="1280"/>
        <v>1.8931008236249185</v>
      </c>
      <c r="I1124" s="4">
        <f t="shared" si="1280"/>
        <v>2.1445795883334213</v>
      </c>
      <c r="J1124" s="4">
        <f t="shared" si="1280"/>
        <v>2.3016127383896103</v>
      </c>
      <c r="K1124" s="4">
        <f t="shared" si="1280"/>
        <v>2.4525813892380994</v>
      </c>
      <c r="L1124" s="4">
        <f t="shared" ref="L1124" si="1282">IFERROR(L1085/L979,"-")</f>
        <v>2.7683207520826092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0.70833333333333404</v>
      </c>
      <c r="G1125" s="4">
        <f t="shared" ref="G1125:K1125" si="1283">IFERROR(G1087/G991,"-")</f>
        <v>0.71458333333333279</v>
      </c>
      <c r="H1125" s="4">
        <f t="shared" si="1283"/>
        <v>0.50261318322596238</v>
      </c>
      <c r="I1125" s="4">
        <f t="shared" si="1283"/>
        <v>0.53996894934137185</v>
      </c>
      <c r="J1125" s="4">
        <f t="shared" si="1283"/>
        <v>0.55185404714094688</v>
      </c>
      <c r="K1125" s="4">
        <f t="shared" si="1283"/>
        <v>0.55992049978324576</v>
      </c>
      <c r="L1125" s="4">
        <f t="shared" ref="L1125" si="1284">IFERROR(L1087/L991,"-")</f>
        <v>0.58844247231109137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285">IFERROR(G1089/G1007,"-")</f>
        <v>0.754</v>
      </c>
      <c r="H1126" s="4">
        <f t="shared" si="1285"/>
        <v>0.52749652833694005</v>
      </c>
      <c r="I1126" s="4">
        <f t="shared" si="1285"/>
        <v>0.55134383753420202</v>
      </c>
      <c r="J1126" s="4">
        <f t="shared" si="1285"/>
        <v>0.5524351352148853</v>
      </c>
      <c r="K1126" s="4">
        <f t="shared" si="1285"/>
        <v>0.55364225261291733</v>
      </c>
      <c r="L1126" s="4">
        <f t="shared" ref="L1126" si="1286">IFERROR(L1089/L1007,"-")</f>
        <v>0.56004047113423927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2.01807290632031</v>
      </c>
      <c r="I1127" s="4">
        <f t="shared" si="1287"/>
        <v>2.3052428016494804</v>
      </c>
      <c r="J1127" s="4">
        <f t="shared" si="1287"/>
        <v>2.4746007617706312</v>
      </c>
      <c r="K1127" s="4">
        <f t="shared" si="1287"/>
        <v>2.6528895577786096</v>
      </c>
      <c r="L1127" s="4">
        <f t="shared" ref="L1127" si="1288">IFERROR(L1090/L1008,"-")</f>
        <v>3.218909678432452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289">IFERROR(G1100/G1024,"-")</f>
        <v>0.49999999999999972</v>
      </c>
      <c r="H1132" s="4">
        <f t="shared" si="1289"/>
        <v>0.4329642158784216</v>
      </c>
      <c r="I1132" s="4">
        <f t="shared" si="1289"/>
        <v>0.44495718908674675</v>
      </c>
      <c r="J1132" s="4">
        <f t="shared" si="1289"/>
        <v>0.45335681271924133</v>
      </c>
      <c r="K1132" s="4">
        <f t="shared" si="1289"/>
        <v>0.46327977868223869</v>
      </c>
      <c r="L1132" s="4">
        <f t="shared" ref="L1132" si="1290">IFERROR(L1100/L1024,"-")</f>
        <v>0.49532375061951778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291">IFERROR(G1102/G1029,"-")</f>
        <v>0.62499999999999978</v>
      </c>
      <c r="H1133" s="4">
        <f t="shared" si="1291"/>
        <v>0.44132025812096853</v>
      </c>
      <c r="I1133" s="4">
        <f t="shared" si="1291"/>
        <v>0.44489490325723069</v>
      </c>
      <c r="J1133" s="4">
        <f t="shared" si="1291"/>
        <v>0.45012008093707678</v>
      </c>
      <c r="K1133" s="4">
        <f t="shared" si="1291"/>
        <v>0.46016284038355304</v>
      </c>
      <c r="L1133" s="4">
        <f t="shared" ref="L1133" si="1292">IFERROR(L1102/L1029,"-")</f>
        <v>0.49709828977903303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141.18542921400319</v>
      </c>
      <c r="G1136" s="3">
        <f t="shared" si="1295"/>
        <v>135.64945888743546</v>
      </c>
      <c r="H1136" s="3">
        <f t="shared" si="1295"/>
        <v>121.92214798980926</v>
      </c>
      <c r="I1136" s="3">
        <f t="shared" si="1295"/>
        <v>101.63670188429464</v>
      </c>
      <c r="J1136" s="3">
        <f t="shared" si="1295"/>
        <v>62.18183754779573</v>
      </c>
      <c r="K1136" s="3">
        <f t="shared" si="1295"/>
        <v>51.791227370324215</v>
      </c>
      <c r="L1136" s="3">
        <f t="shared" ref="L1136" si="1296">L1137+L1152+L1157+L1180+L1203</f>
        <v>38.33312220988676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0.74157398651315509</v>
      </c>
      <c r="G1137" s="1">
        <f t="shared" ref="G1137:K1137" si="1297">SUM(G1138:G1151)</f>
        <v>1.7816624523083531</v>
      </c>
      <c r="H1137" s="1">
        <f t="shared" si="1297"/>
        <v>4.4196917102718807</v>
      </c>
      <c r="I1137" s="1">
        <f t="shared" si="1297"/>
        <v>10.613739580981326</v>
      </c>
      <c r="J1137" s="1">
        <f t="shared" si="1297"/>
        <v>30.480489171780153</v>
      </c>
      <c r="K1137" s="1">
        <f t="shared" si="1297"/>
        <v>36.84505170171547</v>
      </c>
      <c r="L1137" s="1">
        <f t="shared" ref="L1137" si="1298">SUM(L1138:L1151)</f>
        <v>38.332895935645361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0.46788921991144677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0.37693251635304909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0.26221629346842107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0.11309530537170839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7.9186838454849921E-3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1.213951661312087E-2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1.0470631455363174E-2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1.046185835146589E-2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6.6243061953386879E-3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2.120583067540675E-3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1.1117660844079615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6.6075744641981682E-2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0.10432727137424033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0.13068515400109387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2.9230834555224967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7.4875201194562475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10.138012069613154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10.515058164453926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4.5847646019549972E-2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9.7628914244700882E-2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0.12206889442986868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3.1489576080116786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11.208507899851513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12.45300154431677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10.879070162184192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0.1505035772882041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1.0853612894640641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3.5741814044342699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3.3150756467734208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11.093208113115832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13.892689582576256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15.45322743529422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6.0776520032406421E-5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1.2715254614920429E-4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2.3765098302127951E-4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3.2649816200425641E-4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2.6754822377507914E-4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0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3.3388353325001295E-3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7.9944328240849211E-3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7.9633083824123749E-3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1.2590517464252363E-2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3.7340847715419934E-3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2.066927512585701E-3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0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7.5960214957478525E-2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0.16177468636018674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0.21064895210919438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4.8375227271238892E-2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4.1167848078294727E-3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1.8199058536555669E-2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1.4342593454882672E-2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2.7262220590264851E-2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6.0041766655897161E-3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1.2316411479506544E-3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0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5.1070905394054058E-5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1.1526607440336561E-4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2.2179263609262975E-4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3.4169241693675568E-4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2.8486217593315925E-4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0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2.7947398750520778E-7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8.7659621537139039E-5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2.8707346367713021E-4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7.5180751168333324E-4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4.9747121605801525E-3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5.3104096372709473E-3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0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1.3894470562220329E-3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0.13439385548733457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0.82262813876478569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0.57194089369639156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0.2794716779423404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1.5302838378732963E-3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1.0653967138179469E-3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3.6919086698465921E-3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2.6752535174006109E-3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1.5039279024480264E-3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0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2.5032718221414049E-2</v>
      </c>
      <c r="J1151" s="1">
        <f>[2]Transport!F$32</f>
        <v>4.6256194499537759E-2</v>
      </c>
      <c r="K1151" s="1">
        <f>[2]Transport!G$32</f>
        <v>6.497414279161845E-2</v>
      </c>
      <c r="L1151" s="1">
        <f>[2]Transport!H$32</f>
        <v>0.37377408930506462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8.6709526776091188E-4</v>
      </c>
      <c r="G1152" s="1">
        <f t="shared" ref="G1152:K1152" si="1303">SUM(G1153:G1156)</f>
        <v>2.084786597883327E-3</v>
      </c>
      <c r="H1152" s="1">
        <f t="shared" si="1303"/>
        <v>2.0697649180767431E-3</v>
      </c>
      <c r="I1152" s="1">
        <f t="shared" si="1303"/>
        <v>0</v>
      </c>
      <c r="J1152" s="1">
        <f t="shared" si="1303"/>
        <v>0</v>
      </c>
      <c r="K1152" s="1">
        <f t="shared" si="1303"/>
        <v>4.4025882774439336E-5</v>
      </c>
      <c r="L1152" s="1">
        <f t="shared" ref="L1152" si="1304">SUM(L1153:L1156)</f>
        <v>4.3528061762999331E-5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5.7233830755325852E-5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8.0466944103631141E-5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7.7258452285663008E-6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5.3827444710566837E-6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8.4967225901429102E-5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1.3704646562573669E-4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1.6273497808794556E-4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1.1912587888964161E-5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1.1789880529431836E-5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7.8212804185948278E-4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1.8319729791586665E-3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1.7434259803094842E-3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0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1.2782427041457474E-5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1.4161748804521893E-5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5.853332234359791E-5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8.3137015575682305E-5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0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1.1605022615451402E-5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1.219368795798892E-5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76.392399127487238</v>
      </c>
      <c r="G1157" s="1">
        <f t="shared" ref="G1157:K1157" si="1305">SUM(G1162:G1179)</f>
        <v>75.416834962720941</v>
      </c>
      <c r="H1157" s="1">
        <f t="shared" si="1305"/>
        <v>71.174426700801234</v>
      </c>
      <c r="I1157" s="1">
        <f t="shared" si="1305"/>
        <v>58.111806157882086</v>
      </c>
      <c r="J1157" s="1">
        <f t="shared" si="1305"/>
        <v>24.442971587446845</v>
      </c>
      <c r="K1157" s="1">
        <f t="shared" si="1305"/>
        <v>11.000528934800656</v>
      </c>
      <c r="L1157" s="1">
        <f t="shared" ref="L1157" si="1306">SUM(L1162:L1179)</f>
        <v>0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72.210676560264602</v>
      </c>
      <c r="G1158" s="1">
        <f t="shared" si="1307"/>
        <v>71.288506733575403</v>
      </c>
      <c r="H1158" s="1">
        <f t="shared" si="1307"/>
        <v>66.445250104571244</v>
      </c>
      <c r="I1158" s="1">
        <f t="shared" si="1307"/>
        <v>54.93063948396415</v>
      </c>
      <c r="J1158" s="1">
        <f t="shared" si="1307"/>
        <v>23.103978825800997</v>
      </c>
      <c r="K1158" s="1">
        <f>IF(K1157-K1159&lt;0,0,K1157-K1159)</f>
        <v>7.6094655930019606</v>
      </c>
      <c r="L1158" s="1">
        <f>IFERROR(IF(L1157-L1159&lt;0,0,L1157-L1159),0)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4.1817225672226428</v>
      </c>
      <c r="G1159" s="1">
        <f t="shared" ref="G1159" si="1309">SUM(G1160:G1161)</f>
        <v>4.1283282291455414</v>
      </c>
      <c r="H1159" s="1">
        <f t="shared" ref="H1159" si="1310">SUM(H1160:H1161)</f>
        <v>4.7291765962299932</v>
      </c>
      <c r="I1159" s="1">
        <f t="shared" ref="I1159" si="1311">SUM(I1160:I1161)</f>
        <v>3.1811666739179385</v>
      </c>
      <c r="J1159" s="1">
        <f t="shared" ref="J1159" si="1312">SUM(J1160:J1161)</f>
        <v>1.3389927616458472</v>
      </c>
      <c r="K1159" s="1">
        <f t="shared" ref="K1159" si="1313">SUM(K1160:K1161)</f>
        <v>3.3910633417986946</v>
      </c>
      <c r="L1159" s="1">
        <f>IFERROR(SUM(L1160:L1161),0)</f>
        <v>0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4.1817225672226428</v>
      </c>
      <c r="G1160" s="1">
        <f>[1]Transport!C$25/SUM([1]Transport!C$21,[1]Transport!C$25)*G1157*(G$35+G$600)/(G$35+G$600+G$39)</f>
        <v>4.1283282291455414</v>
      </c>
      <c r="H1160" s="1">
        <f>[1]Transport!D$25/SUM([1]Transport!D$21,[1]Transport!D$25)*H1157*(H$35+H$600)/(H$35+H$600+H$39)</f>
        <v>4.7291765962299932</v>
      </c>
      <c r="I1160" s="1">
        <f>[1]Transport!E$25/SUM([1]Transport!E$21,[1]Transport!E$25)*I1157*(I$35+I$600)/(I$35+I$600+I$39)</f>
        <v>3.1811666739179385</v>
      </c>
      <c r="J1160" s="1">
        <f>[2]Transport!F$25/SUM([2]Transport!F$21,[2]Transport!F$25)*J1157*(J$35+J$600)/(J$35+J$600+J$39)</f>
        <v>1.3389927616458472</v>
      </c>
      <c r="K1160" s="1">
        <f>[2]Transport!G$25/SUM([2]Transport!G$21,[2]Transport!G$25)*K1157*(K$35+K$600)/(K$35+K$600+K$39)</f>
        <v>3.3910633417986946</v>
      </c>
      <c r="L1160" s="1">
        <f>IFERROR([2]Transport!H$25/SUM([2]Transport!H$21,[2]Transport!H$25)*L1157*(L$35+L$600)/(L$35+L$600+L$39),0)</f>
        <v>0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IFERROR((L$39+L$719)/([2]Transport!H$21+[2]Transport!H$25)*L1157,0)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1.2540538476326688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1.2428781899665027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0.92517416561273758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0.43896143623839845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3.3268166450467852E-2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4.4741812349785366E-2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4.0029132532461285E-2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1.0776054380499616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0.86623487033636182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0.44132276683472771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0.10570431222765812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0.41212229253928057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1.2775455854766673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1.5573633805100262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3.4612017845394187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1.4851193238819911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7.731568416393525E-2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0.78368285047833541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0.74311554975938465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0.59419290901201571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0.19237049986714536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1.4612219777728728E-3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6.6007507714720637E-2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0.13757414469234394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0.13285733795069049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0.11107069481107387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1.7589262826288841E-2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1.5758539647170867E-3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63.98764575588644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52.776152793117049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42.433029611796719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11.710959104808095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0.35270051958175441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0.40009691703135475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1.2342094511621662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1.0421472658094042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1.320243586291846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0.76580245010133796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3.4249452661030619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5.3087512601979547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5.0022864196623855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4.1190270155659627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0.17297169102050863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7.2068160036007634E-3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3.5970231961500416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7.5795339697783666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8.8815002779760199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7.2678853503568668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1.6237977182142143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0.22138516550314663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3.2224716428736544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5.2712210284506957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8.3283095393661171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28.582480967336391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16.508586006339094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8.0484022389292171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9.7825825508620202E-4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2.0291989453867861E-3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4.1243815899394253E-3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2.3113404568877657E-3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7.3605907060581672E-4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8.3874050189609644E-4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2.2323503312930604E-3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4.715641332409792E-3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2.4654856724631424E-3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8.2225807240827748E-4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1.2656715265045942E-3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2.9905156101061835E-3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5.7049861839738817E-3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3.166931556944592E-3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1.0890928564541579E-3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1.7468567398550123E-3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3.9423122445034122E-3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8.953545178900511E-3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4.5715300807790057E-3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1.6457721706493421E-3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2.708651556275148E-4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1.3677061608416009E-3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2.2773802567316918E-3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2.4241583811491119E-3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2.4161125045411083E-3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1.2538918590086737E-3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0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7.0604346116940178E-2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0.14870430436575577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0.13893581289755882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0.10572086022182242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2.2500818391747734E-2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7.7964514050532022E-3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0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7.6035756892929129E-2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1.0349549074242259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1.7502768302650575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1.2940739751556094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0.21330171395116912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1.1142195197679068E-2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0.12435226053732724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0.2702232591451052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0.27368522895524111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0.18439504734009354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2.9242235397434996E-2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3.7673769722853553E-3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0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63.939803950362034</v>
      </c>
      <c r="G1180" s="1">
        <f t="shared" ref="G1180:K1180" si="1314">SUM(G1185:G1202)</f>
        <v>58.378358000258949</v>
      </c>
      <c r="H1180" s="1">
        <f t="shared" si="1314"/>
        <v>46.231681586929085</v>
      </c>
      <c r="I1180" s="1">
        <f t="shared" si="1314"/>
        <v>32.909896195746612</v>
      </c>
      <c r="J1180" s="1">
        <f t="shared" si="1314"/>
        <v>7.2572631786342807</v>
      </c>
      <c r="K1180" s="1">
        <f t="shared" si="1314"/>
        <v>3.9449011331092865</v>
      </c>
      <c r="L1180" s="1">
        <f t="shared" ref="L1180" si="1315">SUM(L1185:L1202)</f>
        <v>0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62.398384589183109</v>
      </c>
      <c r="G1181" s="1">
        <f t="shared" ref="G1181:L1181" si="1316">IF(G1180-G1182&lt;0,0,G1180-G1182)</f>
        <v>56.856977021932373</v>
      </c>
      <c r="H1181" s="1">
        <f t="shared" si="1316"/>
        <v>44.776311733881165</v>
      </c>
      <c r="I1181" s="1">
        <f t="shared" si="1316"/>
        <v>31.622856484505597</v>
      </c>
      <c r="J1181" s="1">
        <f t="shared" si="1316"/>
        <v>6.9312374182826328</v>
      </c>
      <c r="K1181" s="1">
        <f t="shared" si="1316"/>
        <v>3.79037368456801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1.5414193611789275</v>
      </c>
      <c r="G1182" s="1">
        <f t="shared" ref="G1182" si="1320">SUM(G1183:G1184)</f>
        <v>1.5213809783265775</v>
      </c>
      <c r="H1182" s="1">
        <f t="shared" ref="H1182" si="1321">SUM(H1183:H1184)</f>
        <v>1.4553698530479189</v>
      </c>
      <c r="I1182" s="1">
        <f t="shared" ref="I1182" si="1322">SUM(I1183:I1184)</f>
        <v>1.2870397112410159</v>
      </c>
      <c r="J1182" s="1">
        <f t="shared" ref="J1182" si="1323">SUM(J1183:J1184)</f>
        <v>0.3260257603516476</v>
      </c>
      <c r="K1182" s="1">
        <f t="shared" ref="K1182:L1182" si="1324">SUM(K1183:K1184)</f>
        <v>0.15452744854127634</v>
      </c>
      <c r="L1182" s="1">
        <f t="shared" si="1324"/>
        <v>0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1.5414193611789275</v>
      </c>
      <c r="G1183" s="1">
        <f>[1]Transport!C$26/SUM([1]Transport!C$22,[1]Transport!C$26)*G1180*(G$34+G$582)/(G$34+G$582+G$38)</f>
        <v>1.5213809783265775</v>
      </c>
      <c r="H1183" s="1">
        <f>[1]Transport!D$26/SUM([1]Transport!D$22,[1]Transport!D$26)*H1180*(H$34+H$582)/(H$34+H$582+H$38)</f>
        <v>1.4553698530479189</v>
      </c>
      <c r="I1183" s="1">
        <f>[1]Transport!E$26/SUM([1]Transport!E$22,[1]Transport!E$26)*I1180*(I$34+I$582)/(I$34+I$582+I$38)</f>
        <v>1.2870397112410159</v>
      </c>
      <c r="J1183" s="1">
        <f>[2]Transport!F$26/SUM([2]Transport!F$22,[2]Transport!F$26)*J1180*(J$34+J$582)/(J$34+J$582+J$38)</f>
        <v>0.3260257603516476</v>
      </c>
      <c r="K1183" s="1">
        <f>[2]Transport!G$26/SUM([2]Transport!G$22,[2]Transport!G$26)*K1180*(K$34+K$582)/(K$34+K$582+K$38)</f>
        <v>0.15452744854127634</v>
      </c>
      <c r="L1183" s="1">
        <f>[2]Transport!H$26/SUM([2]Transport!H$22,[2]Transport!H$26)*L1180*(L$34+L$582)/(L$34+L$582+L$38)</f>
        <v>0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3.1797559780522216E-5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0.23982331760884401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0.16023656920102969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0.13437564236723637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0.73850337889752937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1.5689757825080368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2.5406867899769548E-3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0.44629749037226135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1.2516901772812239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4.9780611652180706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3.7047449454833594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1.5846109753789284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2.7164724088163974E-2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4.6532301604032184E-2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4.5191237380699814E-2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3.5293866892149327E-2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8.5091710527797383E-3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1.5032775517074581E-3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3.5398677211504012E-2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7.3394207404653633E-2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7.0208071562193761E-2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5.8766967937546093E-2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1.4326611519331282E-2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1.6084095922296131E-3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57.015279877192036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48.700921042427304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34.728867192847368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16.032055245891197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5.3199991150155498E-3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6.3120254731576916E-3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7.350336346349874E-3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6.4973758892647717E-3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3.7150756292235426E-3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1.5739061382778155E-3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0.91475798806005804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1.27961571648914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1.0409218571884424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0.92831502187690373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2.4079535350546362E-2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1.6458671130619117E-3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3.9929635699919102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5.3278203963884412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5.2778465218798027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4.0331221429647872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0.13792948221787163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1.5804511227379915E-3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1.9403213028816328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2.2106386829011422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2.172220306901758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1.6748039129045098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7.9143951834174275E-2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9.0263002184918725E-4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7.7333235803970764E-4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1.6175385361860914E-3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3.213027324197123E-3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1.8787524357901314E-3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6.0106547209964434E-4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6.9684653571213946E-4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1.8414734842927593E-3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4.7816688058708234E-3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2.1526361029884449E-3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7.3563908579757191E-4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9.7791366727300742E-4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2.3328346158829906E-3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5.0567194117993692E-3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2.9051936461576108E-3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1.0755612341804405E-3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6.9720092473785729E-4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1.476175259054837E-3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2.296945925408426E-3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1.316554137758262E-3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4.077330802055595E-4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1.7385985690633072E-5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1.1277556487436335E-3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2.0225073480875208E-3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2.2183714728827566E-3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2.4774077472439681E-3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1.3106943022820443E-3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0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1.0572031357171527E-5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1.6199620876497852E-3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4.2892735941422733E-3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6.2357013907664649E-3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2.9520219898746335E-2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1.9711451076306737E-2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0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1.0458558755819645E-4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1.8682759414941859E-2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1.4329108612669703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4.9801530314924269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2.4932012061161277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0.7541230582152858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5.8927838673439696E-3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2.2427048952877775E-2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3.0658652235598487E-2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2.4649387981595886E-2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1.2859056564652572E-2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4.534631216299218E-3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0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0.11078505437302887</v>
      </c>
      <c r="G1203" s="1">
        <f t="shared" ref="G1203:K1203" si="1325">SUM(G1208:G1212)</f>
        <v>7.0518685549337407E-2</v>
      </c>
      <c r="H1203" s="1">
        <f t="shared" si="1325"/>
        <v>9.427822688898338E-2</v>
      </c>
      <c r="I1203" s="1">
        <f t="shared" si="1325"/>
        <v>1.2599496846059347E-3</v>
      </c>
      <c r="J1203" s="1">
        <f t="shared" si="1325"/>
        <v>1.1136099344462333E-3</v>
      </c>
      <c r="K1203" s="1">
        <f t="shared" si="1325"/>
        <v>7.0157481603530644E-4</v>
      </c>
      <c r="L1203" s="1">
        <f t="shared" ref="L1203" si="1326">SUM(L1208:L1212)</f>
        <v>1.8274617963667187E-4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0.10234175443280316</v>
      </c>
      <c r="G1204" s="1">
        <f t="shared" ref="G1204:L1204" si="1327">IF(G1203-G1205&lt;0,0,G1203-G1205)</f>
        <v>6.3624745543905667E-2</v>
      </c>
      <c r="H1204" s="1">
        <f t="shared" si="1327"/>
        <v>8.5359488408772818E-2</v>
      </c>
      <c r="I1204" s="1">
        <f t="shared" si="1327"/>
        <v>1.0514738859614394E-3</v>
      </c>
      <c r="J1204" s="1">
        <f t="shared" si="1327"/>
        <v>0</v>
      </c>
      <c r="K1204" s="1">
        <f t="shared" si="1327"/>
        <v>5.5087642026225778E-4</v>
      </c>
      <c r="L1204" s="1">
        <f t="shared" si="1327"/>
        <v>1.1506480484324803E-4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8.4432999402257042E-3</v>
      </c>
      <c r="G1205" s="1">
        <f t="shared" ref="G1205" si="1328">SUM(G1206:G1207)</f>
        <v>6.8939400054317344E-3</v>
      </c>
      <c r="H1205" s="1">
        <f t="shared" ref="H1205" si="1329">SUM(H1206:H1207)</f>
        <v>8.918738480210563E-3</v>
      </c>
      <c r="I1205" s="1">
        <f t="shared" ref="I1205" si="1330">SUM(I1206:I1207)</f>
        <v>2.0847579864449528E-4</v>
      </c>
      <c r="J1205" s="1">
        <f t="shared" ref="J1205" si="1331">SUM(J1206:J1207)</f>
        <v>0.74131519709019844</v>
      </c>
      <c r="K1205" s="1">
        <f t="shared" ref="K1205:L1205" si="1332">SUM(K1206:K1207)</f>
        <v>1.5069839577304872E-4</v>
      </c>
      <c r="L1205" s="1">
        <f t="shared" si="1332"/>
        <v>6.768137479342384E-5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8.4432999402257042E-3</v>
      </c>
      <c r="G1206" s="1">
        <f>[1]Transport!C$27/SUM([1]Transport!C$24,[1]Transport!C$27)*G1203*(G$47+G$614)/(G$47+G$614+G$49)</f>
        <v>6.8939400054317344E-3</v>
      </c>
      <c r="H1206" s="1">
        <f>[1]Transport!D$27/SUM([1]Transport!D$24,[1]Transport!D$27)*H1203*(H$47+H$614)/(H$47+H$614+H$49)</f>
        <v>8.918738480210563E-3</v>
      </c>
      <c r="I1206" s="1">
        <f>[1]Transport!E$27/SUM([1]Transport!E$24,[1]Transport!E$27)*I1203*(I$47+I$614)/(I$47+I$614+I$49)</f>
        <v>2.0847579864449528E-4</v>
      </c>
      <c r="J1206" s="1">
        <f>[2]Transport!F$27/SUM([2]Transport!F$24,[2]Transport!F$27)*J1203*(J$47+J$614)/(J$47+J$614+J$49)</f>
        <v>2.1041680966797256E-4</v>
      </c>
      <c r="K1206" s="1">
        <f>[2]Transport!G$27/SUM([2]Transport!G$24,[2]Transport!G$27)*K1203*(K$47+K$614)/(K$47+K$614+K$49)</f>
        <v>1.5069839577304872E-4</v>
      </c>
      <c r="L1206" s="1">
        <f>[2]Transport!H$27/SUM([2]Transport!H$24,[2]Transport!H$27)*L1203*(L$47+L$614)/(L$47+L$614+L$49)</f>
        <v>6.768137479342384E-5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0.74110478028053051</v>
      </c>
      <c r="K1207" s="1">
        <f>(K$49+K$716)/([2]Transport!G$24+[2]Transport!G$27)*K1203</f>
        <v>0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3.6837962668789096E-3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2.037172391046256E-3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2.1973539211341138E-3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2.0962255595313489E-4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1.3688156461440495E-4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7.1144962501743463E-5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1.851598692846543E-5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5.4525600915524816E-2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3.2117654510985659E-2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4.3795743817260237E-2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2.7002292292566387E-4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2.7499858790156384E-4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1.7389835077302683E-4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4.5162159089901435E-5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4.2180048060870981E-3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3.2369561953473291E-3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4.3497913782244609E-3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6.2558716795102628E-4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3.9597011745332402E-4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2.4403511063833896E-4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6.3582538839924288E-5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4.8357652384538041E-2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3.3126902451958172E-2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4.3935337772364566E-2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1.5471703777610962E-4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3.0575966447694033E-4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2.1249639212219719E-4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5.5485494778380723E-5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49.003279184488093</v>
      </c>
      <c r="G1213" s="3">
        <f t="shared" ref="G1213:K1213" si="1333">SUM(G1214:G1263)</f>
        <v>55.671233697921771</v>
      </c>
      <c r="H1213" s="3">
        <f t="shared" si="1333"/>
        <v>58.440137973640191</v>
      </c>
      <c r="I1213" s="3">
        <f t="shared" si="1333"/>
        <v>62.339388675934003</v>
      </c>
      <c r="J1213" s="3">
        <f t="shared" si="1333"/>
        <v>62.604829318165912</v>
      </c>
      <c r="K1213" s="3">
        <f t="shared" si="1333"/>
        <v>62.340089079480521</v>
      </c>
      <c r="L1213" s="3">
        <f t="shared" ref="L1213" si="1334">SUM(L1214:L1263)</f>
        <v>61.14614857133386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0.41619307312127185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0.36070382619344959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0.27744986248459447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0.13873162150657783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1.4346057589923446E-2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2.1992822019906995E-2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1.8969349552596573E-2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1.8953455566145146E-2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1.2075691709182129E-2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3.9976449056103591E-3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2.4475545558807199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9.6721560505462184E-2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0.1527140790507594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0.19129670196484655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4.2788044968350389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11.539727340320869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16.004422146283837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18.046967517011304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6.1319059110522961E-2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0.13057405740993272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0.16326137551117781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4.2115819342145278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15.571354361263515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17.716840746097652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17.076906433227656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0.19489805748459749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1.4055134821177662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4.6284681425735545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4.2929332020686459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14.958945087333758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19.23882796896407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23.574583958786622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1.9263937012528148E-4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1.0859636131257385E-3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1.8562705601510776E-3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2.1617450179174779E-3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2.3928317152354991E-3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1.4589502009551359E-3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0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4.6396211222335441E-2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9.9160369203178847E-2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9.338948609692381E-2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8.0880598447794869E-2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1.9674193065806367E-2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8.2839165487238065E-3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0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4.1480194022943638E-2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0.67104137468956948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1.1815167368496073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1.0011226920595158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0.19406274727569492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1.2822306462055698E-2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0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6.4632794324129966E-2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0.1648262756266157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0.16146099782619114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0.1323566940783891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2.4303260314190417E-2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3.8341908700659849E-3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0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1.266405100459898E-5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9.1194516051253528E-4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1.6807037673015849E-3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2.0167259092758161E-3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2.5016956817680278E-3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1.5545988229225748E-3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0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3.4590126721855807E-6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1.0942281508058978E-3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2.9838054907955678E-3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4.8414085382144107E-3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2.6238495790227544E-2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2.1518900438597117E-2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0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5.7335790204315663E-5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1.2289019603495457E-2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0.98154347225078231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3.9095664214539485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2.3023761844888404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0.89655593911625953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3.1050966825270504E-3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1.3868562344862294E-2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1.7584621452021668E-2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1.7935922235800511E-2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1.0766997814574682E-2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4.6872010160336685E-3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0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6.27608826533202E-5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8.8237609988902057E-5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8.9906623809916431E-6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7.1199327497383784E-6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7.574787388374101E-5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1.2217626601666138E-4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1.4507745152206645E-4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1.1443586198810627E-5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1.2731465170848334E-5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6.4917024213862753E-4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1.5205468655035343E-3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1.4470524072983145E-3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1.147959116105426E-5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1.4371339304192721E-5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4.8977922591549458E-5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6.9565132309691512E-5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1.0439590582917378E-5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1.2288903031860939E-5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0.61924595478172129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0.62769351730267742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0.48283683336105782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0.24141985935965685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3.7549404815726752E-2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5.4800744013212631E-2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4.6584607616242689E-2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0.95895683010433364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0.76457924673376398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0.38988892798879193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0.16357238220099399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0.91404070867907605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2.5129026037133819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2.48554682390371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3.2254205224295545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1.1448530833790176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0.14538945372868847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1.9343615280736333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1.8308357871423673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1.4772142796353389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0.48755874341229977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1.0933308002423912E-3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7.4146232739480553E-2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0.18333661517182182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0.17643214709223318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0.1483803005305106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2.6750310129485311E-2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1.1121769333468214E-3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18.302988151946714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15.43958697053149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12.828025359043243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3.730937400901746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0.24056079882864495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0.26979892533798211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0.76928027920364195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0.6490654182092761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0.81435058853692543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0.47899825391551926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2.0614992151753948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3.2089266850879494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3.0413252436546636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2.5088065367264663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0.10386603211833097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3.6037485273833639E-3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1.8531065308734571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3.9051794530189397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4.5269355847276733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3.7202810374357806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0.79850143855635436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0.10663452793725249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1.3964687772971811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2.2840124184383481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3.6127122407752275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12.487614237957827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7.2810204303583692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3.5821474061047511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5.0710587148764333E-4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1.0910366052534052E-3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2.3935924117891388E-3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1.3414271238802609E-3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4.4254847360748729E-4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3.5003753897614489E-4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9.7373412752900154E-4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2.221770952281018E-3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1.1638820420304672E-3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4.0112895916434577E-4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4.9104246817108406E-4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1.2097980253932216E-3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2.4840681962029687E-3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1.3891271380008896E-3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4.9479157470389793E-4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6.8708170658508805E-4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1.6135319484752305E-3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3.9775397489104618E-3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2.0376249184270757E-3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7.5607176119695213E-4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1.3299048811499463E-5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0.40713592961146394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0.27165936782621208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0.22318314581642359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0.71991830840209547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1.492783707893347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3.0135657874110606E-3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1.195385427106471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2.7500748149881602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5.184748009613708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3.5410411218437092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1.2149650929282079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2.4969442653391787E-2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5.5897349221596865E-2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5.413613963227306E-2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4.4052981882148408E-2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1.1153390013638709E-2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1.0715796302779052E-3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4.760196455977727E-2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0.11606015159099023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0.11142293171459201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9.4178217957106375E-2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2.138105483876292E-2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1.1341158978972585E-3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19.329234674778519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17.235951000194557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13.067011639680809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6.6292124773315839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3.9866827611551572E-3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5.2043704218408086E-3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6.0052266766962162E-3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5.2059423949926981E-3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2.74299670003387E-3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1.033998642317643E-3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0.64472198677604886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0.90157934629617731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0.75764725938136135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0.68082322069055057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1.9176796309699838E-2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8.6424622928965328E-4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2.1391905959467268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2.8367286630041972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2.8076741038013093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2.1827226222069616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8.1312639894109279E-2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7.5679392954258078E-4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0.90418843699565288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1.0074695485215845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0.99218178038559302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0.77568480569068554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3.0979537311975031E-2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4.0158100021144385E-4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4.3464019790589965E-4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9.3715304257838996E-4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1.9806443477171707E-3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1.1601594055796402E-3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3.8217645734526373E-4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3.1504533456274097E-4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8.6368818063923029E-4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2.4049055270601622E-3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1.0807810279547276E-3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3.7946463265552946E-4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4.1099901936185337E-4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1.0155238903562095E-3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2.3528360734646004E-3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1.3604075804159582E-3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5.173319201951899E-4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2.7848578154032727E-4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6.0881216981123715E-4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9.960436903621475E-4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5.7738262294645254E-4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1.8500837435341067E-4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2.2669675472328753E-3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1.294387004366352E-3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1.3901486234175191E-3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1.2891265549412433E-4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8.2200252154327006E-5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4.299258209463089E-5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1.1319878496573678E-5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3.4494219141172594E-2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2.1654295264650424E-2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2.9528539905242786E-2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1.4484487018433394E-4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1.3264021638538433E-4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8.4286775832566159E-5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2.2099126079709816E-5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1.9740797607352965E-3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1.5403852095344994E-3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2.0656889913818451E-3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3.0372272428789591E-4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1.8755029070039153E-4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1.1389573451318888E-4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2.9869436289815295E-5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3.3013245939709071E-2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2.2590373779875373E-2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2.9944908731718026E-2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7.8728455652241547E-5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1.440911846760663E-4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9.9947340355752652E-5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2.6306346439411313E-5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0.88951199431361339</v>
      </c>
      <c r="G1265" s="1">
        <f t="shared" si="1338"/>
        <v>0.95694536964701904</v>
      </c>
      <c r="H1265" s="1">
        <f t="shared" si="1338"/>
        <v>1.058095432647125</v>
      </c>
      <c r="I1265" s="1">
        <f t="shared" si="1338"/>
        <v>1.2266788709806389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1.8116719735064508</v>
      </c>
      <c r="G1266" s="1">
        <f t="shared" si="1338"/>
        <v>1.8116719735064477</v>
      </c>
      <c r="H1266" s="1">
        <f t="shared" si="1338"/>
        <v>1.8116719735064557</v>
      </c>
      <c r="I1266" s="1">
        <f t="shared" si="1338"/>
        <v>1.8116719735064502</v>
      </c>
      <c r="J1266" s="1">
        <f t="shared" si="1338"/>
        <v>1.8229368258489329</v>
      </c>
      <c r="K1266" s="1">
        <f t="shared" si="1338"/>
        <v>1.8851630793442993</v>
      </c>
      <c r="L1266" s="1">
        <f t="shared" ref="L1266" si="1343">IFERROR(L1215/L1139,"-")</f>
        <v>2.2015013681444451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1.4637982671179686</v>
      </c>
      <c r="G1267" s="1">
        <f t="shared" si="1338"/>
        <v>1.4637982671179719</v>
      </c>
      <c r="H1267" s="1">
        <f t="shared" si="1338"/>
        <v>1.4637982671179723</v>
      </c>
      <c r="I1267" s="1">
        <f t="shared" si="1338"/>
        <v>1.4637982671179701</v>
      </c>
      <c r="J1267" s="1">
        <f t="shared" si="1338"/>
        <v>1.5411948357020104</v>
      </c>
      <c r="K1267" s="1">
        <f t="shared" si="1338"/>
        <v>1.5786548720191584</v>
      </c>
      <c r="L1267" s="1">
        <f t="shared" ref="L1267" si="1344">IFERROR(L1216/L1140,"-")</f>
        <v>1.7162974502622288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1.3374527251491997</v>
      </c>
      <c r="G1268" s="1">
        <f t="shared" si="1338"/>
        <v>1.3374527251491997</v>
      </c>
      <c r="H1268" s="1">
        <f t="shared" si="1338"/>
        <v>1.3374527251491994</v>
      </c>
      <c r="I1268" s="1">
        <f t="shared" si="1338"/>
        <v>1.3374527251492005</v>
      </c>
      <c r="J1268" s="1">
        <f t="shared" si="1338"/>
        <v>1.38924417954595</v>
      </c>
      <c r="K1268" s="1">
        <f t="shared" si="1338"/>
        <v>1.4226964224687793</v>
      </c>
      <c r="L1268" s="1">
        <f t="shared" ref="L1268" si="1345">IFERROR(L1217/L1141,"-")</f>
        <v>1.5697027575561773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1.2949729235430796</v>
      </c>
      <c r="G1269" s="1">
        <f t="shared" si="1338"/>
        <v>1.29497292354308</v>
      </c>
      <c r="H1269" s="1">
        <f t="shared" si="1338"/>
        <v>1.2949729235430789</v>
      </c>
      <c r="I1269" s="1">
        <f t="shared" si="1338"/>
        <v>1.2949729235430807</v>
      </c>
      <c r="J1269" s="1">
        <f t="shared" si="1338"/>
        <v>1.3484778194729214</v>
      </c>
      <c r="K1269" s="1">
        <f t="shared" si="1338"/>
        <v>1.3848166587622286</v>
      </c>
      <c r="L1269" s="1">
        <f t="shared" ref="L1269" si="1346">IFERROR(L1218/L1142,"-")</f>
        <v>1.5255443600696463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0.71120026375852141</v>
      </c>
      <c r="G1270" s="1">
        <f t="shared" si="1347"/>
        <v>0.76022175673932502</v>
      </c>
      <c r="H1270" s="1">
        <f t="shared" si="1347"/>
        <v>0.77198803772901758</v>
      </c>
      <c r="I1270" s="1">
        <f t="shared" si="1347"/>
        <v>0.81213367381447732</v>
      </c>
      <c r="J1270" s="1">
        <f t="shared" si="1347"/>
        <v>0.87246496355589076</v>
      </c>
      <c r="K1270" s="1">
        <f t="shared" si="1347"/>
        <v>0.95892714899802023</v>
      </c>
      <c r="L1270" s="1" t="str">
        <f t="shared" ref="L1270" si="1348">IFERROR(L1219/SUM(L1143,L1176),"-")</f>
        <v>-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0.62745760072630241</v>
      </c>
      <c r="G1271" s="1">
        <f t="shared" si="1347"/>
        <v>0.63280898736947677</v>
      </c>
      <c r="H1271" s="1">
        <f t="shared" si="1347"/>
        <v>0.63573890220170359</v>
      </c>
      <c r="I1271" s="1">
        <f t="shared" si="1347"/>
        <v>0.68362485527302319</v>
      </c>
      <c r="J1271" s="1">
        <f t="shared" si="1347"/>
        <v>0.74992436386562678</v>
      </c>
      <c r="K1271" s="1">
        <f t="shared" si="1347"/>
        <v>0.83986599499989723</v>
      </c>
      <c r="L1271" s="1" t="str">
        <f t="shared" ref="L1271" si="1349">IFERROR(L1220/SUM(L1144,L1177),"-")</f>
        <v>-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0.54553536017737791</v>
      </c>
      <c r="G1272" s="1">
        <f t="shared" si="1347"/>
        <v>0.60404378441704509</v>
      </c>
      <c r="H1272" s="1">
        <f t="shared" si="1347"/>
        <v>0.61793143467963407</v>
      </c>
      <c r="I1272" s="1">
        <f t="shared" si="1347"/>
        <v>0.66532028848613167</v>
      </c>
      <c r="J1272" s="1">
        <f t="shared" si="1347"/>
        <v>0.74161195239115263</v>
      </c>
      <c r="K1272" s="1">
        <f t="shared" si="1347"/>
        <v>0.84031216093256589</v>
      </c>
      <c r="L1272" s="1" t="str">
        <f t="shared" ref="L1272" si="1350">IFERROR(L1221/SUM(L1145,L1178),"-")</f>
        <v>-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0.51975568473665923</v>
      </c>
      <c r="G1273" s="1">
        <f t="shared" si="1347"/>
        <v>0.57147545637761188</v>
      </c>
      <c r="H1273" s="1">
        <f t="shared" si="1347"/>
        <v>0.56057431006191583</v>
      </c>
      <c r="I1273" s="1">
        <f t="shared" si="1347"/>
        <v>0.62533498316693026</v>
      </c>
      <c r="J1273" s="1">
        <f t="shared" si="1347"/>
        <v>0.68952437685666668</v>
      </c>
      <c r="K1273" s="1">
        <f t="shared" si="1347"/>
        <v>0.76698879216804439</v>
      </c>
      <c r="L1273" s="1" t="str">
        <f t="shared" ref="L1273" si="1351">IFERROR(L1222/SUM(L1146,L1179),"-")</f>
        <v>-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0.72840569582556958</v>
      </c>
      <c r="G1274" s="1">
        <f t="shared" si="1352"/>
        <v>0.77360418910789108</v>
      </c>
      <c r="H1274" s="1">
        <f t="shared" si="1352"/>
        <v>0.78619359265083666</v>
      </c>
      <c r="I1274" s="1">
        <f t="shared" si="1352"/>
        <v>0.8264714253676283</v>
      </c>
      <c r="J1274" s="1">
        <f t="shared" si="1352"/>
        <v>0.88740929235306587</v>
      </c>
      <c r="K1274" s="1">
        <f t="shared" si="1352"/>
        <v>0.9743301751759712</v>
      </c>
      <c r="L1274" s="1" t="str">
        <f t="shared" ref="L1274" si="1353">IFERROR(L1223/SUM(L1147,L1199),"-")</f>
        <v>-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0.31875878620678361</v>
      </c>
      <c r="G1275" s="1">
        <f t="shared" si="1352"/>
        <v>0.64079072368253576</v>
      </c>
      <c r="H1275" s="1">
        <f t="shared" si="1352"/>
        <v>0.65200594559306213</v>
      </c>
      <c r="I1275" s="1">
        <f t="shared" si="1352"/>
        <v>0.69286617102083814</v>
      </c>
      <c r="J1275" s="1">
        <f t="shared" si="1352"/>
        <v>0.7606478466199319</v>
      </c>
      <c r="K1275" s="1">
        <f t="shared" si="1352"/>
        <v>0.8600040054942939</v>
      </c>
      <c r="L1275" s="1" t="str">
        <f t="shared" ref="L1275" si="1354">IFERROR(L1224/SUM(L1148,L1200),"-")</f>
        <v>-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0.54821884681205502</v>
      </c>
      <c r="G1276" s="1">
        <f t="shared" si="1352"/>
        <v>0.61224059353664451</v>
      </c>
      <c r="H1276" s="1">
        <f t="shared" si="1352"/>
        <v>0.6262620546969565</v>
      </c>
      <c r="I1276" s="1">
        <f t="shared" si="1352"/>
        <v>0.673740109568987</v>
      </c>
      <c r="J1276" s="1">
        <f t="shared" si="1352"/>
        <v>0.75114826964455128</v>
      </c>
      <c r="K1276" s="1">
        <f t="shared" si="1352"/>
        <v>0.86741534931688358</v>
      </c>
      <c r="L1276" s="1" t="str">
        <f t="shared" ref="L1276" si="1355">IFERROR(L1225/SUM(L1149,L1201),"-")</f>
        <v>-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0.52693204984736663</v>
      </c>
      <c r="G1277" s="1">
        <f t="shared" si="1352"/>
        <v>0.57888590795951911</v>
      </c>
      <c r="H1277" s="1">
        <f t="shared" si="1352"/>
        <v>0.55429940484772644</v>
      </c>
      <c r="I1277" s="1">
        <f t="shared" si="1352"/>
        <v>0.63285468044693827</v>
      </c>
      <c r="J1277" s="1">
        <f t="shared" si="1352"/>
        <v>0.69311078237158497</v>
      </c>
      <c r="K1277" s="1">
        <f t="shared" si="1352"/>
        <v>0.77621182865989269</v>
      </c>
      <c r="L1277" s="1" t="str">
        <f t="shared" ref="L1277" si="1356">IFERROR(L1226/SUM(L1150,L1202),"-")</f>
        <v>-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1.0965696656165205</v>
      </c>
      <c r="H1278" s="1">
        <f t="shared" si="1357"/>
        <v>1.0965696656165207</v>
      </c>
      <c r="I1278" s="1" t="str">
        <f t="shared" si="1357"/>
        <v>-</v>
      </c>
      <c r="J1278" s="1" t="str">
        <f t="shared" si="1357"/>
        <v>-</v>
      </c>
      <c r="K1278" s="1">
        <f t="shared" si="1357"/>
        <v>1.1637124631682605</v>
      </c>
      <c r="L1278" s="1">
        <f t="shared" ref="L1278" si="1358">IFERROR(L1227/L1153,"-")</f>
        <v>1.3227328155781224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0.89149519806162081</v>
      </c>
      <c r="G1279" s="1">
        <f t="shared" si="1359"/>
        <v>0.89149519806162192</v>
      </c>
      <c r="H1279" s="1">
        <f t="shared" si="1359"/>
        <v>0.89149519806162014</v>
      </c>
      <c r="I1279" s="1" t="str">
        <f t="shared" si="1359"/>
        <v>-</v>
      </c>
      <c r="J1279" s="1" t="str">
        <f t="shared" si="1359"/>
        <v>-</v>
      </c>
      <c r="K1279" s="1">
        <f t="shared" si="1359"/>
        <v>0.96062973935428275</v>
      </c>
      <c r="L1279" s="1">
        <f t="shared" ref="L1279" si="1360">IFERROR(L1228/L1154,"-")</f>
        <v>1.0798637983706416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0.83000507256490563</v>
      </c>
      <c r="G1280" s="1">
        <f t="shared" si="1361"/>
        <v>0.83000507256490508</v>
      </c>
      <c r="H1280" s="1">
        <f t="shared" si="1361"/>
        <v>0.8300050725649053</v>
      </c>
      <c r="I1280" s="1" t="str">
        <f t="shared" si="1361"/>
        <v>-</v>
      </c>
      <c r="J1280" s="1" t="str">
        <f t="shared" si="1361"/>
        <v>-</v>
      </c>
      <c r="K1280" s="1">
        <f t="shared" si="1361"/>
        <v>0.89807601669247139</v>
      </c>
      <c r="L1280" s="1">
        <f t="shared" ref="L1280" si="1362">IFERROR(L1229/L1155,"-")</f>
        <v>1.0147997611427697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0.83675282096654169</v>
      </c>
      <c r="H1281" s="1">
        <f t="shared" si="1363"/>
        <v>0.83675282096654202</v>
      </c>
      <c r="I1281" s="1" t="str">
        <f t="shared" si="1363"/>
        <v>-</v>
      </c>
      <c r="J1281" s="1" t="str">
        <f t="shared" si="1363"/>
        <v>-</v>
      </c>
      <c r="K1281" s="1">
        <f t="shared" si="1363"/>
        <v>0.89957520367238919</v>
      </c>
      <c r="L1281" s="1">
        <f t="shared" ref="L1281" si="1364">IFERROR(L1230/L1156,"-")</f>
        <v>1.0078085542454478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0.49379534694678257</v>
      </c>
      <c r="G1282" s="1">
        <f t="shared" si="1365"/>
        <v>0.50503220860251374</v>
      </c>
      <c r="H1282" s="1">
        <f t="shared" si="1365"/>
        <v>0.52188750108610926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1.1286887382757667</v>
      </c>
      <c r="G1283" s="1">
        <f t="shared" si="1365"/>
        <v>1.2248217301701574</v>
      </c>
      <c r="H1283" s="1">
        <f t="shared" si="1365"/>
        <v>1.1637676029692949</v>
      </c>
      <c r="I1283" s="1">
        <f t="shared" si="1365"/>
        <v>0.88989605679762085</v>
      </c>
      <c r="J1283" s="1">
        <f t="shared" si="1365"/>
        <v>0.88264658110204608</v>
      </c>
      <c r="K1283" s="1">
        <f t="shared" si="1365"/>
        <v>0.88345527874115459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1.5474523106370901</v>
      </c>
      <c r="G1284" s="1">
        <f t="shared" si="1365"/>
        <v>2.2178870816408365</v>
      </c>
      <c r="H1284" s="1">
        <f t="shared" si="1365"/>
        <v>1.9669768595973727</v>
      </c>
      <c r="I1284" s="1">
        <f t="shared" si="1365"/>
        <v>1.5959967050783677</v>
      </c>
      <c r="J1284" s="1">
        <f t="shared" si="1365"/>
        <v>0.93187878754626274</v>
      </c>
      <c r="K1284" s="1">
        <f t="shared" si="1365"/>
        <v>0.77088289470670757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1.8804652031587012</v>
      </c>
      <c r="G1285" s="1">
        <f t="shared" si="1365"/>
        <v>2.4682963610763711</v>
      </c>
      <c r="H1285" s="1">
        <f t="shared" si="1365"/>
        <v>2.4637296147754926</v>
      </c>
      <c r="I1285" s="1">
        <f t="shared" si="1365"/>
        <v>2.4860853390047217</v>
      </c>
      <c r="J1285" s="1">
        <f t="shared" si="1365"/>
        <v>2.5344777070757569</v>
      </c>
      <c r="K1285" s="1">
        <f t="shared" si="1365"/>
        <v>0.7482304652362235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1.123299989751694</v>
      </c>
      <c r="G1286" s="1">
        <f t="shared" si="1365"/>
        <v>1.3326385970402808</v>
      </c>
      <c r="H1286" s="1">
        <f t="shared" si="1365"/>
        <v>1.3279819527749028</v>
      </c>
      <c r="I1286" s="1">
        <f t="shared" si="1365"/>
        <v>1.3359086371333018</v>
      </c>
      <c r="J1286" s="1">
        <f t="shared" si="1365"/>
        <v>1.5208317934452833</v>
      </c>
      <c r="K1286" s="1">
        <f t="shared" si="1365"/>
        <v>0.70576142094898409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0.28603940550919488</v>
      </c>
      <c r="G1287" s="1">
        <f t="shared" si="1365"/>
        <v>0.29254854993039747</v>
      </c>
      <c r="H1287" s="1">
        <f t="shared" si="1365"/>
        <v>0.30231226656220067</v>
      </c>
      <c r="I1287" s="1">
        <f t="shared" si="1365"/>
        <v>0.31858512761520602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0.68205399616056994</v>
      </c>
      <c r="G1288" s="1">
        <f t="shared" si="1365"/>
        <v>0.67433392723903074</v>
      </c>
      <c r="H1288" s="1">
        <f t="shared" si="1365"/>
        <v>0.62329799733689129</v>
      </c>
      <c r="I1288" s="1">
        <f t="shared" si="1365"/>
        <v>0.62281544989245519</v>
      </c>
      <c r="J1288" s="1">
        <f t="shared" si="1365"/>
        <v>0.61681843940949044</v>
      </c>
      <c r="K1288" s="1">
        <f t="shared" si="1365"/>
        <v>0.62548540273295528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0.60190719997139985</v>
      </c>
      <c r="G1289" s="1">
        <f t="shared" si="1365"/>
        <v>0.60445979248390957</v>
      </c>
      <c r="H1289" s="1">
        <f t="shared" si="1365"/>
        <v>0.60798702603277344</v>
      </c>
      <c r="I1289" s="1">
        <f t="shared" si="1365"/>
        <v>0.60907746592716894</v>
      </c>
      <c r="J1289" s="1">
        <f t="shared" si="1365"/>
        <v>0.60047994851374809</v>
      </c>
      <c r="K1289" s="1">
        <f t="shared" si="1365"/>
        <v>0.50004725048937171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0.51517780948893244</v>
      </c>
      <c r="G1290" s="1">
        <f t="shared" si="1365"/>
        <v>0.51522685544915248</v>
      </c>
      <c r="H1290" s="1">
        <f t="shared" si="1365"/>
        <v>0.50970392873300729</v>
      </c>
      <c r="I1290" s="1">
        <f t="shared" si="1365"/>
        <v>0.51187943371356404</v>
      </c>
      <c r="J1290" s="1">
        <f t="shared" si="1365"/>
        <v>0.49174932911872377</v>
      </c>
      <c r="K1290" s="1">
        <f t="shared" si="1365"/>
        <v>0.48166970761072453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0.43335331759564327</v>
      </c>
      <c r="G1291" s="1">
        <f t="shared" si="1365"/>
        <v>0.43329854811830182</v>
      </c>
      <c r="H1291" s="1">
        <f t="shared" si="1365"/>
        <v>0.43378697966240548</v>
      </c>
      <c r="I1291" s="1">
        <f t="shared" si="1365"/>
        <v>0.43689749158683866</v>
      </c>
      <c r="J1291" s="1">
        <f t="shared" si="1365"/>
        <v>0.44104446180687717</v>
      </c>
      <c r="K1291" s="1">
        <f t="shared" si="1365"/>
        <v>0.44507559385865514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0.51837627625535165</v>
      </c>
      <c r="H1292" s="1">
        <f t="shared" si="1365"/>
        <v>0.53766862422917461</v>
      </c>
      <c r="I1292" s="1">
        <f t="shared" si="1365"/>
        <v>0.5803518320486668</v>
      </c>
      <c r="J1292" s="1">
        <f t="shared" si="1365"/>
        <v>0.58036760438421131</v>
      </c>
      <c r="K1292" s="1">
        <f t="shared" si="1365"/>
        <v>0.60124043202571475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0.41733711223534986</v>
      </c>
      <c r="H1293" s="1">
        <f t="shared" si="1365"/>
        <v>0.43619234574394894</v>
      </c>
      <c r="I1293" s="1">
        <f t="shared" si="1365"/>
        <v>0.47114926595692685</v>
      </c>
      <c r="J1293" s="1">
        <f t="shared" si="1365"/>
        <v>0.47207008948776058</v>
      </c>
      <c r="K1293" s="1">
        <f t="shared" si="1365"/>
        <v>0.48783827441121475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0.38796990995538655</v>
      </c>
      <c r="H1294" s="1">
        <f t="shared" si="1365"/>
        <v>0.40454496251576683</v>
      </c>
      <c r="I1294" s="1">
        <f t="shared" si="1365"/>
        <v>0.43542054548371562</v>
      </c>
      <c r="J1294" s="1">
        <f t="shared" si="1365"/>
        <v>0.43863503616134303</v>
      </c>
      <c r="K1294" s="1">
        <f t="shared" si="1365"/>
        <v>0.45431532469584673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0.39332458747711346</v>
      </c>
      <c r="H1295" s="1">
        <f t="shared" si="1365"/>
        <v>0.40928568018043349</v>
      </c>
      <c r="I1295" s="1">
        <f t="shared" si="1365"/>
        <v>0.44424188066686016</v>
      </c>
      <c r="J1295" s="1">
        <f t="shared" si="1365"/>
        <v>0.4457205536050759</v>
      </c>
      <c r="K1295" s="1">
        <f t="shared" si="1365"/>
        <v>0.45940244626851529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0.41824117647058801</v>
      </c>
      <c r="G1297" s="1">
        <f t="shared" si="1380"/>
        <v>1.6976494765847152</v>
      </c>
      <c r="H1297" s="1">
        <f t="shared" si="1380"/>
        <v>1.6953643552202713</v>
      </c>
      <c r="I1297" s="1">
        <f t="shared" si="1380"/>
        <v>1.6608898896013045</v>
      </c>
      <c r="J1297" s="1">
        <f t="shared" si="1380"/>
        <v>0.97483414290781101</v>
      </c>
      <c r="K1297" s="1">
        <f t="shared" si="1380"/>
        <v>0.95143833610172401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1.1861225080161868</v>
      </c>
      <c r="G1298" s="1">
        <f t="shared" si="1380"/>
        <v>2.6784498073457406</v>
      </c>
      <c r="H1298" s="1">
        <f t="shared" si="1380"/>
        <v>2.1970890759577211</v>
      </c>
      <c r="I1298" s="1">
        <f t="shared" si="1380"/>
        <v>1.0415195469753902</v>
      </c>
      <c r="J1298" s="1">
        <f t="shared" si="1380"/>
        <v>0.95581239031333864</v>
      </c>
      <c r="K1298" s="1">
        <f t="shared" si="1380"/>
        <v>0.76672767752203219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0.9191863157657213</v>
      </c>
      <c r="G1299" s="1">
        <f t="shared" si="1380"/>
        <v>1.2012590672444443</v>
      </c>
      <c r="H1299" s="1">
        <f t="shared" si="1380"/>
        <v>1.1979344397282075</v>
      </c>
      <c r="I1299" s="1">
        <f t="shared" si="1380"/>
        <v>1.2481766879431235</v>
      </c>
      <c r="J1299" s="1">
        <f t="shared" si="1380"/>
        <v>1.3107493014839757</v>
      </c>
      <c r="K1299" s="1">
        <f t="shared" si="1380"/>
        <v>0.71282886454386274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1.3447385131189982</v>
      </c>
      <c r="G1300" s="1">
        <f t="shared" si="1380"/>
        <v>1.5813257707260331</v>
      </c>
      <c r="H1300" s="1">
        <f t="shared" si="1380"/>
        <v>1.5870387725418167</v>
      </c>
      <c r="I1300" s="1">
        <f t="shared" si="1380"/>
        <v>1.6025706491645642</v>
      </c>
      <c r="J1300" s="1">
        <f t="shared" si="1380"/>
        <v>1.49240138255392</v>
      </c>
      <c r="K1300" s="1">
        <f t="shared" si="1380"/>
        <v>0.70511634808464541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0.33901850024085983</v>
      </c>
      <c r="G1301" s="1">
        <f t="shared" si="1380"/>
        <v>0.35391427166601075</v>
      </c>
      <c r="H1301" s="1">
        <f t="shared" si="1380"/>
        <v>0.37625792880373715</v>
      </c>
      <c r="I1301" s="1">
        <f t="shared" si="1380"/>
        <v>0.4134973573666148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0.74937658352289116</v>
      </c>
      <c r="G1302" s="1">
        <f t="shared" si="1380"/>
        <v>0.82451670133030042</v>
      </c>
      <c r="H1302" s="1">
        <f t="shared" si="1380"/>
        <v>0.81700025600574999</v>
      </c>
      <c r="I1302" s="1">
        <f t="shared" si="1380"/>
        <v>0.80123768175305476</v>
      </c>
      <c r="J1302" s="1">
        <f t="shared" si="1380"/>
        <v>0.73834208877388618</v>
      </c>
      <c r="K1302" s="1">
        <f t="shared" si="1380"/>
        <v>0.65696334563448311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0.70480060867609495</v>
      </c>
      <c r="G1303" s="1">
        <f t="shared" si="1380"/>
        <v>0.70457039146863976</v>
      </c>
      <c r="H1303" s="1">
        <f t="shared" si="1380"/>
        <v>0.72786180264077338</v>
      </c>
      <c r="I1303" s="1">
        <f t="shared" si="1380"/>
        <v>0.73339675072157673</v>
      </c>
      <c r="J1303" s="1">
        <f t="shared" si="1380"/>
        <v>0.79639395156620907</v>
      </c>
      <c r="K1303" s="1">
        <f t="shared" si="1380"/>
        <v>0.5251008556102934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0.53574007336887897</v>
      </c>
      <c r="G1304" s="1">
        <f t="shared" si="1380"/>
        <v>0.53243699148100498</v>
      </c>
      <c r="H1304" s="1">
        <f t="shared" si="1380"/>
        <v>0.53197342745035037</v>
      </c>
      <c r="I1304" s="1">
        <f t="shared" si="1380"/>
        <v>0.54119923593546837</v>
      </c>
      <c r="J1304" s="1">
        <f t="shared" si="1380"/>
        <v>0.58952327368030633</v>
      </c>
      <c r="K1304" s="1">
        <f t="shared" si="1380"/>
        <v>0.47884677903325623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0.46599933508579938</v>
      </c>
      <c r="G1305" s="1">
        <f t="shared" si="1380"/>
        <v>0.45573686750085596</v>
      </c>
      <c r="H1305" s="1">
        <f t="shared" si="1380"/>
        <v>0.45675927862065879</v>
      </c>
      <c r="I1305" s="1">
        <f t="shared" si="1380"/>
        <v>0.46314962588394176</v>
      </c>
      <c r="J1305" s="1">
        <f t="shared" si="1380"/>
        <v>0.39143278284719285</v>
      </c>
      <c r="K1305" s="1">
        <f t="shared" si="1380"/>
        <v>0.44490100095356744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0.56203544748554612</v>
      </c>
      <c r="H1306" s="1">
        <f t="shared" si="1380"/>
        <v>0.57936983979871881</v>
      </c>
      <c r="I1306" s="1">
        <f t="shared" si="1380"/>
        <v>0.61644180016803862</v>
      </c>
      <c r="J1306" s="1">
        <f t="shared" si="1380"/>
        <v>0.61751584907019508</v>
      </c>
      <c r="K1306" s="1">
        <f t="shared" si="1380"/>
        <v>0.63583166075110487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0.45210145766281479</v>
      </c>
      <c r="H1307" s="1">
        <f t="shared" si="1380"/>
        <v>0.46902015587313245</v>
      </c>
      <c r="I1307" s="1">
        <f t="shared" si="1380"/>
        <v>0.50294272244607874</v>
      </c>
      <c r="J1307" s="1">
        <f t="shared" si="1380"/>
        <v>0.50207326099116767</v>
      </c>
      <c r="K1307" s="1">
        <f t="shared" si="1380"/>
        <v>0.51582989536794122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0.42028149632876888</v>
      </c>
      <c r="H1308" s="1">
        <f t="shared" si="1380"/>
        <v>0.43531756749581157</v>
      </c>
      <c r="I1308" s="1">
        <f t="shared" si="1380"/>
        <v>0.46528903066570854</v>
      </c>
      <c r="J1308" s="1">
        <f t="shared" si="1380"/>
        <v>0.46826743622244388</v>
      </c>
      <c r="K1308" s="1">
        <f t="shared" si="1380"/>
        <v>0.48098788219100153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0.39943403925494791</v>
      </c>
      <c r="H1309" s="1">
        <f t="shared" si="1380"/>
        <v>0.41242539873012529</v>
      </c>
      <c r="I1309" s="1">
        <f t="shared" si="1380"/>
        <v>0.43363828436015023</v>
      </c>
      <c r="J1309" s="1">
        <f t="shared" si="1380"/>
        <v>0.43855592898715129</v>
      </c>
      <c r="K1309" s="1">
        <f t="shared" si="1380"/>
        <v>0.45374874724449216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 t="str">
        <f t="shared" ref="L1310" si="1396">IFERROR(L1259/L1199,"-")</f>
        <v>-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0.61538895829153983</v>
      </c>
      <c r="G1311" s="1">
        <f t="shared" si="1395"/>
        <v>0.79902302296730154</v>
      </c>
      <c r="H1311" s="1">
        <f t="shared" si="1395"/>
        <v>0.32409884632120495</v>
      </c>
      <c r="I1311" s="1">
        <f t="shared" si="1395"/>
        <v>2.0673320836852797E-2</v>
      </c>
      <c r="J1311" s="1">
        <f t="shared" si="1395"/>
        <v>2.7845406448960054E-3</v>
      </c>
      <c r="K1311" s="1">
        <f t="shared" si="1395"/>
        <v>2.1810967608725767E-3</v>
      </c>
      <c r="L1311" s="1" t="str">
        <f t="shared" ref="L1311" si="1397">IFERROR(L1260/L1200,"-")</f>
        <v>-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0.63262428220852895</v>
      </c>
      <c r="G1312" s="1">
        <f t="shared" si="1395"/>
        <v>1.159052299701083</v>
      </c>
      <c r="H1312" s="1">
        <f t="shared" si="1395"/>
        <v>2.0607380893975392E-2</v>
      </c>
      <c r="I1312" s="1">
        <f t="shared" si="1395"/>
        <v>2.9084421556605776E-5</v>
      </c>
      <c r="J1312" s="1">
        <f t="shared" si="1395"/>
        <v>5.3200766973801248E-5</v>
      </c>
      <c r="K1312" s="1">
        <f t="shared" si="1395"/>
        <v>1.1176793351477673E-4</v>
      </c>
      <c r="L1312" s="1" t="str">
        <f t="shared" ref="L1312" si="1398">IFERROR(L1261/L1201,"-")</f>
        <v>-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0.46801268644513094</v>
      </c>
      <c r="G1313" s="1">
        <f t="shared" si="1395"/>
        <v>6.8684257691284056E-2</v>
      </c>
      <c r="H1313" s="1">
        <f t="shared" si="1395"/>
        <v>6.7377031955218325E-2</v>
      </c>
      <c r="I1313" s="1">
        <f t="shared" si="1395"/>
        <v>1.2321714620852499E-2</v>
      </c>
      <c r="J1313" s="1">
        <f t="shared" si="1395"/>
        <v>1.4585073932712637E-2</v>
      </c>
      <c r="K1313" s="1">
        <f t="shared" si="1395"/>
        <v>2.5116868181871897E-2</v>
      </c>
      <c r="L1313" s="1" t="str">
        <f t="shared" ref="L1313" si="1399">IFERROR(L1262/L1202,"-")</f>
        <v>-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0.68268917765463699</v>
      </c>
      <c r="G1314" s="1">
        <f t="shared" si="1395"/>
        <v>0.32034592823018992</v>
      </c>
      <c r="H1314" s="1">
        <f t="shared" si="1395"/>
        <v>0.31762273983980871</v>
      </c>
      <c r="I1314" s="1">
        <f t="shared" si="1395"/>
        <v>6.2485396531421711E-2</v>
      </c>
      <c r="J1314" s="1">
        <f t="shared" si="1395"/>
        <v>0.12939107331843153</v>
      </c>
      <c r="K1314" s="1">
        <f t="shared" si="1395"/>
        <v>0.14246141405212989</v>
      </c>
      <c r="L1314" s="1">
        <f t="shared" ref="L1314" si="1400">IFERROR(L1263/L1203,"-")</f>
        <v>0.14395018539765081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0.75357813318048861</v>
      </c>
      <c r="G1315" s="3">
        <f t="shared" ref="G1315:K1315" si="1403">G1316+G1322+G1327+G1341</f>
        <v>1.3391708161909792</v>
      </c>
      <c r="H1315" s="3">
        <f t="shared" si="1403"/>
        <v>2.1881296621403052</v>
      </c>
      <c r="I1315" s="3">
        <f t="shared" si="1403"/>
        <v>1.4968396517529514</v>
      </c>
      <c r="J1315" s="3">
        <f t="shared" si="1403"/>
        <v>1.5431536846566964</v>
      </c>
      <c r="K1315" s="3">
        <f t="shared" si="1403"/>
        <v>1.5967070174838909</v>
      </c>
      <c r="L1315" s="3">
        <f t="shared" ref="L1315" si="1404">L1316+L1322+L1327+L1341</f>
        <v>1.3178047035292031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8.1548501169694618E-3</v>
      </c>
      <c r="G1316" s="1">
        <f t="shared" ref="G1316:K1316" si="1405">SUM(G1317:G1321)</f>
        <v>1.7730444231467996E-2</v>
      </c>
      <c r="H1316" s="1">
        <f t="shared" si="1405"/>
        <v>2.2715625189570647E-2</v>
      </c>
      <c r="I1316" s="1">
        <f t="shared" si="1405"/>
        <v>0.97153122563904171</v>
      </c>
      <c r="J1316" s="1">
        <f t="shared" si="1405"/>
        <v>0.93080100851204917</v>
      </c>
      <c r="K1316" s="1">
        <f t="shared" si="1405"/>
        <v>0.89631396082183556</v>
      </c>
      <c r="L1316" s="1">
        <f t="shared" ref="L1316" si="1406">SUM(L1317:L1321)</f>
        <v>1.0216550416325203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4.7345224882162695E-4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4.754789488024679E-4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4.671741600732409E-4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6.2319971625922379E-7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2.4478321930467405E-3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3.9445677703388634E-3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0.24530871795727008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0.24258278469258715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0.25058477454743189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0.13466736002341126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1.4698008107330567E-3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2.6808003647336653E-3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4.3046036238744388E-3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0.12219395266393593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0.12114439410912085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0.12462774161729301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0.1203381870095122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5.9238575442139224E-3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1.1576208681291195E-2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1.330510831824463E-2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0.60375314834115779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0.56686072545659705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0.52086307130387188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0.76653853307092712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2.8711631348459665E-4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5.5012404359392657E-4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6.9417131703947144E-4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2.7540667667796324E-4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2.1310425374415545E-4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2.3837335323873213E-4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1.1096152866971259E-4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0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0.7451078948931904</v>
      </c>
      <c r="G1327" s="1">
        <f t="shared" ref="G1327:K1327" si="1411">SUM(G1332:G1340)</f>
        <v>1.3208661926894203</v>
      </c>
      <c r="H1327" s="1">
        <f t="shared" si="1411"/>
        <v>2.143296247696449</v>
      </c>
      <c r="I1327" s="1">
        <f t="shared" si="1411"/>
        <v>0.52530581209547822</v>
      </c>
      <c r="J1327" s="1">
        <f t="shared" si="1411"/>
        <v>0.61235112479133524</v>
      </c>
      <c r="K1327" s="1">
        <f t="shared" si="1411"/>
        <v>0.70039199484176473</v>
      </c>
      <c r="L1327" s="1">
        <f t="shared" ref="L1327" si="1412">SUM(L1332:L1340)</f>
        <v>0.29614876236714022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0.72714531658676862</v>
      </c>
      <c r="G1328" s="1">
        <f t="shared" ref="G1328:L1328" si="1413">IF(G1327-G1329&lt;0,0,G1327-G1329)</f>
        <v>1.2864434927487434</v>
      </c>
      <c r="H1328" s="1">
        <f t="shared" si="1413"/>
        <v>2.075825443304812</v>
      </c>
      <c r="I1328" s="1">
        <f t="shared" si="1413"/>
        <v>0.50476216052358502</v>
      </c>
      <c r="J1328" s="1">
        <f t="shared" si="1413"/>
        <v>0.58484182326151923</v>
      </c>
      <c r="K1328" s="1">
        <f t="shared" si="1413"/>
        <v>0.67295663352604829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1.7962578306421815E-2</v>
      </c>
      <c r="G1329" s="1">
        <f t="shared" ref="G1329" si="1414">SUM(G1330:G1331)</f>
        <v>3.4422699940676954E-2</v>
      </c>
      <c r="H1329" s="1">
        <f t="shared" ref="H1329" si="1415">SUM(H1330:H1331)</f>
        <v>6.7470804391636968E-2</v>
      </c>
      <c r="I1329" s="1">
        <f t="shared" ref="I1329" si="1416">SUM(I1330:I1331)</f>
        <v>2.0543651571893189E-2</v>
      </c>
      <c r="J1329" s="1">
        <f t="shared" ref="J1329" si="1417">SUM(J1330:J1331)</f>
        <v>2.7509301529816052E-2</v>
      </c>
      <c r="K1329" s="1">
        <f t="shared" ref="K1329:L1329" si="1418">SUM(K1330:K1331)</f>
        <v>2.7435361315716493E-2</v>
      </c>
      <c r="L1329" s="1">
        <f t="shared" si="1418"/>
        <v>0.34511846452817441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1.7962578306421815E-2</v>
      </c>
      <c r="G1330" s="1">
        <f>[1]Transport!C$26/SUM([1]Transport!C$22,[1]Transport!C$26)*G1327*(G$34+G$582)/(G$34+G$582+G$38)</f>
        <v>3.4422699940676954E-2</v>
      </c>
      <c r="H1330" s="1">
        <f>[1]Transport!D$26/SUM([1]Transport!D$22,[1]Transport!D$26)*H1327*(H$34+H$582)/(H$34+H$582+H$38)</f>
        <v>6.7470804391636968E-2</v>
      </c>
      <c r="I1330" s="1">
        <f>[1]Transport!E$26/SUM([1]Transport!E$22,[1]Transport!E$26)*I1327*(I$34+I$582)/(I$34+I$582+I$38)</f>
        <v>2.0543651571893189E-2</v>
      </c>
      <c r="J1330" s="1">
        <f>[2]Transport!F$26/SUM([2]Transport!F$22,[2]Transport!F$26)*J1327*(J$34+J$582)/(J$34+J$582+J$38)</f>
        <v>2.7509301529816052E-2</v>
      </c>
      <c r="K1330" s="1">
        <f>[2]Transport!G$26/SUM([2]Transport!G$22,[2]Transport!G$26)*K1327*(K$34+K$582)/(K$34+K$582+K$38)</f>
        <v>2.7435361315716493E-2</v>
      </c>
      <c r="L1330" s="1">
        <f>[2]Transport!H$26/SUM([2]Transport!H$22,[2]Transport!H$26)*L1327*(L$34+L$582)/(L$34+L$582+L$38)</f>
        <v>0.14556959343080969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0.19954887109736474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1.9437991763897036E-3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2.8558677314385488E-3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6.0426372046411768E-4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2.0365183917587784E-3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5.4091215897375958E-3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0.25622105365808878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5.813524232836753E-4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1.1291641264459795E-3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9.0135007197683517E-4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1.8997557889609555E-3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2.2966754355021129E-3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1.1099204114461631E-3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1.5156950567653763E-3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0.52342147069224398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0.52363624549956245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0.60830187003164682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0.69253043084877541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3.8792400124097709E-2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9.250315640579304E-5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1.7110159667557985E-4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1.21894473132429E-4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1.1271676227556772E-4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1.5576696774960961E-4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2.5388173507542913E-5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1.7337478994359931E-2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1.7316664600924344E-2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1.7246974808268055E-2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2.7506288977002449E-4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0.2598601529695469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0.46023880668795331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4.205833034243709E-5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2.6381669315190769E-7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0.10912148174656713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0.13376284705372904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0.22741543670479197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0.61333986381925276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0.9047139300032897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0.90973657017927734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5.0340074432405945E-3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1.0792482490857766E-3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1.0808551693541827E-3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3.1538817032871239E-4</v>
      </c>
      <c r="G1341" s="1">
        <f t="shared" ref="G1341:K1341" si="1419">SUM(G1346:G1350)</f>
        <v>5.7417927009088506E-4</v>
      </c>
      <c r="H1341" s="1">
        <f t="shared" si="1419"/>
        <v>2.2117789254285765E-2</v>
      </c>
      <c r="I1341" s="1">
        <f t="shared" si="1419"/>
        <v>2.6140184314458954E-6</v>
      </c>
      <c r="J1341" s="1">
        <f t="shared" si="1419"/>
        <v>1.5513533119945965E-6</v>
      </c>
      <c r="K1341" s="1">
        <f t="shared" si="1419"/>
        <v>1.0618202905752237E-6</v>
      </c>
      <c r="L1341" s="1">
        <f t="shared" ref="L1341" si="1420">SUM(L1346:L1350)</f>
        <v>8.99529542523524E-7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2.9135138183991594E-4</v>
      </c>
      <c r="G1342" s="1">
        <f t="shared" ref="G1342:L1342" si="1421">IF(G1341-G1343&lt;0,0,G1341-G1343)</f>
        <v>5.1804723346068242E-4</v>
      </c>
      <c r="H1342" s="1">
        <f t="shared" si="1421"/>
        <v>2.0025442117213792E-2</v>
      </c>
      <c r="I1342" s="1">
        <f t="shared" si="1421"/>
        <v>2.1814935561866451E-6</v>
      </c>
      <c r="J1342" s="1">
        <f t="shared" si="1421"/>
        <v>0</v>
      </c>
      <c r="K1342" s="1">
        <f t="shared" si="1421"/>
        <v>8.3374110253762746E-7</v>
      </c>
      <c r="L1342" s="1">
        <f t="shared" si="1421"/>
        <v>5.6638224376010519E-7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2.4036788488796473E-5</v>
      </c>
      <c r="G1343" s="1">
        <f t="shared" ref="G1343" si="1422">SUM(G1344:G1345)</f>
        <v>5.6132036630202598E-5</v>
      </c>
      <c r="H1343" s="1">
        <f t="shared" ref="H1343" si="1423">SUM(H1344:H1345)</f>
        <v>2.0923471370719714E-3</v>
      </c>
      <c r="I1343" s="1">
        <f t="shared" ref="I1343" si="1424">SUM(I1344:I1345)</f>
        <v>4.3252487525925049E-7</v>
      </c>
      <c r="J1343" s="1">
        <f t="shared" ref="J1343" si="1425">SUM(J1344:J1345)</f>
        <v>1.0327150922999709E-3</v>
      </c>
      <c r="K1343" s="1">
        <f t="shared" ref="K1343:L1343" si="1426">SUM(K1344:K1345)</f>
        <v>2.2807918803759623E-7</v>
      </c>
      <c r="L1343" s="1">
        <f t="shared" si="1426"/>
        <v>3.3314729876341876E-7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2.4036788488796473E-5</v>
      </c>
      <c r="G1344" s="1">
        <f>[1]Transport!C$27/SUM([1]Transport!C$24,[1]Transport!C$27)*G1341*(G$47+G$614)/(G$47+G$614+G$49)</f>
        <v>5.6132036630202598E-5</v>
      </c>
      <c r="H1344" s="1">
        <f>[1]Transport!D$27/SUM([1]Transport!D$24,[1]Transport!D$27)*H1341*(H$47+H$614)/(H$47+H$614+H$49)</f>
        <v>2.0923471370719714E-3</v>
      </c>
      <c r="I1344" s="1">
        <f>[1]Transport!E$27/SUM([1]Transport!E$24,[1]Transport!E$27)*I1341*(I$47+I$614)/(I$47+I$614+I$49)</f>
        <v>4.3252487525925049E-7</v>
      </c>
      <c r="J1344" s="1">
        <f>[2]Transport!F$27/SUM([2]Transport!F$24,[2]Transport!F$27)*J1341*(J$47+J$614)/(J$47+J$614+J$49)</f>
        <v>2.9312850440766828E-7</v>
      </c>
      <c r="K1344" s="1">
        <f>[2]Transport!G$27/SUM([2]Transport!G$24,[2]Transport!G$27)*K1341*(K$47+K$614)/(K$47+K$614+K$49)</f>
        <v>2.2807918803759623E-7</v>
      </c>
      <c r="L1344" s="1">
        <f>[2]Transport!H$27/SUM([2]Transport!H$24,[2]Transport!H$27)*L1341*(L$47+L$614)/(L$47+L$614+L$49)</f>
        <v>3.3314729876341876E-7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1.0324219637955633E-3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3.1538817032871239E-4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3.1685019038661801E-4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3.1614782606525225E-4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1.1583710728243469E-4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1.2962972023916001E-3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2.6140184314458954E-6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1.5513533119945965E-6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1.0618202905752237E-6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8.99529542523524E-7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7.7043656039680805E-5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7.7469658534519772E-3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6.0542635639194861E-5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1.2652818486525349E-2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3.9056807429566589E-6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1.0555988585158577E-4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0.29541071878852615</v>
      </c>
      <c r="G1351" s="3">
        <f t="shared" ref="G1351:K1351" si="1427">SUM(G1352:G1374)</f>
        <v>0.30117187832353931</v>
      </c>
      <c r="H1351" s="3">
        <f t="shared" si="1427"/>
        <v>0.30909954370934378</v>
      </c>
      <c r="I1351" s="3">
        <f t="shared" si="1427"/>
        <v>0.32279886338240266</v>
      </c>
      <c r="J1351" s="3">
        <f t="shared" si="1427"/>
        <v>0.33688380187020683</v>
      </c>
      <c r="K1351" s="3">
        <f t="shared" si="1427"/>
        <v>0.35121191056983864</v>
      </c>
      <c r="L1351" s="3">
        <f t="shared" ref="L1351" si="1428">SUM(L1352:L1374)</f>
        <v>0.37570274143326932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1.9840509892603314E-3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1.6041474518981127E-3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1.0037099059564199E-3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2.360015053953575E-7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9.6058253440471522E-4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1.5794818592743496E-3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0.10970839317868122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0.1142326688014307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0.11839994233759035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7.025803267300107E-2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4.0446082325551502E-4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7.465419928982637E-4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1.2333554013583133E-3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3.9538311626230775E-2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4.1124677813407486E-2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4.2812347693116849E-2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4.597986864826429E-2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1.0838906266710043E-3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2.13434975647655E-3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2.4789486846715368E-3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0.13023753137439809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0.12393832010059368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0.12303859815613415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0.19784763724143845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3.502448829889439E-5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6.8322044612628086E-5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8.8003799386200318E-5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3.7710306412568146E-5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3.204152732933642E-5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3.7384953166133939E-5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1.8803586467717389E-5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3.1589399560720815E-4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4.716368208381752E-4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1.0575471232917764E-4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3.8873122189254472E-4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1.0894357078295341E-3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5.759454558071609E-2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6.7724031036547929E-5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1.3464299746005141E-4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1.1235253373171162E-4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2.5567628714326087E-4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3.2756940453280341E-4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1.6739792519701675E-4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1.1858165801099761E-4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4.3020565731133088E-2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4.3046309937164462E-2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5.6904314411153456E-2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6.549632982372712E-2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3.8345092479663478E-3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4.8796746892713081E-6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9.2154129577855911E-6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6.9339287345815602E-6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7.1054084329866696E-6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1.0140130923646817E-5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1.7953367242159544E-6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0.24218170847327064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0.1937664903288642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0.12109049757336017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3.4085564306587932E-5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3.3394830135636877E-2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6.052730834583335E-2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5.211833281884923E-6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4.0849162349428099E-8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9.5444028907618935E-3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1.1742058969594566E-2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2.0644288399427835E-2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3.5542755603659763E-2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5.2636854678464073E-2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5.2947197399464144E-2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1.9454667496198718E-4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4.1979559129866991E-5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4.2379691811822505E-5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4.4055566525741151E-3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3.5446018367057529E-3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2.2176091629792219E-3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1.3927966474477636E-5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1.6348896543197966E-4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3.5395143820137773E-7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2.254496610920276E-7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1.6236281802283658E-7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1.5119349405920119E-7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6.5485625493767262E-6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6.9232558452318727E-4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3.4159446681297049E-6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7.5075020313825774E-4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1.472018176808406E-7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4.1377703379119181E-6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434">IFERROR(G1352/G1317,"-")</f>
        <v>3.3737507326839338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0.37869321701871766</v>
      </c>
      <c r="G1377" s="1">
        <f t="shared" si="1436"/>
        <v>0.39242172610251852</v>
      </c>
      <c r="H1377" s="1">
        <f t="shared" si="1436"/>
        <v>0.40041950125720926</v>
      </c>
      <c r="I1377" s="1">
        <f t="shared" si="1436"/>
        <v>0.44722582259710453</v>
      </c>
      <c r="J1377" s="1">
        <f t="shared" si="1436"/>
        <v>0.47090179522092618</v>
      </c>
      <c r="K1377" s="1">
        <f t="shared" si="1436"/>
        <v>0.47249455818465558</v>
      </c>
      <c r="L1377" s="1">
        <f t="shared" ref="L1377" si="1437">IFERROR(L1353/L1318,"-")</f>
        <v>0.52171537825340197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0.27518070496490743</v>
      </c>
      <c r="G1378" s="1">
        <f t="shared" si="1438"/>
        <v>0.27847727966585528</v>
      </c>
      <c r="H1378" s="1">
        <f t="shared" si="1438"/>
        <v>0.28652008619743918</v>
      </c>
      <c r="I1378" s="1">
        <f t="shared" si="1438"/>
        <v>0.32357011754068604</v>
      </c>
      <c r="J1378" s="1">
        <f t="shared" si="1438"/>
        <v>0.33946826938078883</v>
      </c>
      <c r="K1378" s="1">
        <f t="shared" si="1438"/>
        <v>0.34352181253981995</v>
      </c>
      <c r="L1378" s="1">
        <f t="shared" ref="L1378" si="1439">IFERROR(L1354/L1319,"-")</f>
        <v>0.38208875994309094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0.1829704071343993</v>
      </c>
      <c r="G1379" s="1">
        <f t="shared" si="1440"/>
        <v>0.18437381488517599</v>
      </c>
      <c r="H1379" s="1">
        <f t="shared" si="1440"/>
        <v>0.18631555830870453</v>
      </c>
      <c r="I1379" s="1">
        <f t="shared" si="1440"/>
        <v>0.21571321281260772</v>
      </c>
      <c r="J1379" s="1">
        <f t="shared" si="1440"/>
        <v>0.21863980786596812</v>
      </c>
      <c r="K1379" s="1">
        <f t="shared" si="1440"/>
        <v>0.23622062099379157</v>
      </c>
      <c r="L1379" s="1">
        <f t="shared" ref="L1379" si="1441">IFERROR(L1355/L1320,"-")</f>
        <v>0.25810527286712642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0.12198710645807105</v>
      </c>
      <c r="G1380" s="1">
        <f t="shared" si="1442"/>
        <v>0.12419388937499326</v>
      </c>
      <c r="H1380" s="1">
        <f t="shared" si="1442"/>
        <v>0.12677533229336285</v>
      </c>
      <c r="I1380" s="1">
        <f t="shared" si="1442"/>
        <v>0.13692589761236368</v>
      </c>
      <c r="J1380" s="1">
        <f t="shared" si="1442"/>
        <v>0.15035611334067603</v>
      </c>
      <c r="K1380" s="1">
        <f t="shared" si="1442"/>
        <v>0.1568336085312888</v>
      </c>
      <c r="L1380" s="1">
        <f t="shared" ref="L1380" si="1443">IFERROR(L1356/L1321,"-")</f>
        <v>0.16946041293003478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 t="str">
        <f t="shared" si="1444"/>
        <v>-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0.16251369968883864</v>
      </c>
      <c r="H1385" s="1">
        <f t="shared" si="1452"/>
        <v>0.16514659122556904</v>
      </c>
      <c r="I1385" s="1">
        <f t="shared" si="1452"/>
        <v>0.1750141680654772</v>
      </c>
      <c r="J1385" s="1">
        <f t="shared" si="1452"/>
        <v>0.1908802903355214</v>
      </c>
      <c r="K1385" s="1">
        <f t="shared" si="1452"/>
        <v>0.20140713972790988</v>
      </c>
      <c r="L1385" s="1">
        <f t="shared" ref="L1385" si="1453">IFERROR(L1361/L1332,"-")</f>
        <v>0.2247845942339011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0.11649393435744135</v>
      </c>
      <c r="H1386" s="1">
        <f t="shared" si="1454"/>
        <v>0.11924129921115846</v>
      </c>
      <c r="I1386" s="1">
        <f t="shared" si="1454"/>
        <v>0.12464916487475367</v>
      </c>
      <c r="J1386" s="1">
        <f t="shared" si="1454"/>
        <v>0.13458376525495383</v>
      </c>
      <c r="K1386" s="1">
        <f t="shared" si="1454"/>
        <v>0.14262764318772289</v>
      </c>
      <c r="L1386" s="1">
        <f t="shared" ref="L1386" si="1455">IFERROR(L1362/L1333,"-")</f>
        <v>0.15081975560653649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7.8235828164578886E-2</v>
      </c>
      <c r="H1387" s="1">
        <f t="shared" si="1456"/>
        <v>8.2191060435936686E-2</v>
      </c>
      <c r="I1387" s="1">
        <f t="shared" si="1456"/>
        <v>8.2206513218154281E-2</v>
      </c>
      <c r="J1387" s="1">
        <f t="shared" si="1456"/>
        <v>9.3546177012727272E-2</v>
      </c>
      <c r="K1387" s="1">
        <f t="shared" si="1456"/>
        <v>9.4575381681717377E-2</v>
      </c>
      <c r="L1387" s="1">
        <f t="shared" ref="L1387" si="1457">IFERROR(L1363/L1334,"-")</f>
        <v>9.8846919388840895E-2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5.2751439830497689E-2</v>
      </c>
      <c r="H1388" s="1">
        <f t="shared" si="1458"/>
        <v>5.3859304277905917E-2</v>
      </c>
      <c r="I1388" s="1">
        <f t="shared" si="1458"/>
        <v>5.6884685223163305E-2</v>
      </c>
      <c r="J1388" s="1">
        <f t="shared" si="1458"/>
        <v>6.3037726506156258E-2</v>
      </c>
      <c r="K1388" s="1">
        <f t="shared" si="1458"/>
        <v>6.5098082540495691E-2</v>
      </c>
      <c r="L1388" s="1">
        <f t="shared" ref="L1388" si="1459">IFERROR(L1364/L1335,"-")</f>
        <v>7.0715474025043745E-2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13.968680714886805</v>
      </c>
      <c r="G1389" s="1">
        <f t="shared" ref="G1389:K1389" si="1460">IFERROR(G1365/G1336,"-")</f>
        <v>11.189596541502638</v>
      </c>
      <c r="H1389" s="1">
        <f t="shared" si="1460"/>
        <v>7.0209702814264219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0.12851077686985904</v>
      </c>
      <c r="H1390" s="1">
        <f t="shared" si="1462"/>
        <v>0.1315128308744975</v>
      </c>
      <c r="I1390" s="1">
        <f t="shared" si="1462"/>
        <v>0.12391916748597492</v>
      </c>
      <c r="J1390" s="1">
        <f t="shared" si="1462"/>
        <v>0.15483918724546683</v>
      </c>
      <c r="K1390" s="1" t="str">
        <f t="shared" si="1462"/>
        <v>-</v>
      </c>
      <c r="L1390" s="1" t="str">
        <f t="shared" ref="L1390" si="1463">IFERROR(L1366/L1337,"-")</f>
        <v>-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8.7465847585616679E-2</v>
      </c>
      <c r="G1391" s="1">
        <f t="shared" si="1464"/>
        <v>8.7782663334596098E-2</v>
      </c>
      <c r="H1391" s="1">
        <f t="shared" si="1464"/>
        <v>9.077786758260474E-2</v>
      </c>
      <c r="I1391" s="1" t="str">
        <f t="shared" si="1464"/>
        <v>-</v>
      </c>
      <c r="J1391" s="1" t="str">
        <f t="shared" si="1464"/>
        <v>-</v>
      </c>
      <c r="K1391" s="1" t="str">
        <f t="shared" si="1464"/>
        <v>-</v>
      </c>
      <c r="L1391" s="1" t="str">
        <f t="shared" ref="L1391" si="1465">IFERROR(L1367/L1338,"-")</f>
        <v>-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5.7949527986548711E-2</v>
      </c>
      <c r="G1392" s="1">
        <f t="shared" si="1466"/>
        <v>5.8180661237605437E-2</v>
      </c>
      <c r="H1392" s="1">
        <f t="shared" si="1466"/>
        <v>5.8200581503533598E-2</v>
      </c>
      <c r="I1392" s="1" t="str">
        <f t="shared" si="1466"/>
        <v>-</v>
      </c>
      <c r="J1392" s="1" t="str">
        <f t="shared" si="1466"/>
        <v>-</v>
      </c>
      <c r="K1392" s="1" t="str">
        <f t="shared" si="1466"/>
        <v>-</v>
      </c>
      <c r="L1392" s="1" t="str">
        <f t="shared" ref="L1392" si="1467">IFERROR(L1368/L1339,"-")</f>
        <v>-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3.8646481387947573E-2</v>
      </c>
      <c r="G1393" s="1">
        <f t="shared" si="1468"/>
        <v>3.8897037049101142E-2</v>
      </c>
      <c r="H1393" s="1">
        <f t="shared" si="1468"/>
        <v>3.9209408451221651E-2</v>
      </c>
      <c r="I1393" s="1" t="str">
        <f t="shared" si="1468"/>
        <v>-</v>
      </c>
      <c r="J1393" s="1" t="str">
        <f t="shared" si="1468"/>
        <v>-</v>
      </c>
      <c r="K1393" s="1" t="str">
        <f t="shared" si="1468"/>
        <v>-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13.968680714886791</v>
      </c>
      <c r="G1394" s="1">
        <f t="shared" ref="G1394:K1394" si="1470">IFERROR(G1370/G1346,"-")</f>
        <v>11.186996076539069</v>
      </c>
      <c r="H1394" s="1">
        <f t="shared" si="1470"/>
        <v>7.0144691190174813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0.12023751974847222</v>
      </c>
      <c r="H1395" s="1">
        <f t="shared" si="1472"/>
        <v>0.12611997089120544</v>
      </c>
      <c r="I1395" s="1">
        <f t="shared" si="1472"/>
        <v>0.13540510424235844</v>
      </c>
      <c r="J1395" s="1">
        <f t="shared" si="1472"/>
        <v>0.14532451076677294</v>
      </c>
      <c r="K1395" s="1">
        <f t="shared" si="1472"/>
        <v>0.15290988452940485</v>
      </c>
      <c r="L1395" s="1">
        <f t="shared" ref="L1395" si="1473">IFERROR(L1371/L1347,"-")</f>
        <v>0.16808063205466903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8.4998076233608832E-2</v>
      </c>
      <c r="H1396" s="1">
        <f t="shared" si="1474"/>
        <v>8.9367321041526643E-2</v>
      </c>
      <c r="I1396" s="1" t="str">
        <f t="shared" si="1474"/>
        <v>-</v>
      </c>
      <c r="J1396" s="1" t="str">
        <f t="shared" si="1474"/>
        <v>-</v>
      </c>
      <c r="K1396" s="1" t="str">
        <f t="shared" si="1474"/>
        <v>-</v>
      </c>
      <c r="L1396" s="1" t="str">
        <f t="shared" ref="L1396" si="1475">IFERROR(L1372/L1348,"-")</f>
        <v>-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5.6422133461237145E-2</v>
      </c>
      <c r="H1397" s="1">
        <f t="shared" si="1476"/>
        <v>5.9334622079481425E-2</v>
      </c>
      <c r="I1397" s="1" t="str">
        <f t="shared" si="1476"/>
        <v>-</v>
      </c>
      <c r="J1397" s="1" t="str">
        <f t="shared" si="1476"/>
        <v>-</v>
      </c>
      <c r="K1397" s="1" t="str">
        <f t="shared" si="1476"/>
        <v>-</v>
      </c>
      <c r="L1397" s="1" t="str">
        <f t="shared" ref="L1397" si="1477">IFERROR(L1373/L1349,"-")</f>
        <v>-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3.7689157759834363E-2</v>
      </c>
      <c r="H1398" s="1">
        <f t="shared" si="1478"/>
        <v>3.9198321450721413E-2</v>
      </c>
      <c r="I1398" s="1" t="str">
        <f t="shared" si="1478"/>
        <v>-</v>
      </c>
      <c r="J1398" s="1" t="str">
        <f t="shared" si="1478"/>
        <v>-</v>
      </c>
      <c r="K1398" s="1" t="str">
        <f t="shared" si="1478"/>
        <v>-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0.81081588749761557</v>
      </c>
      <c r="G1399" s="3">
        <f t="shared" ref="G1399" si="1480">G1400+G1406+G1411+G1425</f>
        <v>0.84274697054901282</v>
      </c>
      <c r="H1399" s="3">
        <f t="shared" ref="H1399" si="1481">H1400+H1406+H1411+H1425</f>
        <v>1.0093037055737766</v>
      </c>
      <c r="I1399" s="3">
        <f t="shared" ref="I1399" si="1482">I1400+I1406+I1411+I1425</f>
        <v>0.5260888299731763</v>
      </c>
      <c r="J1399" s="3">
        <f t="shared" ref="J1399" si="1483">J1400+J1406+J1411+J1425</f>
        <v>0.51259171594321173</v>
      </c>
      <c r="K1399" s="3">
        <f t="shared" ref="K1399:L1399" si="1484">K1400+K1406+K1411+K1425</f>
        <v>0.46303974048451246</v>
      </c>
      <c r="L1399" s="3">
        <f t="shared" si="1484"/>
        <v>0.38048609520541987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2.3144357725359216E-3</v>
      </c>
      <c r="G1400" s="1">
        <f t="shared" ref="G1400" si="1485">SUM(G1401:G1405)</f>
        <v>4.1545885377463924E-3</v>
      </c>
      <c r="H1400" s="1">
        <f t="shared" ref="H1400" si="1486">SUM(H1401:H1405)</f>
        <v>5.3056845409502236E-3</v>
      </c>
      <c r="I1400" s="1">
        <f t="shared" ref="I1400" si="1487">SUM(I1401:I1405)</f>
        <v>0.28066505616650739</v>
      </c>
      <c r="J1400" s="1">
        <f t="shared" ref="J1400" si="1488">SUM(J1401:J1405)</f>
        <v>0.2690755199429134</v>
      </c>
      <c r="K1400" s="1">
        <f t="shared" ref="K1400:L1400" si="1489">SUM(K1401:K1405)</f>
        <v>0.27773322293554958</v>
      </c>
      <c r="L1400" s="1">
        <f t="shared" si="1489"/>
        <v>0.2676834805740298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3.9669405076118384E-4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1.1245234176015392E-3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1.4836758910561096E-3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0.14404835235618021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0.13629414456549985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0.10442660256313527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8.0542864810025566E-2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1.3493235637779149E-3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1.7328905200551348E-3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2.2136903973609063E-3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0.13495502012736191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0.13012569736992993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0.1555804376233493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0.14655649645295174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5.6841815799682266E-4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1.1508012709681736E-3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1.3588264910223786E-3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1.4372675039310224E-3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2.4616233581284679E-3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1.7416475066810891E-2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4.0483560628722118E-2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1.463733291215453E-4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2.4949176151082896E-4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2.2441617903423504E-4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1.9405464935514123E-4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3.0970768225413301E-4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1.0055868233041418E-4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0.80836298373219662</v>
      </c>
      <c r="G1411" s="1">
        <f t="shared" ref="G1411:K1411" si="1497">SUM(G1416:G1424)</f>
        <v>0.8381647300047097</v>
      </c>
      <c r="H1411" s="1">
        <f t="shared" si="1497"/>
        <v>1.0017061867647339</v>
      </c>
      <c r="I1411" s="1">
        <f t="shared" si="1497"/>
        <v>0.24542377380666885</v>
      </c>
      <c r="J1411" s="1">
        <f t="shared" si="1497"/>
        <v>0.24351619600029834</v>
      </c>
      <c r="K1411" s="1">
        <f t="shared" si="1497"/>
        <v>0.18530651754896285</v>
      </c>
      <c r="L1411" s="1">
        <f t="shared" ref="L1411" si="1498">SUM(L1416:L1424)</f>
        <v>0.11280261463139006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0.78887549273281077</v>
      </c>
      <c r="G1412" s="1">
        <f t="shared" ref="G1412:L1412" si="1499">IF(G1411-G1413&lt;0,0,G1411-G1413)</f>
        <v>0.81632156893245511</v>
      </c>
      <c r="H1412" s="1">
        <f t="shared" si="1499"/>
        <v>0.97017255147855486</v>
      </c>
      <c r="I1412" s="1">
        <f t="shared" si="1499"/>
        <v>0.23582574465783673</v>
      </c>
      <c r="J1412" s="1">
        <f t="shared" si="1499"/>
        <v>0.23257645866340892</v>
      </c>
      <c r="K1412" s="1">
        <f t="shared" si="1499"/>
        <v>0.1780477948614462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1.9487490999385824E-2</v>
      </c>
      <c r="G1413" s="1">
        <f t="shared" ref="G1413" si="1500">SUM(G1414:G1415)</f>
        <v>2.1843161072254563E-2</v>
      </c>
      <c r="H1413" s="1">
        <f t="shared" ref="H1413" si="1501">SUM(H1414:H1415)</f>
        <v>3.1533635286179064E-2</v>
      </c>
      <c r="I1413" s="1">
        <f t="shared" ref="I1413" si="1502">SUM(I1414:I1415)</f>
        <v>9.5980291488321264E-3</v>
      </c>
      <c r="J1413" s="1">
        <f t="shared" ref="J1413" si="1503">SUM(J1414:J1415)</f>
        <v>1.0939737336889403E-2</v>
      </c>
      <c r="K1413" s="1">
        <f t="shared" ref="K1413:L1413" si="1504">SUM(K1414:K1415)</f>
        <v>7.2587226875166395E-3</v>
      </c>
      <c r="L1413" s="1">
        <f t="shared" si="1504"/>
        <v>0.13145509994766166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1.9487490999385824E-2</v>
      </c>
      <c r="G1414" s="1">
        <f>[1]Transport!C$26/SUM([1]Transport!C$22,[1]Transport!C$26)*G1411*(G$34+G$582)/(G$34+G$582+G$38)</f>
        <v>2.1843161072254563E-2</v>
      </c>
      <c r="H1414" s="1">
        <f>[1]Transport!D$26/SUM([1]Transport!D$22,[1]Transport!D$26)*H1411*(H$34+H$582)/(H$34+H$582+H$38)</f>
        <v>3.1533635286179064E-2</v>
      </c>
      <c r="I1414" s="1">
        <f>[1]Transport!E$26/SUM([1]Transport!E$22,[1]Transport!E$26)*I1411*(I$34+I$582)/(I$34+I$582+I$38)</f>
        <v>9.5980291488321264E-3</v>
      </c>
      <c r="J1414" s="1">
        <f>[2]Transport!F$26/SUM([2]Transport!F$22,[2]Transport!F$26)*J1411*(J$34+J$582)/(J$34+J$582+J$38)</f>
        <v>1.0939737336889403E-2</v>
      </c>
      <c r="K1414" s="1">
        <f>[2]Transport!G$26/SUM([2]Transport!G$22,[2]Transport!G$26)*K1411*(K$34+K$582)/(K$34+K$582+K$38)</f>
        <v>7.2587226875166395E-3</v>
      </c>
      <c r="L1414" s="1">
        <f>[2]Transport!H$26/SUM([2]Transport!H$22,[2]Transport!H$26)*L1411*(L$34+L$582)/(L$34+L$582+L$38)</f>
        <v>5.5447237457865325E-2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7.6007862489796338E-2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1.4660145262109334E-3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2.2499984590468704E-3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1.730162256549604E-3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7.4441307103994174E-3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7.6382955493149149E-2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9.4634710244636405E-2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6.6738528156329898E-4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4.4979654755368907E-2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0.10709203125022783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0.10600701927546176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2.3974782407135076E-2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3.0769464389873448E-3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4.4121949229357599E-4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1.9448478014883509E-2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0.1364137772460603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0.12993848737115471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8.4756034319835791E-2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1.5053967296886241E-2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1.2835319879987573E-4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2.2901207624791275E-4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1.8780305383112866E-4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1.2655864328246314E-4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1.9274532884284632E-4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3.6990650880067288E-5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6.0284112961008296E-3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6.0127547848458241E-3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5.9680474679348183E-3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0.11321524550003428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0.30793335539507949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0.37402171632102743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0.51908941503262362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0.39513826066336838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0.42575316027575816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0.15547516636516148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0.12530283485310656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0.1278722316823358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1.455474553827636E-2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1.0745518094418479E-3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1.1838877121303883E-3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1.3846799288306055E-4</v>
      </c>
      <c r="G1425" s="1">
        <f t="shared" ref="G1425" si="1505">SUM(G1430:G1434)</f>
        <v>4.2765200655672515E-4</v>
      </c>
      <c r="H1425" s="1">
        <f t="shared" ref="H1425" si="1506">SUM(H1430:H1434)</f>
        <v>2.2918342680923968E-3</v>
      </c>
      <c r="I1425" s="1">
        <f t="shared" ref="I1425" si="1507">SUM(I1430:I1434)</f>
        <v>0</v>
      </c>
      <c r="J1425" s="1">
        <f t="shared" ref="J1425" si="1508">SUM(J1430:J1434)</f>
        <v>0</v>
      </c>
      <c r="K1425" s="1">
        <f t="shared" ref="K1425:L1425" si="1509">SUM(K1430:K1434)</f>
        <v>0</v>
      </c>
      <c r="L1425" s="1">
        <f t="shared" si="1509"/>
        <v>0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1.27914883506988E-4</v>
      </c>
      <c r="G1426" s="1">
        <f t="shared" ref="G1426:L1426" si="1510">IF(G1425-G1427&lt;0,0,G1425-G1427)</f>
        <v>3.8584454441476716E-4</v>
      </c>
      <c r="H1426" s="1">
        <f t="shared" si="1510"/>
        <v>2.0750263035008462E-3</v>
      </c>
      <c r="I1426" s="1">
        <f t="shared" si="1510"/>
        <v>0</v>
      </c>
      <c r="J1426" s="1">
        <f t="shared" si="1510"/>
        <v>0</v>
      </c>
      <c r="K1426" s="1">
        <f t="shared" si="1510"/>
        <v>0</v>
      </c>
      <c r="L1426" s="1">
        <f t="shared" si="1510"/>
        <v>0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1.0553109376072553E-5</v>
      </c>
      <c r="G1427" s="1">
        <f t="shared" ref="G1427" si="1511">SUM(G1428:G1429)</f>
        <v>4.180746214195797E-5</v>
      </c>
      <c r="H1427" s="1">
        <f t="shared" ref="H1427" si="1512">SUM(H1428:H1429)</f>
        <v>2.1680796459155047E-4</v>
      </c>
      <c r="I1427" s="1">
        <f t="shared" ref="I1427" si="1513">SUM(I1428:I1429)</f>
        <v>0</v>
      </c>
      <c r="J1427" s="1">
        <f t="shared" ref="J1427" si="1514">SUM(J1428:J1429)</f>
        <v>0</v>
      </c>
      <c r="K1427" s="1">
        <f t="shared" ref="K1427:L1427" si="1515">SUM(K1428:K1429)</f>
        <v>0</v>
      </c>
      <c r="L1427" s="1">
        <f t="shared" si="1515"/>
        <v>0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1.0553109376072553E-5</v>
      </c>
      <c r="G1428" s="1">
        <f>[1]Transport!C$27/SUM([1]Transport!C$24,[1]Transport!C$27)*G1425*(G$47+G$614)/(G$47+G$614+G$49)</f>
        <v>4.180746214195797E-5</v>
      </c>
      <c r="H1428" s="1">
        <f>[1]Transport!D$27/SUM([1]Transport!D$24,[1]Transport!D$27)*H1425*(H$47+H$614)/(H$47+H$614+H$49)</f>
        <v>2.1680796459155047E-4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1.3846799288306055E-4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1.3760658024097419E-4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1.3671562642314622E-4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1.0479908515002331E-4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8.8555512174214631E-4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8.6547570695907805E-5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6.9489009335817024E-4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7.582311804918769E-5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4.4380054516331326E-4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2.287565242063212E-5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1.3087288140562059E-4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0.13099186183489528</v>
      </c>
      <c r="G1435" s="3">
        <f t="shared" ref="G1435" si="1516">SUM(G1436:G1458)</f>
        <v>0.1316494463353779</v>
      </c>
      <c r="H1435" s="3">
        <f t="shared" ref="H1435" si="1517">SUM(H1436:H1458)</f>
        <v>0.1326908606963102</v>
      </c>
      <c r="I1435" s="3">
        <f t="shared" ref="I1435" si="1518">SUM(I1436:I1458)</f>
        <v>0.13441651245149505</v>
      </c>
      <c r="J1435" s="3">
        <f t="shared" ref="J1435" si="1519">SUM(J1436:J1458)</f>
        <v>0.13463909032731364</v>
      </c>
      <c r="K1435" s="3">
        <f t="shared" ref="K1435:L1435" si="1520">SUM(K1436:K1458)</f>
        <v>0.1347282322904311</v>
      </c>
      <c r="L1435" s="3">
        <f t="shared" si="1520"/>
        <v>0.13114358790439559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1.5022534625493939E-4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4.3317050308942621E-4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5.8694953090052961E-4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6.438870818854639E-2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6.3381109575436273E-2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4.9249962219540561E-2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4.2381256018969408E-2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3.713078095061672E-4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4.8217092478066082E-4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6.2617083481943407E-4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4.3701941412509035E-2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4.3648937423531604E-2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5.4279890294841683E-2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5.5562350840128928E-2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1.0400370179126387E-4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2.131880722739176E-4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2.5462105045809041E-4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2.9071722151764474E-4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5.5172438153761776E-4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4.1437518196990571E-3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1.048891308212372E-2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1.8506608088997774E-5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3.2260298744036419E-5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3.1029068218753384E-5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2.9272935000954831E-5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4.873997719663828E-5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1.7175621453798484E-5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2.3824744445211877E-4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3.7236988769453729E-4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2.9954661859385976E-4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1.4189063910931092E-3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1.5569056302579383E-2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2.0752840175238686E-2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7.774633718155748E-5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5.4995269605821054E-3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1.3706982538786319E-2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1.3854498672322909E-2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3.2625415330024194E-3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4.4898321955035047E-4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3.4519172381942995E-5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1.5969304923932053E-3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1.1986831392887792E-2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1.1746681020531642E-2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8.1616974675034863E-3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1.4894354323469719E-3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6.7708160435435608E-6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1.2343392897294526E-5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1.0756010435251794E-5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7.9599278595020095E-6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1.2592676067876765E-5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2.6335145837133495E-6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5.9984197052671766E-2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4.7980139603766424E-2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2.998312574483173E-2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1.4029538969084536E-2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3.9011118356651046E-2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4.796233513807005E-2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4.5402595658550308E-2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3.4698244129038339E-2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3.7385286002256164E-2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9.0097125044912314E-3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7.2910045619349433E-3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7.4422583403372889E-3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5.6248970255130945E-4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4.1862540779609251E-5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4.6466247877181365E-5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1.37779108999376E-3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1.0976598396741904E-3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6.8585029397965215E-4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1.2600782070347742E-5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1.1148119256184335E-4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7.3563770118444259E-6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6.1678105783199069E-5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4.2781020860184059E-6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2.6078027513294675E-5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8.621640729403405E-7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5.1291546105314745E-6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0.37869321701871816</v>
      </c>
      <c r="G1461" s="1">
        <f t="shared" si="1528"/>
        <v>0.38520363054183615</v>
      </c>
      <c r="H1461" s="1">
        <f t="shared" si="1528"/>
        <v>0.39560495283287744</v>
      </c>
      <c r="I1461" s="1">
        <f t="shared" si="1528"/>
        <v>0.44699371520290682</v>
      </c>
      <c r="J1461" s="1">
        <f t="shared" si="1528"/>
        <v>0.46503178678359702</v>
      </c>
      <c r="K1461" s="1">
        <f t="shared" si="1528"/>
        <v>0.47162275713953761</v>
      </c>
      <c r="L1461" s="1">
        <f t="shared" ref="L1461" si="1529">IFERROR(L1437/L1402,"-")</f>
        <v>0.52619504060270283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0.27518070496490693</v>
      </c>
      <c r="G1462" s="1">
        <f t="shared" si="1530"/>
        <v>0.27824661696765457</v>
      </c>
      <c r="H1462" s="1">
        <f t="shared" si="1530"/>
        <v>0.28286287710600166</v>
      </c>
      <c r="I1462" s="1">
        <f t="shared" si="1530"/>
        <v>0.3238259782501306</v>
      </c>
      <c r="J1462" s="1">
        <f t="shared" si="1530"/>
        <v>0.33543672238269373</v>
      </c>
      <c r="K1462" s="1">
        <f t="shared" si="1530"/>
        <v>0.34888634537878066</v>
      </c>
      <c r="L1462" s="1">
        <f t="shared" ref="L1462" si="1531">IFERROR(L1438/L1403,"-")</f>
        <v>0.37911898950153888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0.18297040713439916</v>
      </c>
      <c r="G1463" s="1">
        <f t="shared" si="1532"/>
        <v>0.18525185681673922</v>
      </c>
      <c r="H1463" s="1">
        <f t="shared" si="1532"/>
        <v>0.18738304863817748</v>
      </c>
      <c r="I1463" s="1">
        <f t="shared" si="1532"/>
        <v>0.20227078168991769</v>
      </c>
      <c r="J1463" s="1">
        <f t="shared" si="1532"/>
        <v>0.2241302999160216</v>
      </c>
      <c r="K1463" s="1">
        <f t="shared" si="1532"/>
        <v>0.23792138212831918</v>
      </c>
      <c r="L1463" s="1">
        <f t="shared" ref="L1463" si="1533">IFERROR(L1439/L1404,"-")</f>
        <v>0.25909067580093453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0.12643429100140421</v>
      </c>
      <c r="H1464" s="1">
        <f t="shared" si="1534"/>
        <v>0.129304064185046</v>
      </c>
      <c r="I1464" s="1">
        <f t="shared" si="1534"/>
        <v>0.13826573624185914</v>
      </c>
      <c r="J1464" s="1">
        <f t="shared" si="1534"/>
        <v>0.15084892373478853</v>
      </c>
      <c r="K1464" s="1">
        <f t="shared" si="1534"/>
        <v>0.15737413047650628</v>
      </c>
      <c r="L1464" s="1">
        <f t="shared" ref="L1464" si="1535">IFERROR(L1440/L1405,"-")</f>
        <v>0.17080197408875236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0.16251369968883869</v>
      </c>
      <c r="H1469" s="1">
        <f t="shared" si="1544"/>
        <v>0.16549784120842384</v>
      </c>
      <c r="I1469" s="1">
        <f t="shared" si="1544"/>
        <v>0.17313209640304722</v>
      </c>
      <c r="J1469" s="1">
        <f t="shared" si="1544"/>
        <v>0.19060739880761407</v>
      </c>
      <c r="K1469" s="1">
        <f t="shared" si="1544"/>
        <v>0.20382893280393929</v>
      </c>
      <c r="L1469" s="1">
        <f t="shared" ref="L1469" si="1545">IFERROR(L1445/L1416,"-")</f>
        <v>0.21929416935489471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0.11649393435744138</v>
      </c>
      <c r="H1470" s="1">
        <f t="shared" si="1546"/>
        <v>0.12226698916415461</v>
      </c>
      <c r="I1470" s="1">
        <f t="shared" si="1546"/>
        <v>0.12799255349596481</v>
      </c>
      <c r="J1470" s="1">
        <f t="shared" si="1546"/>
        <v>0.13069416315085386</v>
      </c>
      <c r="K1470" s="1">
        <f t="shared" si="1546"/>
        <v>0.13608221662238998</v>
      </c>
      <c r="L1470" s="1">
        <f t="shared" ref="L1470" si="1547">IFERROR(L1446/L1417,"-")</f>
        <v>0.14591843844318445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7.8235828164578997E-2</v>
      </c>
      <c r="H1471" s="1">
        <f t="shared" si="1548"/>
        <v>8.2110820762997916E-2</v>
      </c>
      <c r="I1471" s="1">
        <f t="shared" si="1548"/>
        <v>8.7871120020862684E-2</v>
      </c>
      <c r="J1471" s="1">
        <f t="shared" si="1548"/>
        <v>9.0401860589453889E-2</v>
      </c>
      <c r="K1471" s="1">
        <f t="shared" si="1548"/>
        <v>9.6296358518904557E-2</v>
      </c>
      <c r="L1471" s="1">
        <f t="shared" ref="L1471" si="1549">IFERROR(L1447/L1418,"-")</f>
        <v>9.8939728177504835E-2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5.2751439830497751E-2</v>
      </c>
      <c r="H1472" s="1">
        <f t="shared" si="1550"/>
        <v>5.3898436709217103E-2</v>
      </c>
      <c r="I1472" s="1">
        <f t="shared" si="1550"/>
        <v>5.7272819668435913E-2</v>
      </c>
      <c r="J1472" s="1">
        <f t="shared" si="1550"/>
        <v>6.2895173755430051E-2</v>
      </c>
      <c r="K1472" s="1">
        <f t="shared" si="1550"/>
        <v>6.5333236055459085E-2</v>
      </c>
      <c r="L1472" s="1">
        <f t="shared" ref="L1472" si="1551">IFERROR(L1448/L1419,"-")</f>
        <v>7.1194059067839766E-2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9.9502495941956521</v>
      </c>
      <c r="G1473" s="1">
        <f t="shared" ref="G1473:K1473" si="1552">IFERROR(G1449/G1420,"-")</f>
        <v>7.9797266512003127</v>
      </c>
      <c r="H1473" s="1">
        <f t="shared" si="1552"/>
        <v>5.0239422367072901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0.12391916748597509</v>
      </c>
      <c r="G1474" s="1">
        <f t="shared" si="1554"/>
        <v>0.12668688751369483</v>
      </c>
      <c r="H1474" s="1">
        <f t="shared" si="1554"/>
        <v>0.12823409188599999</v>
      </c>
      <c r="I1474" s="1" t="str">
        <f t="shared" si="1554"/>
        <v>-</v>
      </c>
      <c r="J1474" s="1" t="str">
        <f t="shared" si="1554"/>
        <v>-</v>
      </c>
      <c r="K1474" s="1" t="str">
        <f t="shared" si="1554"/>
        <v>-</v>
      </c>
      <c r="L1474" s="1" t="str">
        <f t="shared" ref="L1474" si="1555">IFERROR(L1450/L1421,"-")</f>
        <v>-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8.7465847585616541E-2</v>
      </c>
      <c r="G1475" s="1">
        <f t="shared" si="1556"/>
        <v>8.7812919130600076E-2</v>
      </c>
      <c r="H1475" s="1">
        <f t="shared" si="1556"/>
        <v>8.7809767467238301E-2</v>
      </c>
      <c r="I1475" s="1" t="str">
        <f t="shared" si="1556"/>
        <v>-</v>
      </c>
      <c r="J1475" s="1" t="str">
        <f t="shared" si="1556"/>
        <v>-</v>
      </c>
      <c r="K1475" s="1" t="str">
        <f t="shared" si="1556"/>
        <v>-</v>
      </c>
      <c r="L1475" s="1" t="str">
        <f t="shared" ref="L1475" si="1557">IFERROR(L1451/L1422,"-")</f>
        <v>-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5.7949527986548642E-2</v>
      </c>
      <c r="G1476" s="1">
        <f t="shared" si="1558"/>
        <v>5.8187067918153978E-2</v>
      </c>
      <c r="H1476" s="1">
        <f t="shared" si="1558"/>
        <v>5.8200738678164152E-2</v>
      </c>
      <c r="I1476" s="1" t="str">
        <f t="shared" si="1558"/>
        <v>-</v>
      </c>
      <c r="J1476" s="1" t="str">
        <f t="shared" si="1558"/>
        <v>-</v>
      </c>
      <c r="K1476" s="1" t="str">
        <f t="shared" si="1558"/>
        <v>-</v>
      </c>
      <c r="L1476" s="1" t="str">
        <f t="shared" ref="L1476" si="1559">IFERROR(L1452/L1423,"-")</f>
        <v>-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3.8646481387947511E-2</v>
      </c>
      <c r="G1477" s="1">
        <f t="shared" si="1560"/>
        <v>3.8958140884201589E-2</v>
      </c>
      <c r="H1477" s="1">
        <f t="shared" si="1560"/>
        <v>3.9248864061242804E-2</v>
      </c>
      <c r="I1477" s="1" t="str">
        <f t="shared" si="1560"/>
        <v>-</v>
      </c>
      <c r="J1477" s="1" t="str">
        <f t="shared" si="1560"/>
        <v>-</v>
      </c>
      <c r="K1477" s="1" t="str">
        <f t="shared" si="1560"/>
        <v>-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562">IFERROR(G1454/G1430,"-")</f>
        <v>7.9767976048237523</v>
      </c>
      <c r="H1478" s="1">
        <f t="shared" si="1562"/>
        <v>5.0166196207658702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0.12023751974847215</v>
      </c>
      <c r="H1479" s="1">
        <f t="shared" si="1564"/>
        <v>0.12588848488903456</v>
      </c>
      <c r="I1479" s="1" t="str">
        <f t="shared" si="1564"/>
        <v>-</v>
      </c>
      <c r="J1479" s="1" t="str">
        <f t="shared" si="1564"/>
        <v>-</v>
      </c>
      <c r="K1479" s="1" t="str">
        <f t="shared" si="1564"/>
        <v>-</v>
      </c>
      <c r="L1479" s="1" t="str">
        <f t="shared" ref="L1479" si="1565">IFERROR(L1455/L1431,"-")</f>
        <v>-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8.4998076233608888E-2</v>
      </c>
      <c r="H1480" s="1">
        <f t="shared" si="1566"/>
        <v>8.8759512292266987E-2</v>
      </c>
      <c r="I1480" s="1" t="str">
        <f t="shared" si="1566"/>
        <v>-</v>
      </c>
      <c r="J1480" s="1" t="str">
        <f t="shared" si="1566"/>
        <v>-</v>
      </c>
      <c r="K1480" s="1" t="str">
        <f t="shared" si="1566"/>
        <v>-</v>
      </c>
      <c r="L1480" s="1" t="str">
        <f t="shared" ref="L1480" si="1567">IFERROR(L1456/L1432,"-")</f>
        <v>-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5.6422133461237131E-2</v>
      </c>
      <c r="H1481" s="1">
        <f t="shared" si="1568"/>
        <v>5.8760692832628844E-2</v>
      </c>
      <c r="I1481" s="1" t="str">
        <f t="shared" si="1568"/>
        <v>-</v>
      </c>
      <c r="J1481" s="1" t="str">
        <f t="shared" si="1568"/>
        <v>-</v>
      </c>
      <c r="K1481" s="1" t="str">
        <f t="shared" si="1568"/>
        <v>-</v>
      </c>
      <c r="L1481" s="1" t="str">
        <f t="shared" ref="L1481" si="1569">IFERROR(L1457/L1433,"-")</f>
        <v>-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3.7689157759834349E-2</v>
      </c>
      <c r="H1482" s="1">
        <f t="shared" si="1570"/>
        <v>3.9191882653171209E-2</v>
      </c>
      <c r="I1482" s="1" t="str">
        <f t="shared" si="1570"/>
        <v>-</v>
      </c>
      <c r="J1482" s="1" t="str">
        <f t="shared" si="1570"/>
        <v>-</v>
      </c>
      <c r="K1482" s="1" t="str">
        <f t="shared" si="1570"/>
        <v>-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0.45958965891661224</v>
      </c>
      <c r="K1483" s="3">
        <f t="shared" si="1572"/>
        <v>0.47237229295618205</v>
      </c>
      <c r="L1483" s="3">
        <f t="shared" si="1572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0.45958965891661224</v>
      </c>
      <c r="K1484" s="1">
        <f t="shared" si="1573"/>
        <v>0.47237229295618205</v>
      </c>
      <c r="L1484" s="1">
        <f t="shared" si="1573"/>
        <v>0.48809144422268363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3.1140487340042711E-2</v>
      </c>
      <c r="K1486" s="3">
        <f t="shared" si="1577"/>
        <v>3.2006602244411902E-2</v>
      </c>
      <c r="L1486" s="3">
        <f t="shared" si="1577"/>
        <v>3.3071687199031169E-2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6.7757154095786185E-2</v>
      </c>
      <c r="K1489" s="1">
        <f t="shared" si="1578"/>
        <v>6.7757154095786226E-2</v>
      </c>
      <c r="L1489" s="1">
        <f t="shared" ref="L1489" si="1579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0.7561616857731851</v>
      </c>
      <c r="K1490" s="3">
        <f t="shared" ref="K1490:L1491" si="1584">K1491</f>
        <v>0.77325934733858914</v>
      </c>
      <c r="L1490" s="3">
        <f t="shared" si="1584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0.7561616857731851</v>
      </c>
      <c r="K1491" s="1">
        <f t="shared" si="1584"/>
        <v>0.77325934733858914</v>
      </c>
      <c r="L1491" s="1">
        <f t="shared" si="1584"/>
        <v>0.79899112903654423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3.8185104274620588E-2</v>
      </c>
      <c r="K1493" s="3">
        <f t="shared" ref="K1493:L1493" si="1592">K1494</f>
        <v>3.9048512196511807E-2</v>
      </c>
      <c r="L1493" s="3">
        <f t="shared" si="1592"/>
        <v>4.0347931071859175E-2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5.0498597050147843E-2</v>
      </c>
      <c r="K1496" s="1">
        <f t="shared" si="1593"/>
        <v>5.0498597050147948E-2</v>
      </c>
      <c r="L1496" s="1">
        <f t="shared" ref="L1496" si="1594">L1494/L1492</f>
        <v>5.0498597050147906E-2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1.7047353795053435</v>
      </c>
      <c r="G1497" s="3">
        <f t="shared" ref="G1497:K1497" si="1595">SUM(G1498,G1503,G1508)</f>
        <v>1.6521357309662572</v>
      </c>
      <c r="H1497" s="3">
        <f t="shared" si="1595"/>
        <v>1.3732005529406281</v>
      </c>
      <c r="I1497" s="3">
        <f t="shared" si="1595"/>
        <v>1.1255891485558094</v>
      </c>
      <c r="J1497" s="3">
        <f t="shared" si="1595"/>
        <v>1.0159738879735793</v>
      </c>
      <c r="K1497" s="3">
        <f t="shared" si="1595"/>
        <v>0.65654510161294244</v>
      </c>
      <c r="L1497" s="3">
        <f t="shared" ref="L1497" si="1596">SUM(L1498,L1503,L1508)</f>
        <v>0.16174233379330358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5.6583552198662818E-2</v>
      </c>
      <c r="G1498" s="1">
        <f t="shared" ref="G1498:K1498" si="1598">SUM(G1499:G1502)</f>
        <v>5.7358497904560206E-2</v>
      </c>
      <c r="H1498" s="1">
        <f t="shared" si="1598"/>
        <v>5.7686881401448009E-2</v>
      </c>
      <c r="I1498" s="1">
        <f t="shared" si="1598"/>
        <v>4.2720230689753808E-2</v>
      </c>
      <c r="J1498" s="1">
        <f t="shared" si="1598"/>
        <v>3.5948477335262762E-3</v>
      </c>
      <c r="K1498" s="1">
        <f t="shared" si="1598"/>
        <v>7.5424222785634321E-2</v>
      </c>
      <c r="L1498" s="1">
        <f t="shared" ref="L1498" si="1599">SUM(L1499:L1502)</f>
        <v>0.16116773318493283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5.579983514317953E-2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5.632740709154526E-2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5.6428561239445202E-2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4.1319730294541633E-2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2.3681113557143304E-3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7.4213043782094132E-2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0.16043438178609573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4.5198036518284945E-4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5.3933154339173329E-4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6.1359045103627594E-4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6.2856765217878343E-4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3.9871933826245647E-4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3.7960347714655231E-4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2.4591673930429253E-4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1.5646245850134093E-4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2.4334726032427449E-4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3.1236689982244438E-4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3.7827445904256221E-4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4.1275423199237495E-4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3.4959693959414959E-4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1.9615760240829927E-4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1.7527423179909685E-4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2.4841200929893916E-4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3.3236281114408186E-4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3.9365828399083054E-4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4.1526280755711472E-4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4.8197858679949792E-4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2.9127705712449339E-4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0</v>
      </c>
      <c r="J1503" s="1">
        <f t="shared" si="1603"/>
        <v>0</v>
      </c>
      <c r="K1503" s="1">
        <f t="shared" si="1603"/>
        <v>5.7683510788217405E-4</v>
      </c>
      <c r="L1503" s="1">
        <f t="shared" ref="L1503" si="1604">SUM(L1504:L1507)</f>
        <v>5.7460060837075284E-4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0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2.3104210664896119E-4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1.9684752496361766E-4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0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1.540733049433025E-4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1.373950009853433E-4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0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1.1832673982157941E-4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1.3976486267626616E-4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0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7.3392956468330947E-5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1.0059321974552571E-4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1.6481518273066806</v>
      </c>
      <c r="G1508" s="1">
        <f t="shared" ref="G1508:K1508" si="1608">SUM(G1513:G1517)</f>
        <v>1.5947772330616969</v>
      </c>
      <c r="H1508" s="1">
        <f t="shared" si="1608"/>
        <v>1.3155136715391802</v>
      </c>
      <c r="I1508" s="1">
        <f t="shared" si="1608"/>
        <v>1.0828689178660555</v>
      </c>
      <c r="J1508" s="1">
        <f t="shared" si="1608"/>
        <v>1.012379040240053</v>
      </c>
      <c r="K1508" s="1">
        <f t="shared" si="1608"/>
        <v>0.58054404371942592</v>
      </c>
      <c r="L1508" s="1">
        <f t="shared" ref="L1508" si="1609">SUM(L1513:L1517)</f>
        <v>0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1.5579319393443234</v>
      </c>
      <c r="G1509" s="1">
        <f t="shared" ref="G1509:K1509" si="1610">IF(G1508-G1510&lt;0,0,G1508-G1510)</f>
        <v>1.5074789014133108</v>
      </c>
      <c r="H1509" s="1">
        <f t="shared" si="1610"/>
        <v>1.2281045169334621</v>
      </c>
      <c r="I1509" s="1">
        <f t="shared" si="1610"/>
        <v>1.0235903178449506</v>
      </c>
      <c r="J1509" s="1">
        <f t="shared" si="1610"/>
        <v>0.95692063568094532</v>
      </c>
      <c r="K1509" s="1">
        <f t="shared" si="1610"/>
        <v>0.40158341040582435</v>
      </c>
      <c r="L1509" s="1">
        <f>IFERROR(IF(L1508-L1510&lt;0,0,L1508-L1510),0)</f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9.0219887962357317E-2</v>
      </c>
      <c r="G1510" s="1">
        <f t="shared" ref="G1510" si="1613">SUM(G1511:G1512)</f>
        <v>8.7298331648386213E-2</v>
      </c>
      <c r="H1510" s="1">
        <f t="shared" ref="H1510" si="1614">SUM(H1511:H1512)</f>
        <v>8.7409154605718048E-2</v>
      </c>
      <c r="I1510" s="1">
        <f t="shared" ref="I1510" si="1615">SUM(I1511:I1512)</f>
        <v>5.927860002110498E-2</v>
      </c>
      <c r="J1510" s="1">
        <f t="shared" ref="J1510" si="1616">SUM(J1511:J1512)</f>
        <v>5.5458404559107652E-2</v>
      </c>
      <c r="K1510" s="1">
        <f t="shared" ref="K1510" si="1617">SUM(K1511:K1512)</f>
        <v>0.17896063331360154</v>
      </c>
      <c r="L1510" s="1">
        <f>IFERROR(SUM(L1511:L1512),0)</f>
        <v>0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9.0219887962357317E-2</v>
      </c>
      <c r="G1511" s="1">
        <f>[1]Transport!C$25/SUM([1]Transport!C$21,[1]Transport!C$25)*G1508*(G$35+G$600)/(G$35+G$600+G$39)</f>
        <v>8.7298331648386213E-2</v>
      </c>
      <c r="H1511" s="1">
        <f>[1]Transport!D$25/SUM([1]Transport!D$21,[1]Transport!D$25)*H1508*(H$35+H$600)/(H$35+H$600+H$39)</f>
        <v>8.7409154605718048E-2</v>
      </c>
      <c r="I1511" s="1">
        <f>[1]Transport!E$25/SUM([1]Transport!E$21,[1]Transport!E$25)*I1508*(I$35+I$600)/(I$35+I$600+I$39)</f>
        <v>5.927860002110498E-2</v>
      </c>
      <c r="J1511" s="1">
        <f>[2]Transport!F$25/SUM([2]Transport!F$21,[2]Transport!F$25)*J1508*(J$35+J$600)/(J$35+J$600+J$39)</f>
        <v>5.5458404559107652E-2</v>
      </c>
      <c r="K1511" s="1">
        <f>[2]Transport!G$25/SUM([2]Transport!G$21,[2]Transport!G$25)*K1508*(K$35+K$600)/(K$35+K$600+K$39)</f>
        <v>0.17896063331360154</v>
      </c>
      <c r="L1511" s="1">
        <f>IFERROR([2]Transport!H$25/SUM([2]Transport!H$21,[2]Transport!H$25)*L1508*(L$35+L$600)/(L$35+L$600+L$39),0)</f>
        <v>0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IFERROR((L$39+L$719)/([2]Transport!H$21+[2]Transport!H$25)*L1508,0)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1.5006807460782481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1.4037377078476365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0.95339607952798966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0.45317229502034811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4.4339191595118774E-2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4.0129611496639309E-2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0.21066329029768166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0.50304211136203858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0.92078414861765412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0.51331261328208999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2.7195145473101773E-2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8.4490451247049014E-2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8.4453916011392127E-2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6.1099122640890784E-2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1.0636209859314421E-2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5.9989003344238445E-4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0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4.6892991871383231E-2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1.4283198798955229E-2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1.4475713340171493E-2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1.3901376949828563E-2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2.649787430390672E-2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1.2620121642890692E-2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0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2.9043752288828641E-2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5.2136263671416834E-2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5.2524672361945211E-2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5.1654011892949353E-2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5.4460807459177717E-2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5.4011418761002794E-2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0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1.9491479229273976</v>
      </c>
      <c r="G1518" s="3">
        <f t="shared" ref="G1518:K1518" si="1620">SUM(G1519:G1531)</f>
        <v>1.9513896623548095</v>
      </c>
      <c r="H1518" s="3">
        <f t="shared" si="1620"/>
        <v>1.955434413378089</v>
      </c>
      <c r="I1518" s="3">
        <f t="shared" si="1620"/>
        <v>1.9617061130551303</v>
      </c>
      <c r="J1518" s="3">
        <f t="shared" si="1620"/>
        <v>1.9643128058980286</v>
      </c>
      <c r="K1518" s="3">
        <f t="shared" si="1620"/>
        <v>1.9656314124476539</v>
      </c>
      <c r="L1518" s="3">
        <f t="shared" ref="L1518" si="1621">SUM(L1519:L1531)</f>
        <v>1.9092351509852497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0.61931829755988221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0.62518962679505985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0.62632782927815045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0.45867783045264093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2.7241687777329052E-2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0.86417951862531728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1.9038346576827863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2.8404816165603264E-3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3.3916604152922879E-3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3.8656515278388012E-3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3.9751894346799288E-3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2.5781372477289748E-3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2.4822775911751485E-3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1.6318900060007342E-3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6.3995387220446606E-4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9.9714642602767491E-4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1.284140046003118E-3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1.562713584538205E-3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1.7159019025296499E-3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1.4720061349310753E-3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8.5015399858125813E-4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6.5991685690833517E-4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9.3712195515533467E-4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1.2589305906405505E-3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1.4983848330229722E-3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1.5918743864447658E-3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1.8600085161376856E-3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1.1544577262348091E-3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0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1.0992902654694717E-3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9.5830356283606701E-4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0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4.2531995319003131E-4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3.8644127128956103E-4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0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2.1249710406193078E-4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2.5562306199089719E-4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0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1.1737754611710509E-4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1.6362367553012164E-4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1.1572726256398123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1.1050761288381277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0.77353616145433179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0.38589036107976427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8.4594017963005544E-2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7.6617942047444071E-2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0.40960249425763906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0.99734564882685528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1.8630576661090226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1.0472279899477885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2.9989799792555279E-2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9.342248128365592E-2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9.339165366261766E-2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6.7588039005942624E-2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1.1826386517057686E-2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7.0471742470724474E-4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0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3.4205013464370312E-2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1.044668574559419E-2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1.0591656919317571E-2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1.0178367212403254E-2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1.9410528175438813E-2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9.2614175105531649E-3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0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1.9627816162098521E-2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3.5310868848452567E-2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3.5575895641550115E-2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3.4989578625282944E-2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3.6890623782477185E-2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3.6588991828205124E-2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0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11.098927012431902</v>
      </c>
      <c r="G1533" s="1">
        <f t="shared" si="1625"/>
        <v>11.099208344154382</v>
      </c>
      <c r="H1533" s="1">
        <f t="shared" si="1625"/>
        <v>11.099482523051272</v>
      </c>
      <c r="I1533" s="1">
        <f t="shared" si="1625"/>
        <v>11.100697588852187</v>
      </c>
      <c r="J1533" s="1">
        <f t="shared" si="1625"/>
        <v>11.503550165237781</v>
      </c>
      <c r="K1533" s="1">
        <f t="shared" si="1625"/>
        <v>11.644577214252781</v>
      </c>
      <c r="L1533" s="1">
        <f t="shared" ref="L1533" si="1626">IFERROR(L1519/L1499,"-")</f>
        <v>11.866749735858582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6.284524362935997</v>
      </c>
      <c r="G1534" s="1">
        <f t="shared" si="1625"/>
        <v>6.2886372155481718</v>
      </c>
      <c r="H1534" s="1">
        <f t="shared" si="1625"/>
        <v>6.3000516408138507</v>
      </c>
      <c r="I1534" s="1">
        <f t="shared" si="1625"/>
        <v>6.3242030048807951</v>
      </c>
      <c r="J1534" s="1">
        <f t="shared" si="1625"/>
        <v>6.4660451608994176</v>
      </c>
      <c r="K1534" s="1">
        <f t="shared" si="1625"/>
        <v>6.539132912675675</v>
      </c>
      <c r="L1534" s="1">
        <f t="shared" ref="L1534" si="1627">IFERROR(L1520/L1500,"-")</f>
        <v>6.6359452008733149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4.0901432735634886</v>
      </c>
      <c r="G1535" s="1">
        <f t="shared" si="1625"/>
        <v>4.0976275003010878</v>
      </c>
      <c r="H1535" s="1">
        <f t="shared" si="1625"/>
        <v>4.1109991062851057</v>
      </c>
      <c r="I1535" s="1">
        <f t="shared" si="1625"/>
        <v>4.1311633581964191</v>
      </c>
      <c r="J1535" s="1">
        <f t="shared" si="1625"/>
        <v>4.157200022509639</v>
      </c>
      <c r="K1535" s="1">
        <f t="shared" si="1625"/>
        <v>4.2105807237327113</v>
      </c>
      <c r="L1535" s="1">
        <f t="shared" ref="L1535" si="1628">IFERROR(L1521/L1501,"-")</f>
        <v>4.3340354293874102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3.7650534829600413</v>
      </c>
      <c r="G1536" s="1">
        <f t="shared" si="1625"/>
        <v>3.7724502845093997</v>
      </c>
      <c r="H1536" s="1">
        <f t="shared" si="1625"/>
        <v>3.7878202627633759</v>
      </c>
      <c r="I1536" s="1">
        <f t="shared" si="1625"/>
        <v>3.8063083998452676</v>
      </c>
      <c r="J1536" s="1">
        <f t="shared" si="1625"/>
        <v>3.8334143040869879</v>
      </c>
      <c r="K1536" s="1">
        <f t="shared" si="1625"/>
        <v>3.8591102739413716</v>
      </c>
      <c r="L1536" s="1">
        <f t="shared" ref="L1536" si="1629">IFERROR(L1522/L1502,"-")</f>
        <v>3.9634351487607469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 t="str">
        <f t="shared" si="1630"/>
        <v>-</v>
      </c>
      <c r="J1537" s="1" t="str">
        <f t="shared" si="1630"/>
        <v>-</v>
      </c>
      <c r="K1537" s="1">
        <f t="shared" si="1630"/>
        <v>4.7579650368220632</v>
      </c>
      <c r="L1537" s="1">
        <f t="shared" ref="L1537" si="1631">IFERROR(L1523/L1504,"-")</f>
        <v>4.8682530451586095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 t="str">
        <f t="shared" si="1630"/>
        <v>-</v>
      </c>
      <c r="J1538" s="1" t="str">
        <f t="shared" si="1630"/>
        <v>-</v>
      </c>
      <c r="K1538" s="1">
        <f t="shared" si="1630"/>
        <v>2.7605038611104304</v>
      </c>
      <c r="L1538" s="1">
        <f t="shared" ref="L1538" si="1632">IFERROR(L1524/L1505,"-")</f>
        <v>2.8126297792361812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 t="str">
        <f t="shared" si="1630"/>
        <v>-</v>
      </c>
      <c r="J1539" s="1" t="str">
        <f t="shared" si="1630"/>
        <v>-</v>
      </c>
      <c r="K1539" s="1">
        <f t="shared" si="1630"/>
        <v>1.7958502396191041</v>
      </c>
      <c r="L1539" s="1">
        <f t="shared" ref="L1539" si="1633">IFERROR(L1525/L1506,"-")</f>
        <v>1.8289508328211967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 t="str">
        <f t="shared" si="1630"/>
        <v>-</v>
      </c>
      <c r="J1540" s="1" t="str">
        <f t="shared" si="1630"/>
        <v>-</v>
      </c>
      <c r="K1540" s="1">
        <f t="shared" si="1630"/>
        <v>1.5993026002127806</v>
      </c>
      <c r="L1540" s="1">
        <f t="shared" ref="L1540" si="1634">IFERROR(L1526/L1507,"-")</f>
        <v>1.6265875169722805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0.77116510534577754</v>
      </c>
      <c r="G1541" s="1">
        <f t="shared" si="1635"/>
        <v>0.78723832996732035</v>
      </c>
      <c r="H1541" s="1">
        <f t="shared" si="1635"/>
        <v>0.81134816689963374</v>
      </c>
      <c r="I1541" s="1">
        <f t="shared" si="1635"/>
        <v>0.85153122845348961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1.9078836334110871</v>
      </c>
      <c r="G1542" s="1">
        <f t="shared" si="1635"/>
        <v>1.9092619935745083</v>
      </c>
      <c r="H1542" s="1">
        <f t="shared" si="1635"/>
        <v>1.9443467994772259</v>
      </c>
      <c r="I1542" s="1">
        <f t="shared" si="1635"/>
        <v>1.9826285440128237</v>
      </c>
      <c r="J1542" s="1">
        <f t="shared" si="1635"/>
        <v>2.0233381177401628</v>
      </c>
      <c r="K1542" s="1">
        <f t="shared" si="1635"/>
        <v>2.0401368734188621</v>
      </c>
      <c r="L1542" s="1" t="str">
        <f t="shared" ref="L1542" si="1637">IFERROR(L1528/L1514,"-")</f>
        <v>-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1.1027629847473199</v>
      </c>
      <c r="G1543" s="1">
        <f t="shared" si="1635"/>
        <v>1.1057164437492442</v>
      </c>
      <c r="H1543" s="1">
        <f t="shared" si="1635"/>
        <v>1.1058297598659594</v>
      </c>
      <c r="I1543" s="1">
        <f t="shared" si="1635"/>
        <v>1.1062031021818488</v>
      </c>
      <c r="J1543" s="1">
        <f t="shared" si="1635"/>
        <v>1.1118985685207212</v>
      </c>
      <c r="K1543" s="1">
        <f t="shared" si="1635"/>
        <v>1.1747443454983293</v>
      </c>
      <c r="L1543" s="1" t="str">
        <f t="shared" ref="L1543" si="1638">IFERROR(L1529/L1515,"-")</f>
        <v>-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</v>
      </c>
      <c r="G1544" s="1">
        <f t="shared" si="1635"/>
        <v>0.73139678951736864</v>
      </c>
      <c r="H1544" s="1">
        <f t="shared" si="1635"/>
        <v>0.73168462723869421</v>
      </c>
      <c r="I1544" s="1">
        <f t="shared" si="1635"/>
        <v>0.7321841029948315</v>
      </c>
      <c r="J1544" s="1">
        <f t="shared" si="1635"/>
        <v>0.73253152131441035</v>
      </c>
      <c r="K1544" s="1">
        <f t="shared" si="1635"/>
        <v>0.73386119188244203</v>
      </c>
      <c r="L1544" s="1" t="str">
        <f t="shared" ref="L1544" si="1639">IFERROR(L1530/L1516,"-")</f>
        <v>-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0.67580166525687335</v>
      </c>
      <c r="G1545" s="1">
        <f t="shared" si="1635"/>
        <v>0.67728038723671302</v>
      </c>
      <c r="H1545" s="1">
        <f t="shared" si="1635"/>
        <v>0.67731780212541226</v>
      </c>
      <c r="I1545" s="1">
        <f t="shared" si="1635"/>
        <v>0.677383563116013</v>
      </c>
      <c r="J1545" s="1">
        <f t="shared" si="1635"/>
        <v>0.67737930272387814</v>
      </c>
      <c r="K1545" s="1">
        <f t="shared" si="1635"/>
        <v>0.67743067424518433</v>
      </c>
      <c r="L1545" s="1" t="str">
        <f t="shared" ref="L1545" si="1640">IFERROR(L1531/L1517,"-")</f>
        <v>-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16.775627659927977</v>
      </c>
      <c r="G1546" s="3">
        <f t="shared" ref="G1546:K1546" si="1641">G1547+G1550+G1552+G1559+G1567</f>
        <v>15.562895902725327</v>
      </c>
      <c r="H1546" s="3">
        <f t="shared" si="1641"/>
        <v>13.956434937792517</v>
      </c>
      <c r="I1546" s="3">
        <f t="shared" si="1641"/>
        <v>11.304606554372187</v>
      </c>
      <c r="J1546" s="3">
        <f t="shared" si="1641"/>
        <v>8.6914274810133136</v>
      </c>
      <c r="K1546" s="3">
        <f t="shared" si="1641"/>
        <v>8.2119459329416973</v>
      </c>
      <c r="L1546" s="3">
        <f t="shared" ref="L1546" si="1642">L1547+L1550+L1552+L1559+L1567</f>
        <v>8.4152737841735945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7.5728226921294786E-2</v>
      </c>
      <c r="G1547" s="1">
        <f t="shared" ref="G1547:K1547" si="1645">SUM(G1548:G1549)</f>
        <v>0.16886741014676421</v>
      </c>
      <c r="H1547" s="1">
        <f t="shared" si="1645"/>
        <v>0.1988419153515712</v>
      </c>
      <c r="I1547" s="1">
        <f t="shared" si="1645"/>
        <v>1.7092678467708122</v>
      </c>
      <c r="J1547" s="1">
        <f t="shared" si="1645"/>
        <v>4.1622227263165064</v>
      </c>
      <c r="K1547" s="1">
        <f t="shared" si="1645"/>
        <v>5.5747380605282446</v>
      </c>
      <c r="L1547" s="1">
        <f t="shared" ref="L1547" si="1646">SUM(L1548:L1549)</f>
        <v>6.8814742987269719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4.0433991630601518E-2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3.4817279134019635E-2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2.632088939833897E-2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1.3160242596156056E-2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3.5294235290693268E-2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0.13405013101274457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0.17252102595323224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1.6961076041746561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4.1622227263165064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5.5747380605282446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6.8814742987269719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1.0088491347631419E-4</v>
      </c>
      <c r="H1550" s="1">
        <f t="shared" si="1648"/>
        <v>1.4895847727274043E-4</v>
      </c>
      <c r="I1550" s="1">
        <f t="shared" si="1648"/>
        <v>0</v>
      </c>
      <c r="J1550" s="1">
        <f t="shared" si="1648"/>
        <v>0</v>
      </c>
      <c r="K1550" s="1">
        <f t="shared" si="1648"/>
        <v>9.1980231223230182E-6</v>
      </c>
      <c r="L1550" s="1">
        <f t="shared" si="1648"/>
        <v>7.6681264402165462E-6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1.0088491347631419E-4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1.4895847727274043E-4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9.1980231223230182E-6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7.6681264402165462E-6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1.0019014339047747</v>
      </c>
      <c r="G1552" s="1">
        <f t="shared" ref="G1552:K1552" si="1649">SUM(G1557:G1558)</f>
        <v>2.3352259347978865</v>
      </c>
      <c r="H1552" s="1">
        <f t="shared" si="1649"/>
        <v>1.3252208476089327</v>
      </c>
      <c r="I1552" s="1">
        <f t="shared" si="1649"/>
        <v>1.630680223855145</v>
      </c>
      <c r="J1552" s="1">
        <f t="shared" si="1649"/>
        <v>0.83927673367827871</v>
      </c>
      <c r="K1552" s="1">
        <f t="shared" si="1649"/>
        <v>0.11910202750720449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0.94705731480203004</v>
      </c>
      <c r="G1553" s="1">
        <f t="shared" ref="G1553:K1553" si="1651">IF(G1552-G1554&lt;0,0,G1552-G1554)</f>
        <v>2.2073953363270769</v>
      </c>
      <c r="H1553" s="1">
        <f t="shared" si="1651"/>
        <v>1.2371667008057006</v>
      </c>
      <c r="I1553" s="1">
        <f t="shared" si="1651"/>
        <v>1.5414132413447172</v>
      </c>
      <c r="J1553" s="1">
        <f t="shared" si="1651"/>
        <v>0.79330092147424514</v>
      </c>
      <c r="K1553" s="1">
        <f t="shared" si="1651"/>
        <v>8.2387200265045174E-2</v>
      </c>
      <c r="L1553" s="1">
        <f>IFERROR(IF(L1552-L1554&lt;0,0,L1552-L1554),0)</f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5.4844119102744712E-2</v>
      </c>
      <c r="G1554" s="1">
        <f t="shared" ref="G1554:K1554" si="1652">SUM(G1555:G1556)</f>
        <v>0.12783059847080966</v>
      </c>
      <c r="H1554" s="1">
        <f t="shared" si="1652"/>
        <v>8.8054146803232161E-2</v>
      </c>
      <c r="I1554" s="1">
        <f t="shared" si="1652"/>
        <v>8.9266982510427806E-2</v>
      </c>
      <c r="J1554" s="1">
        <f t="shared" si="1652"/>
        <v>4.597581220403358E-2</v>
      </c>
      <c r="K1554" s="1">
        <f t="shared" si="1652"/>
        <v>3.6714827242159305E-2</v>
      </c>
      <c r="L1554" s="1">
        <f>IFERROR(SUM(L1555:L1556),0)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5.4844119102744712E-2</v>
      </c>
      <c r="G1555" s="1">
        <f>[1]Transport!C$25/SUM([1]Transport!C$21,[1]Transport!C$25)*G1552*(G$35+G$600)/(G$35+G$600+G$39)</f>
        <v>0.12783059847080966</v>
      </c>
      <c r="H1555" s="1">
        <f>[1]Transport!D$25/SUM([1]Transport!D$21,[1]Transport!D$25)*H1552*(H$35+H$600)/(H$35+H$600+H$39)</f>
        <v>8.8054146803232161E-2</v>
      </c>
      <c r="I1555" s="1">
        <f>[1]Transport!E$25/SUM([1]Transport!E$21,[1]Transport!E$25)*I1552*(I$35+I$600)/(I$35+I$600+I$39)</f>
        <v>8.9266982510427806E-2</v>
      </c>
      <c r="J1555" s="1">
        <f>[2]Transport!F$25/SUM([2]Transport!F$21,[2]Transport!F$25)*J1552*(J$35+J$600)/(J$35+J$600+J$39)</f>
        <v>4.597581220403358E-2</v>
      </c>
      <c r="K1555" s="1">
        <f>[2]Transport!G$25/SUM([2]Transport!G$21,[2]Transport!G$25)*K1552*(K$35+K$600)/(K$35+K$600+K$39)</f>
        <v>3.6714827242159305E-2</v>
      </c>
      <c r="L1555" s="1">
        <f>IFERROR([2]Transport!H$25/SUM([2]Transport!H$21,[2]Transport!H$25)*L1552*(L$35+L$600)/(L$35+L$600+L$39),0)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IFERROR((L$39+L$719)/([2]Transport!H$21+[2]Transport!H$25)*L1552,0)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0.8312876116029454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1.7601476640909464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0.54305359272103015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0.27100613457232992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0.17061382230182934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0.57507827070694006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0.7821672548879024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1.3596740892828152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0.83927673367827871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0.11910202750720449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15.689053906828384</v>
      </c>
      <c r="G1559" s="1">
        <f t="shared" ref="G1559:K1559" si="1653">SUM(G1564:G1566)</f>
        <v>13.05752995934365</v>
      </c>
      <c r="H1559" s="1">
        <f t="shared" si="1653"/>
        <v>12.430666865444881</v>
      </c>
      <c r="I1559" s="1">
        <f t="shared" si="1653"/>
        <v>7.9644641767507718</v>
      </c>
      <c r="J1559" s="1">
        <f t="shared" si="1653"/>
        <v>3.68973287592509</v>
      </c>
      <c r="K1559" s="1">
        <f t="shared" si="1653"/>
        <v>2.5179196187572153</v>
      </c>
      <c r="L1559" s="1">
        <f t="shared" ref="L1559" si="1654">SUM(L1564:L1566)</f>
        <v>1.5336297807188553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15.310832361617841</v>
      </c>
      <c r="G1560" s="1">
        <f t="shared" ref="G1560:L1560" si="1655">IF(G1559-G1561&lt;0,0,G1559-G1561)</f>
        <v>12.717241565072836</v>
      </c>
      <c r="H1560" s="1">
        <f t="shared" si="1655"/>
        <v>12.039350409104582</v>
      </c>
      <c r="I1560" s="1">
        <f t="shared" si="1655"/>
        <v>7.6529900349526718</v>
      </c>
      <c r="J1560" s="1">
        <f t="shared" si="1655"/>
        <v>3.5239750775983758</v>
      </c>
      <c r="K1560" s="1">
        <f t="shared" si="1655"/>
        <v>2.4192890875499846</v>
      </c>
      <c r="L1560" s="1">
        <f t="shared" si="1655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0.37822154521054385</v>
      </c>
      <c r="G1561" s="1">
        <f t="shared" ref="G1561:K1561" si="1656">SUM(G1562:G1563)</f>
        <v>0.34028839427081387</v>
      </c>
      <c r="H1561" s="1">
        <f t="shared" si="1656"/>
        <v>0.39131645634029921</v>
      </c>
      <c r="I1561" s="1">
        <f t="shared" si="1656"/>
        <v>0.3114741417980999</v>
      </c>
      <c r="J1561" s="1">
        <f t="shared" si="1656"/>
        <v>0.16575779832671403</v>
      </c>
      <c r="K1561" s="1">
        <f t="shared" si="1656"/>
        <v>9.8630531207230823E-2</v>
      </c>
      <c r="L1561" s="1">
        <f t="shared" ref="L1561" si="1657">SUM(L1562:L1563)</f>
        <v>1.7872232551159901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0.37822154521054385</v>
      </c>
      <c r="G1562" s="1">
        <f>[1]Transport!C$26/SUM([1]Transport!C$22,[1]Transport!C$26)*G1559*(G$34+G$582)/(G$34+G$582+G$38)</f>
        <v>0.34028839427081387</v>
      </c>
      <c r="H1562" s="1">
        <f>[1]Transport!D$26/SUM([1]Transport!D$22,[1]Transport!D$26)*H1559*(H$34+H$582)/(H$34+H$582+H$38)</f>
        <v>0.39131645634029921</v>
      </c>
      <c r="I1562" s="1">
        <f>[1]Transport!E$26/SUM([1]Transport!E$22,[1]Transport!E$26)*I1559*(I$34+I$582)/(I$34+I$582+I$38)</f>
        <v>0.3114741417980999</v>
      </c>
      <c r="J1562" s="1">
        <f>[2]Transport!F$26/SUM([2]Transport!F$22,[2]Transport!F$26)*J1559*(J$34+J$582)/(J$34+J$582+J$38)</f>
        <v>0.16575779832671403</v>
      </c>
      <c r="K1562" s="1">
        <f>[2]Transport!G$26/SUM([2]Transport!G$22,[2]Transport!G$26)*K1559*(K$34+K$582)/(K$34+K$582+K$38)</f>
        <v>9.8630531207230823E-2</v>
      </c>
      <c r="L1562" s="1">
        <f>[2]Transport!H$26/SUM([2]Transport!H$22,[2]Transport!H$26)*L1559*(L$34+L$582)/(L$34+L$582+L$38)</f>
        <v>0.75384364894241651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1.0333796061735736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11.244082198891098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7.439849226219585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5.4522764528213798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2.7255186997242462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4.4449717079372872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5.2494387844618986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5.0944715505945553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2.0937081144504677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1.2021769884735205E-2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5.7620330640178559E-3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1.7930620175905605E-3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0.36824194866216747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1.8839188620289453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3.1452373625760583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3.6777111060403547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2.5121575856931972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1.5318367187012647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8.9440922735219263E-3</v>
      </c>
      <c r="G1567" s="1">
        <f t="shared" ref="G1567:K1567" si="1658">G1572</f>
        <v>1.1717135235494041E-3</v>
      </c>
      <c r="H1567" s="1">
        <f t="shared" si="1658"/>
        <v>1.5563509098594959E-3</v>
      </c>
      <c r="I1567" s="1">
        <f t="shared" si="1658"/>
        <v>1.9430699545948729E-4</v>
      </c>
      <c r="J1567" s="1">
        <f t="shared" si="1658"/>
        <v>1.9514509343895124E-4</v>
      </c>
      <c r="K1567" s="1">
        <f t="shared" si="1658"/>
        <v>1.7702812590950667E-4</v>
      </c>
      <c r="L1567" s="1">
        <f t="shared" ref="L1567" si="1659">L1572</f>
        <v>1.6203660132636146E-4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8.262433053460326E-3</v>
      </c>
      <c r="G1568" s="1">
        <f t="shared" ref="G1568:L1568" si="1660">IF(G1567-G1569&lt;0,0,G1567-G1569)</f>
        <v>1.0571662560843696E-3</v>
      </c>
      <c r="H1568" s="1">
        <f t="shared" si="1660"/>
        <v>1.4091198130674475E-3</v>
      </c>
      <c r="I1568" s="1">
        <f t="shared" si="1660"/>
        <v>1.6215626233453839E-4</v>
      </c>
      <c r="J1568" s="1">
        <f t="shared" si="1660"/>
        <v>0</v>
      </c>
      <c r="K1568" s="1">
        <f t="shared" si="1660"/>
        <v>1.3900245285010002E-4</v>
      </c>
      <c r="L1568" s="1">
        <f t="shared" si="1660"/>
        <v>1.0202516926017048E-4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6.816592200616006E-4</v>
      </c>
      <c r="G1569" s="1">
        <f t="shared" ref="G1569:K1569" si="1661">SUM(G1570:G1571)</f>
        <v>1.1454726746503451E-4</v>
      </c>
      <c r="H1569" s="1">
        <f t="shared" si="1661"/>
        <v>1.4723109679204834E-4</v>
      </c>
      <c r="I1569" s="1">
        <f t="shared" si="1661"/>
        <v>3.2150733124948894E-5</v>
      </c>
      <c r="J1569" s="1">
        <f t="shared" si="1661"/>
        <v>0.12990547132270211</v>
      </c>
      <c r="K1569" s="1">
        <f t="shared" si="1661"/>
        <v>3.8025673059406659E-5</v>
      </c>
      <c r="L1569" s="1">
        <f t="shared" ref="L1569" si="1662">SUM(L1570:L1571)</f>
        <v>6.0011432066190977E-5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6.816592200616006E-4</v>
      </c>
      <c r="G1570" s="1">
        <f>[1]Transport!C$27/SUM([1]Transport!C$24,[1]Transport!C$27)*G1567*(G$47+G$614)/(G$47+G$614+G$49)</f>
        <v>1.1454726746503451E-4</v>
      </c>
      <c r="H1570" s="1">
        <f>[1]Transport!D$27/SUM([1]Transport!D$24,[1]Transport!D$27)*H1567*(H$47+H$614)/(H$47+H$614+H$49)</f>
        <v>1.4723109679204834E-4</v>
      </c>
      <c r="I1570" s="1">
        <f>[1]Transport!E$27/SUM([1]Transport!E$24,[1]Transport!E$27)*I1567*(I$47+I$614)/(I$47+I$614+I$49)</f>
        <v>3.2150733124948894E-5</v>
      </c>
      <c r="J1570" s="1">
        <f>[2]Transport!F$27/SUM([2]Transport!F$24,[2]Transport!F$27)*J1567*(J$47+J$614)/(J$47+J$614+J$49)</f>
        <v>3.687270265256874E-5</v>
      </c>
      <c r="K1570" s="1">
        <f>[2]Transport!G$27/SUM([2]Transport!G$24,[2]Transport!G$27)*K1567*(K$47+K$614)/(K$47+K$614+K$49)</f>
        <v>3.8025673059406659E-5</v>
      </c>
      <c r="L1570" s="1">
        <f>[2]Transport!H$27/SUM([2]Transport!H$24,[2]Transport!H$27)*L1567*(L$47+L$614)/(L$47+L$614+L$49)</f>
        <v>6.0011432066190977E-5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0.12986859862004954</v>
      </c>
      <c r="K1571" s="1">
        <f>(K$49+K$716)/([2]Transport!G$24+[2]Transport!G$27)*K1567</f>
        <v>0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8.9440922735219263E-3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1.1717135235494041E-3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1.5563509098594959E-3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1.9430699545948729E-4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1.9514509343895124E-4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1.7702812590950667E-4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1.6203660132636146E-4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4.778778007447853</v>
      </c>
      <c r="G1573" s="3">
        <f t="shared" ref="G1573:K1573" si="1663">SUM(G1574:G1582)</f>
        <v>4.7701022989645603</v>
      </c>
      <c r="H1573" s="3">
        <f t="shared" si="1663"/>
        <v>4.7102619830831394</v>
      </c>
      <c r="I1573" s="3">
        <f t="shared" si="1663"/>
        <v>4.6517060826355641</v>
      </c>
      <c r="J1573" s="3">
        <f t="shared" si="1663"/>
        <v>4.8294862778196475</v>
      </c>
      <c r="K1573" s="3">
        <f t="shared" si="1663"/>
        <v>4.9997760869964711</v>
      </c>
      <c r="L1573" s="3">
        <f t="shared" ref="L1573" si="1664">SUM(L1574:L1582)</f>
        <v>5.3952352797735559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2.7868031085000064E-2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2.4220515977313579E-2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1.8563644205035638E-2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9.2816795629410975E-3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2.4047994391043499E-2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9.1336071518828513E-2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0.11754850700942598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1.1556557555605591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2.8359619624093844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3.7983899780503374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4.6887446058799549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4.6921919466110068E-5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7.0518023133550744E-5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5.120638491169657E-6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4.5789546063378581E-6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0.23075152201493754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0.493141170406452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0.15425489819100521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7.697955461104479E-2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5.9924626635561938E-2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0.20198451797986902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0.27472030157557414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0.47755780303766637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0.29477884166156232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4.1832158928375052E-2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2.9126292306236761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1.9934143251100991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1.5336637693654023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0.7666576188248756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1.5206893330778908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1.795909195534793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1.742892655722442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0.71628793284287151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4.1128219547020301E-3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1.9712751380728689E-3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6.1343253970055586E-4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0.16967395619652584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0.86804875879842658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1.4492234478560222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1.6945700927795402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1.1575208031085207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0.70582071720350859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2.8672696197423967E-3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3.7562432121371635E-4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4.9893019269370395E-4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6.2290339583563826E-5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6.2559014458710103E-5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5.6751132673677856E-5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5.1945195785244169E-5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665">IFERROR(G1574/G1548,"-")</f>
        <v>0.69564643130450543</v>
      </c>
      <c r="H1584" s="1">
        <f t="shared" si="1665"/>
        <v>0.70528179819816927</v>
      </c>
      <c r="I1584" s="1">
        <f t="shared" si="1665"/>
        <v>0.70528179819817005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0.68135756995377406</v>
      </c>
      <c r="G1585" s="1">
        <f t="shared" ref="G1585:K1585" si="1667">IFERROR(G1575/G1549,"-")</f>
        <v>0.68135756995377272</v>
      </c>
      <c r="H1585" s="1">
        <f t="shared" si="1667"/>
        <v>0.68135756995377217</v>
      </c>
      <c r="I1585" s="1">
        <f t="shared" si="1667"/>
        <v>0.68135756995377272</v>
      </c>
      <c r="J1585" s="1">
        <f t="shared" si="1667"/>
        <v>0.68135756995377339</v>
      </c>
      <c r="K1585" s="1">
        <f t="shared" si="1667"/>
        <v>0.68135756995377361</v>
      </c>
      <c r="L1585" s="1">
        <f t="shared" ref="L1585" si="1668">IFERROR(L1575/L1549,"-")</f>
        <v>0.68135756995377317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0.46510343171505436</v>
      </c>
      <c r="H1586" s="1">
        <f t="shared" si="1669"/>
        <v>0.47340725029320385</v>
      </c>
      <c r="I1586" s="1" t="str">
        <f t="shared" si="1669"/>
        <v>-</v>
      </c>
      <c r="J1586" s="1" t="str">
        <f t="shared" si="1669"/>
        <v>-</v>
      </c>
      <c r="K1586" s="1">
        <f t="shared" si="1669"/>
        <v>0.55671076524500063</v>
      </c>
      <c r="L1586" s="1">
        <f t="shared" ref="L1586" si="1670">IFERROR(L1576/L1551,"-")</f>
        <v>0.59714124982641126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671">IFERROR(G1577/G1557,"-")</f>
        <v>0.28017034051580092</v>
      </c>
      <c r="H1587" s="1">
        <f t="shared" si="1671"/>
        <v>0.28405096708428712</v>
      </c>
      <c r="I1587" s="1">
        <f t="shared" si="1671"/>
        <v>0.28405096708428718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673">IFERROR(G1578/G1558,"-")</f>
        <v>0.35122961215622134</v>
      </c>
      <c r="H1588" s="1">
        <f t="shared" si="1673"/>
        <v>0.35122961215622117</v>
      </c>
      <c r="I1588" s="1">
        <f t="shared" si="1673"/>
        <v>0.35122961215622112</v>
      </c>
      <c r="J1588" s="1">
        <f t="shared" si="1673"/>
        <v>0.35122961215622162</v>
      </c>
      <c r="K1588" s="1">
        <f t="shared" si="1673"/>
        <v>0.35122961215622145</v>
      </c>
      <c r="L1588" s="1" t="str">
        <f t="shared" ref="L1588" si="1674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0.25903663625928691</v>
      </c>
      <c r="G1589" s="1">
        <f t="shared" ref="G1589:K1589" si="1675">IFERROR(G1579/G1564,"-")</f>
        <v>0.26793746277611247</v>
      </c>
      <c r="H1589" s="1">
        <f t="shared" si="1675"/>
        <v>0.28128870255134991</v>
      </c>
      <c r="I1589" s="1">
        <f t="shared" si="1675"/>
        <v>0.28128870255134997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0.34211451343153199</v>
      </c>
      <c r="G1590" s="1">
        <f t="shared" ref="G1590:K1590" si="1677">IFERROR(G1580/G1565,"-")</f>
        <v>0.3421145134315316</v>
      </c>
      <c r="H1590" s="1">
        <f t="shared" si="1677"/>
        <v>0.34211451343153265</v>
      </c>
      <c r="I1590" s="1">
        <f t="shared" si="1677"/>
        <v>0.34211451343153176</v>
      </c>
      <c r="J1590" s="1">
        <f t="shared" si="1677"/>
        <v>0.3421145134315321</v>
      </c>
      <c r="K1590" s="1">
        <f t="shared" si="1677"/>
        <v>0.3421145134315321</v>
      </c>
      <c r="L1590" s="1">
        <f t="shared" ref="L1590" si="1678">IFERROR(L1580/L1565,"-")</f>
        <v>0.3421145134315321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0.46076759264650785</v>
      </c>
      <c r="H1591" s="1">
        <f t="shared" si="1679"/>
        <v>0.46076759264650829</v>
      </c>
      <c r="I1591" s="1">
        <f t="shared" si="1679"/>
        <v>0.46076759264650791</v>
      </c>
      <c r="J1591" s="1">
        <f t="shared" si="1679"/>
        <v>0.46076759264650791</v>
      </c>
      <c r="K1591" s="1">
        <f t="shared" si="1679"/>
        <v>0.46076759264650902</v>
      </c>
      <c r="L1591" s="1">
        <f t="shared" ref="L1591" si="1680">IFERROR(L1581/L1566,"-")</f>
        <v>0.46076759264650852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681">IFERROR(G1582/G1572,"-")</f>
        <v>0.32057692743517996</v>
      </c>
      <c r="H1592" s="1">
        <f t="shared" si="1681"/>
        <v>0.32057692743517996</v>
      </c>
      <c r="I1592" s="1">
        <f t="shared" si="1681"/>
        <v>0.32057692743517957</v>
      </c>
      <c r="J1592" s="1">
        <f t="shared" si="1681"/>
        <v>0.32057692743518007</v>
      </c>
      <c r="K1592" s="1">
        <f t="shared" si="1681"/>
        <v>0.32057692743518018</v>
      </c>
      <c r="L1592" s="1">
        <f t="shared" ref="L1592" si="1682">IFERROR(L1582/L1572,"-")</f>
        <v>0.32057692743518001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24.478368352902208</v>
      </c>
      <c r="G1593" s="3">
        <f t="shared" ref="G1593" si="1683">G1594+G1597+G1599+G1606+G1614</f>
        <v>23.05603664057988</v>
      </c>
      <c r="H1593" s="3">
        <f t="shared" ref="H1593" si="1684">H1594+H1597+H1599+H1606+H1614</f>
        <v>20.482101254236863</v>
      </c>
      <c r="I1593" s="3">
        <f t="shared" ref="I1593" si="1685">I1594+I1597+I1599+I1606+I1614</f>
        <v>16.577839898656695</v>
      </c>
      <c r="J1593" s="3">
        <f t="shared" ref="J1593" si="1686">J1594+J1597+J1599+J1606+J1614</f>
        <v>14.750819129203824</v>
      </c>
      <c r="K1593" s="3">
        <f t="shared" ref="K1593:L1593" si="1687">K1594+K1597+K1599+K1606+K1614</f>
        <v>15.36930060856824</v>
      </c>
      <c r="L1593" s="3">
        <f t="shared" si="1687"/>
        <v>8.9708158901072235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9.9305871670372654E-3</v>
      </c>
      <c r="G1594" s="1">
        <f t="shared" ref="G1594" si="1690">SUM(G1595:G1596)</f>
        <v>2.581968591233819E-2</v>
      </c>
      <c r="H1594" s="1">
        <f t="shared" ref="H1594" si="1691">SUM(H1595:H1596)</f>
        <v>2.6258711119645114E-2</v>
      </c>
      <c r="I1594" s="1">
        <f t="shared" ref="I1594" si="1692">SUM(I1595:I1596)</f>
        <v>9.0617746439104439E-3</v>
      </c>
      <c r="J1594" s="1">
        <f t="shared" ref="J1594" si="1693">SUM(J1595:J1596)</f>
        <v>2.5634971973475824E-3</v>
      </c>
      <c r="K1594" s="1">
        <f t="shared" ref="K1594:L1594" si="1694">SUM(K1595:K1596)</f>
        <v>4.0869406558606408E-3</v>
      </c>
      <c r="L1594" s="1">
        <f t="shared" si="1694"/>
        <v>7.0429451980336903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9.9305871670372654E-3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2.581968591233819E-2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2.6258711119645114E-2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9.0617746439104439E-3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2.5634971973475824E-3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4.0869406558606408E-3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7.0429451980336903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2.8163699150701486E-3</v>
      </c>
      <c r="G1597" s="1">
        <f t="shared" ref="G1597" si="1696">G1598</f>
        <v>1.7988905817688885E-3</v>
      </c>
      <c r="H1597" s="1">
        <f t="shared" ref="H1597" si="1697">H1598</f>
        <v>1.738111547309625E-3</v>
      </c>
      <c r="I1597" s="1">
        <f t="shared" ref="I1597" si="1698">I1598</f>
        <v>0</v>
      </c>
      <c r="J1597" s="1">
        <f t="shared" ref="J1597" si="1699">J1598</f>
        <v>0</v>
      </c>
      <c r="K1597" s="1">
        <f t="shared" ref="K1597:L1597" si="1700">K1598</f>
        <v>1.9065785444249031E-4</v>
      </c>
      <c r="L1597" s="1">
        <f t="shared" si="1700"/>
        <v>1.765637338838E-4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2.8163699150701486E-3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1.7988905817688885E-3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1.738111547309625E-3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0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1.9065785444249031E-4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1.765637338838E-4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>IFERROR(L1599-L1601,0)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4">SUM(G1602:G1603)</f>
        <v>0</v>
      </c>
      <c r="H1601" s="1">
        <f t="shared" si="1704"/>
        <v>0</v>
      </c>
      <c r="I1601" s="1">
        <f t="shared" si="1704"/>
        <v>0</v>
      </c>
      <c r="J1601" s="1">
        <f t="shared" si="1704"/>
        <v>0</v>
      </c>
      <c r="K1601" s="1">
        <f t="shared" si="1704"/>
        <v>0</v>
      </c>
      <c r="L1601" s="1">
        <f>IFERROR(SUM(L1602:L1603),0)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IFERROR([2]Transport!H$25/SUM([2]Transport!H$21,[2]Transport!H$25)*L1599*(L$35+L$600)/(L$35+L$600+L$39),0)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IFERROR((L$39+L$719)/([2]Transport!H$21+[2]Transport!H$25)*L1599,0)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24.403594051809215</v>
      </c>
      <c r="G1606" s="1">
        <f t="shared" ref="G1606:K1606" si="1705">SUM(G1611:G1613)</f>
        <v>23.026968572075003</v>
      </c>
      <c r="H1606" s="1">
        <f t="shared" si="1705"/>
        <v>20.452312832104649</v>
      </c>
      <c r="I1606" s="1">
        <f t="shared" si="1705"/>
        <v>16.56700374885466</v>
      </c>
      <c r="J1606" s="1">
        <f t="shared" si="1705"/>
        <v>14.74551316143941</v>
      </c>
      <c r="K1606" s="1">
        <f t="shared" si="1705"/>
        <v>15.362359834524604</v>
      </c>
      <c r="L1606" s="1">
        <f t="shared" ref="L1606" si="1706">SUM(L1611:L1613)</f>
        <v>1.9251958204541615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23.815288019732357</v>
      </c>
      <c r="G1607" s="1">
        <f t="shared" ref="G1607:L1607" si="1707">IF(G1606-G1608&lt;0,0,G1606-G1608)</f>
        <v>22.426869611190845</v>
      </c>
      <c r="H1607" s="1">
        <f t="shared" si="1707"/>
        <v>19.808475565121789</v>
      </c>
      <c r="I1607" s="1">
        <f t="shared" si="1707"/>
        <v>15.919101622569299</v>
      </c>
      <c r="J1607" s="1">
        <f t="shared" si="1707"/>
        <v>14.083084774608025</v>
      </c>
      <c r="K1607" s="1">
        <f t="shared" si="1707"/>
        <v>14.760594115004274</v>
      </c>
      <c r="L1607" s="1">
        <f t="shared" si="1707"/>
        <v>0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0.58830603207685694</v>
      </c>
      <c r="G1608" s="1">
        <f t="shared" ref="G1608:K1608" si="1708">SUM(G1609:G1610)</f>
        <v>0.60009896088415893</v>
      </c>
      <c r="H1608" s="1">
        <f t="shared" si="1708"/>
        <v>0.64383726698285937</v>
      </c>
      <c r="I1608" s="1">
        <f t="shared" si="1708"/>
        <v>0.64790212628536059</v>
      </c>
      <c r="J1608" s="1">
        <f t="shared" si="1708"/>
        <v>0.66242838683138439</v>
      </c>
      <c r="K1608" s="1">
        <f t="shared" si="1708"/>
        <v>0.60176571952032898</v>
      </c>
      <c r="L1608" s="1">
        <f t="shared" ref="L1608" si="1709">SUM(L1609:L1610)</f>
        <v>2.2435367285023688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0.58830603207685694</v>
      </c>
      <c r="G1609" s="1">
        <f>[1]Transport!C$26/SUM([1]Transport!C$22,[1]Transport!C$26)*G1606*(G$34+G$582)/(G$34+G$582+G$38)</f>
        <v>0.60009896088415893</v>
      </c>
      <c r="H1609" s="1">
        <f>[1]Transport!D$26/SUM([1]Transport!D$22,[1]Transport!D$26)*H1606*(H$34+H$582)/(H$34+H$582+H$38)</f>
        <v>0.64383726698285937</v>
      </c>
      <c r="I1609" s="1">
        <f>[1]Transport!E$26/SUM([1]Transport!E$22,[1]Transport!E$26)*I1606*(I$34+I$582)/(I$34+I$582+I$38)</f>
        <v>0.64790212628536059</v>
      </c>
      <c r="J1609" s="1">
        <f>[2]Transport!F$26/SUM([2]Transport!F$22,[2]Transport!F$26)*J1606*(J$34+J$582)/(J$34+J$582+J$38)</f>
        <v>0.66242838683138439</v>
      </c>
      <c r="K1609" s="1">
        <f>[2]Transport!G$26/SUM([2]Transport!G$22,[2]Transport!G$26)*K1606*(K$34+K$582)/(K$34+K$582+K$38)</f>
        <v>0.60176571952032898</v>
      </c>
      <c r="L1609" s="1">
        <f>[2]Transport!H$26/SUM([2]Transport!H$22,[2]Transport!H$26)*L1606*(L$34+L$582)/(L$34+L$582+L$38)</f>
        <v>0.94631485412313199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1.2972218743792368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19.127547844939535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15.96599092928153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11.482865120365148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4.9490611662331849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5.2760462068696787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6.1750488083668591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4.8108819004272751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0.44227466123404618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2.554677665498183E-3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3.2723774844873378E-3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7.1081805813748614E-4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0.8859288344266143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4.1585658113122257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11.175667921387427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14.742958483773911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15.359087457040117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1.924485002396024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6.2027344010887428E-2</v>
      </c>
      <c r="G1614" s="1">
        <f t="shared" ref="G1614:K1614" si="1710">G1619</f>
        <v>1.449492010771665E-3</v>
      </c>
      <c r="H1614" s="1">
        <f t="shared" si="1710"/>
        <v>1.791599465260748E-3</v>
      </c>
      <c r="I1614" s="1">
        <f t="shared" si="1710"/>
        <v>1.774375158124107E-3</v>
      </c>
      <c r="J1614" s="1">
        <f t="shared" si="1710"/>
        <v>2.7424705670681983E-3</v>
      </c>
      <c r="K1614" s="1">
        <f t="shared" si="1710"/>
        <v>2.6631755333332203E-3</v>
      </c>
      <c r="L1614" s="1">
        <f t="shared" ref="L1614" si="1711">L1619</f>
        <v>2.4983078854875322E-3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5.7300032434940897E-2</v>
      </c>
      <c r="G1615" s="1">
        <f t="shared" ref="G1615:L1615" si="1712">IF(G1614-G1616&lt;0,0,G1614-G1616)</f>
        <v>1.3077889872003987E-3</v>
      </c>
      <c r="H1615" s="1">
        <f t="shared" si="1712"/>
        <v>1.6221138096728313E-3</v>
      </c>
      <c r="I1615" s="1">
        <f t="shared" si="1712"/>
        <v>1.480780673594694E-3</v>
      </c>
      <c r="J1615" s="1">
        <f t="shared" si="1712"/>
        <v>0</v>
      </c>
      <c r="K1615" s="1">
        <f t="shared" si="1712"/>
        <v>2.0911249531779135E-3</v>
      </c>
      <c r="L1615" s="1">
        <f t="shared" si="1712"/>
        <v>1.5730414165346751E-3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4.7273115759465297E-3</v>
      </c>
      <c r="G1616" s="1">
        <f t="shared" ref="G1616:K1616" si="1713">SUM(G1617:G1618)</f>
        <v>1.4170302357126619E-4</v>
      </c>
      <c r="H1616" s="1">
        <f t="shared" si="1713"/>
        <v>1.6948565558791664E-4</v>
      </c>
      <c r="I1616" s="1">
        <f t="shared" si="1713"/>
        <v>2.9359448452941295E-4</v>
      </c>
      <c r="J1616" s="1">
        <f t="shared" si="1713"/>
        <v>3.260660904170177E-3</v>
      </c>
      <c r="K1616" s="1">
        <f t="shared" si="1713"/>
        <v>5.7205058015530677E-4</v>
      </c>
      <c r="L1616" s="1">
        <f t="shared" ref="L1616" si="1714">SUM(L1617:L1618)</f>
        <v>9.2526646895285712E-4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4.7273115759465297E-3</v>
      </c>
      <c r="G1617" s="1">
        <f>[1]Transport!C$27/SUM([1]Transport!C$24,[1]Transport!C$27)*G1614*(G$47+G$614)/(G$47+G$614+G$49)</f>
        <v>1.4170302357126619E-4</v>
      </c>
      <c r="H1617" s="1">
        <f>[1]Transport!D$27/SUM([1]Transport!D$24,[1]Transport!D$27)*H1614*(H$47+H$614)/(H$47+H$614+H$49)</f>
        <v>1.6948565558791664E-4</v>
      </c>
      <c r="I1617" s="1">
        <f>[1]Transport!E$27/SUM([1]Transport!E$24,[1]Transport!E$27)*I1614*(I$47+I$614)/(I$47+I$614+I$49)</f>
        <v>2.9359448452941295E-4</v>
      </c>
      <c r="J1617" s="1">
        <f>[2]Transport!F$27/SUM([2]Transport!F$24,[2]Transport!F$27)*J1614*(J$47+J$614)/(J$47+J$614+J$49)</f>
        <v>5.1819033710197857E-4</v>
      </c>
      <c r="K1617" s="1">
        <f>[2]Transport!G$27/SUM([2]Transport!G$24,[2]Transport!G$27)*K1614*(K$47+K$614)/(K$47+K$614+K$49)</f>
        <v>5.7205058015530677E-4</v>
      </c>
      <c r="L1617" s="1">
        <f>[2]Transport!H$27/SUM([2]Transport!H$24,[2]Transport!H$27)*L1614*(L$47+L$614)/(L$47+L$614+L$49)</f>
        <v>9.2526646895285712E-4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2.7424705670681983E-3</v>
      </c>
      <c r="K1618" s="1">
        <f>IF((K$49+K$716)/([2]Transport!G$24+[2]Transport!G$27)*K1614&gt;K1614,K1614,(K$49+K$716)/([2]Transport!G$24+[2]Transport!G$27)*K1614)</f>
        <v>0</v>
      </c>
      <c r="L1618" s="1">
        <f>IF((L$49+L$716)/([2]Transport!H$24+[2]Transport!H$27)*L1614&gt;L1614,L1614,(L$49+L$716)/([2]Transport!H$24+[2]Transport!H$27)*L1614)</f>
        <v>0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6.2027344010887428E-2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1.449492010771665E-3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1.791599465260748E-3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1.774375158124107E-3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2.7424705670681983E-3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2.6631755333332203E-3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2.4983078854875322E-3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2.2034204722475024</v>
      </c>
      <c r="G1620" s="3">
        <f t="shared" ref="G1620" si="1715">SUM(G1621:G1629)</f>
        <v>2.2263529020260253</v>
      </c>
      <c r="H1620" s="3">
        <f t="shared" ref="H1620" si="1716">SUM(H1621:H1629)</f>
        <v>2.2581758997861683</v>
      </c>
      <c r="I1620" s="3">
        <f t="shared" ref="I1620" si="1717">SUM(I1621:I1629)</f>
        <v>2.3129270923402481</v>
      </c>
      <c r="J1620" s="3">
        <f t="shared" ref="J1620" si="1718">SUM(J1621:J1629)</f>
        <v>2.4113801833518838</v>
      </c>
      <c r="K1620" s="3">
        <f t="shared" ref="K1620:L1620" si="1719">SUM(K1621:K1629)</f>
        <v>2.5127233330602006</v>
      </c>
      <c r="L1620" s="3">
        <f t="shared" si="1719"/>
        <v>2.7054997558122587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2.6686244862476286E-3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6.9849974475914159E-3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7.1296384719346838E-3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2.5157087015423882E-3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7.7552722338775245E-4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1.2795910257060079E-3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2.3904660048477933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4.9134032211634049E-4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3.1498264516021171E-4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3.045933477489448E-4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3.8337235144987394E-5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3.8258540925438439E-5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1.5675725885183609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1.3410827367836529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0.99969862471493187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0.43086543207224032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0.62628522984962876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0.7329999986060094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0.57106859164073709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5.2499556866461121E-2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3.0324921848580785E-4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3.8844270968636059E-4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8.4376601998341591E-5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0.14481999774546855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0.6797876624124104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1.8268512551879217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2.4099850139357151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2.5107016776811482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0.31458950524910012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6.4026890711486673E-3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1.5018879814283974E-4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1.8678919840497569E-4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1.9513951208258653E-4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3.1639297429495193E-4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3.1528440851498262E-4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3.2161057244161641E-4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0">IFERROR(G1621/G1595,"-")</f>
        <v>-</v>
      </c>
      <c r="H1631" s="1" t="str">
        <f t="shared" si="1720"/>
        <v>-</v>
      </c>
      <c r="I1631" s="1" t="str">
        <f t="shared" si="1720"/>
        <v>-</v>
      </c>
      <c r="J1631" s="1" t="str">
        <f t="shared" si="1720"/>
        <v>-</v>
      </c>
      <c r="K1631" s="1" t="str">
        <f t="shared" si="1720"/>
        <v>-</v>
      </c>
      <c r="L1631" s="1" t="str">
        <f t="shared" ref="L1631" si="1721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2">E1631</f>
        <v>km/MJ</v>
      </c>
      <c r="F1632" s="1">
        <f>IFERROR(F1622/F1596,"-")</f>
        <v>0.26872776416540911</v>
      </c>
      <c r="G1632" s="1">
        <f t="shared" ref="G1632:K1632" si="1723">IFERROR(G1622/G1596,"-")</f>
        <v>0.27052991548024863</v>
      </c>
      <c r="H1632" s="1">
        <f t="shared" si="1723"/>
        <v>0.27151517222034321</v>
      </c>
      <c r="I1632" s="1">
        <f t="shared" si="1723"/>
        <v>0.27761766325020637</v>
      </c>
      <c r="J1632" s="1">
        <f t="shared" si="1723"/>
        <v>0.30252704164848726</v>
      </c>
      <c r="K1632" s="1">
        <f t="shared" si="1723"/>
        <v>0.31309263663299941</v>
      </c>
      <c r="L1632" s="1">
        <f t="shared" ref="L1632" si="1724">IFERROR(L1622/L1596,"-")</f>
        <v>0.33941283619744533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2"/>
        <v>km/MJ</v>
      </c>
      <c r="F1633" s="1">
        <f>IFERROR(F1623/F1598,"-")</f>
        <v>0.17445873125089906</v>
      </c>
      <c r="G1633" s="1">
        <f t="shared" ref="G1633:K1633" si="1725">IFERROR(G1623/G1598,"-")</f>
        <v>0.17509827910182418</v>
      </c>
      <c r="H1633" s="1">
        <f t="shared" si="1725"/>
        <v>0.17524384336575891</v>
      </c>
      <c r="I1633" s="1" t="str">
        <f t="shared" si="1725"/>
        <v>-</v>
      </c>
      <c r="J1633" s="1" t="str">
        <f t="shared" si="1725"/>
        <v>-</v>
      </c>
      <c r="K1633" s="1">
        <f t="shared" si="1725"/>
        <v>0.20107870854358831</v>
      </c>
      <c r="L1633" s="1">
        <f t="shared" ref="L1633" si="1726">IFERROR(L1623/L1598,"-")</f>
        <v>0.21668402725679287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2"/>
        <v>km/MJ</v>
      </c>
      <c r="F1634" s="1" t="str">
        <f>IFERROR(F1624/F1604,"-")</f>
        <v>-</v>
      </c>
      <c r="G1634" s="1" t="str">
        <f t="shared" ref="G1634:K1634" si="1727">IFERROR(G1624/G1604,"-")</f>
        <v>-</v>
      </c>
      <c r="H1634" s="1" t="str">
        <f t="shared" si="1727"/>
        <v>-</v>
      </c>
      <c r="I1634" s="1" t="str">
        <f t="shared" si="1727"/>
        <v>-</v>
      </c>
      <c r="J1634" s="1" t="str">
        <f t="shared" si="1727"/>
        <v>-</v>
      </c>
      <c r="K1634" s="1" t="str">
        <f t="shared" si="1727"/>
        <v>-</v>
      </c>
      <c r="L1634" s="1" t="str">
        <f t="shared" ref="L1634" si="1728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2"/>
        <v>km/MJ</v>
      </c>
      <c r="F1635" s="1" t="str">
        <f>IFERROR(F1625/F1605,"-")</f>
        <v>-</v>
      </c>
      <c r="G1635" s="1" t="str">
        <f t="shared" ref="G1635:K1635" si="1729">IFERROR(G1625/G1605,"-")</f>
        <v>-</v>
      </c>
      <c r="H1635" s="1" t="str">
        <f t="shared" si="1729"/>
        <v>-</v>
      </c>
      <c r="I1635" s="1" t="str">
        <f t="shared" si="1729"/>
        <v>-</v>
      </c>
      <c r="J1635" s="1" t="str">
        <f t="shared" si="1729"/>
        <v>-</v>
      </c>
      <c r="K1635" s="1" t="str">
        <f t="shared" si="1729"/>
        <v>-</v>
      </c>
      <c r="L1635" s="1" t="str">
        <f t="shared" ref="L1635" si="1730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2"/>
        <v>km/MJ</v>
      </c>
      <c r="F1636" s="1">
        <f>IFERROR(F1626/F1611,"-")</f>
        <v>8.1953661871669789E-2</v>
      </c>
      <c r="G1636" s="1">
        <f t="shared" ref="G1636:K1636" si="1731">IFERROR(G1626/G1611,"-")</f>
        <v>8.3996210615660274E-2</v>
      </c>
      <c r="H1636" s="1">
        <f t="shared" si="1731"/>
        <v>8.7060033731646072E-2</v>
      </c>
      <c r="I1636" s="1">
        <f t="shared" si="1731"/>
        <v>8.7060033731645989E-2</v>
      </c>
      <c r="J1636" s="1" t="str">
        <f t="shared" si="1731"/>
        <v>-</v>
      </c>
      <c r="K1636" s="1" t="str">
        <f t="shared" si="1731"/>
        <v>-</v>
      </c>
      <c r="L1636" s="1" t="str">
        <f t="shared" ref="L1636" si="1732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2"/>
        <v>km/MJ</v>
      </c>
      <c r="F1637" s="1">
        <f>IFERROR(F1627/F1612,"-")</f>
        <v>0.11870351496053498</v>
      </c>
      <c r="G1637" s="1">
        <f t="shared" ref="G1637:K1637" si="1733">IFERROR(G1627/G1612,"-")</f>
        <v>0.11870351496053502</v>
      </c>
      <c r="H1637" s="1">
        <f t="shared" si="1733"/>
        <v>0.1187035149605352</v>
      </c>
      <c r="I1637" s="1">
        <f t="shared" si="1733"/>
        <v>0.11870351496053494</v>
      </c>
      <c r="J1637" s="1">
        <f t="shared" si="1733"/>
        <v>0.11870351496053487</v>
      </c>
      <c r="K1637" s="1">
        <f t="shared" si="1733"/>
        <v>0.11870351496053499</v>
      </c>
      <c r="L1637" s="1">
        <f t="shared" ref="L1637" si="1734">IFERROR(L1627/L1612,"-")</f>
        <v>0.11870351496053509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2"/>
        <v>km/MJ</v>
      </c>
      <c r="F1638" s="1" t="str">
        <f>IFERROR(F1628/F1613,"-")</f>
        <v>-</v>
      </c>
      <c r="G1638" s="1">
        <f t="shared" ref="G1638:K1638" si="1735">IFERROR(G1628/G1613,"-")</f>
        <v>0.16346685209675799</v>
      </c>
      <c r="H1638" s="1">
        <f t="shared" si="1735"/>
        <v>0.1634668520967581</v>
      </c>
      <c r="I1638" s="1">
        <f t="shared" si="1735"/>
        <v>0.16346685209675801</v>
      </c>
      <c r="J1638" s="1">
        <f t="shared" si="1735"/>
        <v>0.1634668520967581</v>
      </c>
      <c r="K1638" s="1">
        <f t="shared" si="1735"/>
        <v>0.16346685209675804</v>
      </c>
      <c r="L1638" s="1">
        <f t="shared" ref="L1638" si="1736">IFERROR(L1628/L1613,"-")</f>
        <v>0.16346685209675815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2"/>
        <v>km/MJ</v>
      </c>
      <c r="F1639" s="1">
        <f>IFERROR(F1629/F1619,"-")</f>
        <v>0.10322365358776006</v>
      </c>
      <c r="G1639" s="1">
        <f t="shared" ref="G1639:K1639" si="1737">IFERROR(G1629/G1619,"-")</f>
        <v>0.10361478161089266</v>
      </c>
      <c r="H1639" s="1">
        <f t="shared" si="1737"/>
        <v>0.10425834681625702</v>
      </c>
      <c r="I1639" s="1">
        <f t="shared" si="1737"/>
        <v>0.10997646759712902</v>
      </c>
      <c r="J1639" s="1">
        <f t="shared" si="1737"/>
        <v>0.11536786505358475</v>
      </c>
      <c r="K1639" s="1">
        <f t="shared" si="1737"/>
        <v>0.11838664202519684</v>
      </c>
      <c r="L1639" s="1">
        <f t="shared" ref="L1639" si="1738">IFERROR(L1629/L1619,"-")</f>
        <v>0.12873136025780735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28.743324455367091</v>
      </c>
      <c r="G1640" s="1">
        <f t="shared" ref="G1640:K1640" si="1739">G1641+G1645+G1649+G1655</f>
        <v>27.900941042116301</v>
      </c>
      <c r="H1640" s="1">
        <f t="shared" si="1739"/>
        <v>27.101762674109466</v>
      </c>
      <c r="I1640" s="1">
        <f t="shared" si="1739"/>
        <v>25.175304127937533</v>
      </c>
      <c r="J1640" s="1">
        <f t="shared" si="1739"/>
        <v>25.755409560123471</v>
      </c>
      <c r="K1640" s="1">
        <f t="shared" si="1739"/>
        <v>23.132158474578937</v>
      </c>
      <c r="L1640" s="1">
        <f t="shared" ref="L1640" si="1740">L1641+L1645+L1649+L1655</f>
        <v>20.971629035377088</v>
      </c>
      <c r="N1640" s="1"/>
    </row>
    <row r="1641" spans="2:14" x14ac:dyDescent="0.35">
      <c r="B1641" t="str">
        <f t="shared" ref="B1641:B1662" si="1741">B1640</f>
        <v>SPS1</v>
      </c>
      <c r="C1641" t="str">
        <f t="shared" ref="C1641:C1687" si="1742">C1640</f>
        <v>CH</v>
      </c>
      <c r="D1641" t="s">
        <v>1652</v>
      </c>
      <c r="E1641" t="s">
        <v>8</v>
      </c>
      <c r="F1641" s="1">
        <f>SUM(F1642:F1644)</f>
        <v>9.2070290559954771</v>
      </c>
      <c r="G1641" s="1">
        <f t="shared" ref="G1641:K1641" si="1743">SUM(G1642:G1644)</f>
        <v>9.5324495953200401</v>
      </c>
      <c r="H1641" s="1">
        <f t="shared" si="1743"/>
        <v>10.022968313936273</v>
      </c>
      <c r="I1641" s="1">
        <f t="shared" si="1743"/>
        <v>11.803838657773326</v>
      </c>
      <c r="J1641" s="1">
        <f t="shared" si="1743"/>
        <v>12.389968439069213</v>
      </c>
      <c r="K1641" s="1">
        <f t="shared" si="1743"/>
        <v>15.429865295186874</v>
      </c>
      <c r="L1641" s="1">
        <f t="shared" ref="L1641" si="1744">SUM(L1642:L1644)</f>
        <v>18.928993814566176</v>
      </c>
      <c r="N1641" s="1"/>
    </row>
    <row r="1642" spans="2:14" x14ac:dyDescent="0.35">
      <c r="B1642" t="str">
        <f t="shared" si="1741"/>
        <v>SPS1</v>
      </c>
      <c r="C1642" t="str">
        <f t="shared" si="1742"/>
        <v>CH</v>
      </c>
      <c r="D1642" t="s">
        <v>1653</v>
      </c>
      <c r="E1642" t="str">
        <f t="shared" ref="E1642:E1644" si="174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9.7093219886090889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10.452588275482805</v>
      </c>
      <c r="N1642" s="1"/>
    </row>
    <row r="1643" spans="2:14" x14ac:dyDescent="0.35">
      <c r="B1643" t="str">
        <f t="shared" si="1741"/>
        <v>SPS1</v>
      </c>
      <c r="C1643" t="str">
        <f t="shared" si="1742"/>
        <v>CH</v>
      </c>
      <c r="D1643" t="s">
        <v>1654</v>
      </c>
      <c r="E1643" t="str">
        <f t="shared" si="174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1.5023090428945314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1.5902755739090702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1.7461101595504112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1.8942510351550699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1.9813116317298227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2.0281372064422936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2.1804917131971213</v>
      </c>
      <c r="N1643" s="1"/>
    </row>
    <row r="1644" spans="2:14" x14ac:dyDescent="0.35">
      <c r="B1644" t="str">
        <f t="shared" si="1741"/>
        <v>SPS1</v>
      </c>
      <c r="C1644" t="str">
        <f t="shared" si="1742"/>
        <v>CH</v>
      </c>
      <c r="D1644" t="s">
        <v>1655</v>
      </c>
      <c r="E1644" t="str">
        <f t="shared" si="174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3.626858456004585E-2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6.895670208150706E-2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1.1977776254421741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1.1984514304087892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3.6924061001354915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6.2959138258862497</v>
      </c>
      <c r="N1644" s="1"/>
    </row>
    <row r="1645" spans="2:14" x14ac:dyDescent="0.35">
      <c r="B1645" t="str">
        <f t="shared" si="1741"/>
        <v>SPS1</v>
      </c>
      <c r="C1645" t="str">
        <f t="shared" si="174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6">SUM(G1646:G1648)</f>
        <v>0</v>
      </c>
      <c r="H1645" s="1">
        <f t="shared" si="1746"/>
        <v>0</v>
      </c>
      <c r="I1645" s="1">
        <f t="shared" si="1746"/>
        <v>0</v>
      </c>
      <c r="J1645" s="1">
        <f t="shared" si="1746"/>
        <v>0</v>
      </c>
      <c r="K1645" s="1">
        <f t="shared" si="1746"/>
        <v>6.2392089940426087E-5</v>
      </c>
      <c r="L1645" s="1">
        <f t="shared" ref="L1645" si="1747">SUM(L1646:L1648)</f>
        <v>7.5417955928491163E-5</v>
      </c>
      <c r="N1645" s="1"/>
    </row>
    <row r="1646" spans="2:14" x14ac:dyDescent="0.35">
      <c r="B1646" t="str">
        <f t="shared" si="1741"/>
        <v>SPS1</v>
      </c>
      <c r="C1646" t="str">
        <f t="shared" si="1742"/>
        <v>CH</v>
      </c>
      <c r="D1646" t="s">
        <v>1657</v>
      </c>
      <c r="E1646" t="str">
        <f t="shared" ref="E1646:E1648" si="174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0</v>
      </c>
      <c r="N1646" s="1"/>
    </row>
    <row r="1647" spans="2:14" x14ac:dyDescent="0.35">
      <c r="B1647" t="str">
        <f t="shared" si="1741"/>
        <v>SPS1</v>
      </c>
      <c r="C1647" t="str">
        <f t="shared" si="1742"/>
        <v>CH</v>
      </c>
      <c r="D1647" t="s">
        <v>1658</v>
      </c>
      <c r="E1647" t="str">
        <f t="shared" si="174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1"/>
        <v>SPS1</v>
      </c>
      <c r="C1648" t="str">
        <f t="shared" si="1742"/>
        <v>CH</v>
      </c>
      <c r="D1648" t="s">
        <v>1659</v>
      </c>
      <c r="E1648" t="str">
        <f t="shared" si="174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0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6.2392089940426087E-5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7.5417955928491163E-5</v>
      </c>
      <c r="N1648" s="1"/>
    </row>
    <row r="1649" spans="2:14" x14ac:dyDescent="0.35">
      <c r="B1649" t="str">
        <f t="shared" si="1741"/>
        <v>SPS1</v>
      </c>
      <c r="C1649" t="str">
        <f t="shared" si="174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49">G1654</f>
        <v>0.85637739221372011</v>
      </c>
      <c r="H1649" s="1">
        <f t="shared" si="1749"/>
        <v>0.27940381756229921</v>
      </c>
      <c r="I1649" s="1">
        <f t="shared" si="1749"/>
        <v>0.23975328315757954</v>
      </c>
      <c r="J1649" s="1">
        <f t="shared" si="1749"/>
        <v>0.16806071338476186</v>
      </c>
      <c r="K1649" s="1">
        <f t="shared" si="1749"/>
        <v>5.8871144654041183E-2</v>
      </c>
      <c r="L1649" s="1">
        <f t="shared" ref="L1649" si="1750">L1654</f>
        <v>0</v>
      </c>
      <c r="N1649" s="1"/>
    </row>
    <row r="1650" spans="2:14" x14ac:dyDescent="0.35">
      <c r="B1650" t="str">
        <f t="shared" si="1741"/>
        <v>SPS1</v>
      </c>
      <c r="C1650" t="str">
        <f t="shared" si="1742"/>
        <v>CH</v>
      </c>
      <c r="D1650" t="s">
        <v>1661</v>
      </c>
      <c r="E1650" t="str">
        <f t="shared" ref="E1650:E1662" si="1751">E1649</f>
        <v>PJ/yr.</v>
      </c>
      <c r="F1650" s="1">
        <f>F1649-F1651</f>
        <v>1.6634758259491111</v>
      </c>
      <c r="G1650" s="1">
        <f t="shared" ref="G1650:K1650" si="1752">G1649-G1651</f>
        <v>0.80949917245250202</v>
      </c>
      <c r="H1650" s="1">
        <f t="shared" si="1752"/>
        <v>0.26083886303913106</v>
      </c>
      <c r="I1650" s="1">
        <f t="shared" si="1752"/>
        <v>0.22662866692604888</v>
      </c>
      <c r="J1650" s="1">
        <f t="shared" si="1752"/>
        <v>0.15885430090196853</v>
      </c>
      <c r="K1650" s="1">
        <f t="shared" si="1752"/>
        <v>4.0723309971793242E-2</v>
      </c>
      <c r="L1650" s="1">
        <f>IFERROR(L1649-L1651,0)</f>
        <v>0</v>
      </c>
      <c r="N1650" s="1"/>
    </row>
    <row r="1651" spans="2:14" x14ac:dyDescent="0.35">
      <c r="B1651" t="str">
        <f t="shared" si="1741"/>
        <v>SPS1</v>
      </c>
      <c r="C1651" t="str">
        <f t="shared" si="1742"/>
        <v>CH</v>
      </c>
      <c r="D1651" t="s">
        <v>1662</v>
      </c>
      <c r="E1651" t="str">
        <f t="shared" si="1751"/>
        <v>PJ/yr.</v>
      </c>
      <c r="F1651" s="1">
        <f>SUM(F1652:F1653)</f>
        <v>9.6331937779246785E-2</v>
      </c>
      <c r="G1651" s="1">
        <f t="shared" ref="G1651:K1651" si="1753">SUM(G1652:G1653)</f>
        <v>4.6878219761218032E-2</v>
      </c>
      <c r="H1651" s="1">
        <f t="shared" si="1753"/>
        <v>1.8564954523168156E-2</v>
      </c>
      <c r="I1651" s="1">
        <f t="shared" si="1753"/>
        <v>1.3124616231530668E-2</v>
      </c>
      <c r="J1651" s="1">
        <f t="shared" si="1753"/>
        <v>9.2064124827933372E-3</v>
      </c>
      <c r="K1651" s="1">
        <f t="shared" si="1753"/>
        <v>1.8147834682247937E-2</v>
      </c>
      <c r="L1651" s="1">
        <f>IFERROR(SUM(L1652:L1653),0)</f>
        <v>0</v>
      </c>
      <c r="N1651" s="1"/>
    </row>
    <row r="1652" spans="2:14" x14ac:dyDescent="0.35">
      <c r="B1652" t="str">
        <f t="shared" si="1741"/>
        <v>SPS1</v>
      </c>
      <c r="C1652" t="str">
        <f t="shared" si="1742"/>
        <v>CH</v>
      </c>
      <c r="D1652" t="s">
        <v>1663</v>
      </c>
      <c r="E1652" t="str">
        <f t="shared" si="1751"/>
        <v>PJ/yr.</v>
      </c>
      <c r="F1652" s="1">
        <f>[1]Transport!B$25/SUM([1]Transport!B$21,[1]Transport!B$25)*F1649*(F$35+F$600)/(F$35+F$600+F$39)</f>
        <v>9.6331937779246785E-2</v>
      </c>
      <c r="G1652" s="1">
        <f>[1]Transport!C$25/SUM([1]Transport!C$21,[1]Transport!C$25)*G1649*(G$35+G$600)/(G$35+G$600+G$39)</f>
        <v>4.6878219761218032E-2</v>
      </c>
      <c r="H1652" s="1">
        <f>[1]Transport!D$25/SUM([1]Transport!D$21,[1]Transport!D$25)*H1649*(H$35+H$600)/(H$35+H$600+H$39)</f>
        <v>1.8564954523168156E-2</v>
      </c>
      <c r="I1652" s="1">
        <f>[1]Transport!E$25/SUM([1]Transport!E$21,[1]Transport!E$25)*I1649*(I$35+I$600)/(I$35+I$600+I$39)</f>
        <v>1.3124616231530668E-2</v>
      </c>
      <c r="J1652" s="1">
        <f>[2]Transport!F$25/SUM([2]Transport!F$21,[2]Transport!F$25)*J1649*(J$35+J$600)/(J$35+J$600+J$39)</f>
        <v>9.2064124827933372E-3</v>
      </c>
      <c r="K1652" s="1">
        <f>[2]Transport!G$25/SUM([2]Transport!G$21,[2]Transport!G$25)*K1649*(K$35+K$600)/(K$35+K$600+K$39)</f>
        <v>1.8147834682247937E-2</v>
      </c>
      <c r="L1652" s="1">
        <f>IFERROR([2]Transport!H$25/SUM([2]Transport!H$21,[2]Transport!H$25)*L1649*(L$35+L$600)/(L$35+L$600+L$39),0)</f>
        <v>0</v>
      </c>
      <c r="N1652" s="1"/>
    </row>
    <row r="1653" spans="2:14" x14ac:dyDescent="0.35">
      <c r="B1653" t="str">
        <f t="shared" si="1741"/>
        <v>SPS1</v>
      </c>
      <c r="C1653" t="str">
        <f t="shared" si="1742"/>
        <v>CH</v>
      </c>
      <c r="D1653" t="s">
        <v>1664</v>
      </c>
      <c r="E1653" t="str">
        <f t="shared" si="175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IFERROR((L$39+L$719)/([2]Transport!H$21+[2]Transport!H$25)*L1649,0)</f>
        <v>0</v>
      </c>
      <c r="N1653" s="1"/>
    </row>
    <row r="1654" spans="2:14" x14ac:dyDescent="0.35">
      <c r="B1654" t="str">
        <f t="shared" si="1741"/>
        <v>SPS1</v>
      </c>
      <c r="C1654" t="str">
        <f t="shared" si="1742"/>
        <v>CH</v>
      </c>
      <c r="D1654" t="s">
        <v>1665</v>
      </c>
      <c r="E1654" t="str">
        <f t="shared" si="175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0.85637739221372011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0.27940381756229921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0.23975328315757954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0.16806071338476186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5.8871144654041183E-2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1"/>
        <v>SPS1</v>
      </c>
      <c r="C1655" t="str">
        <f t="shared" si="1742"/>
        <v>CH</v>
      </c>
      <c r="D1655" t="s">
        <v>1666</v>
      </c>
      <c r="E1655" t="str">
        <f t="shared" si="1751"/>
        <v>PJ/yr.</v>
      </c>
      <c r="F1655" s="1">
        <f>[1]TRA_FuelByFleet!F$99</f>
        <v>17.776487635643257</v>
      </c>
      <c r="G1655" s="1">
        <f>[1]TRA_FuelByFleet!G$99</f>
        <v>17.51211405458254</v>
      </c>
      <c r="H1655" s="1">
        <f>[1]TRA_FuelByFleet!H$99</f>
        <v>16.799390542610894</v>
      </c>
      <c r="I1655" s="1">
        <f>[1]TRA_FuelByFleet!I$99</f>
        <v>13.131712187006627</v>
      </c>
      <c r="J1655" s="1">
        <f>[2]TRA_FuelByFleet!J$99</f>
        <v>13.197380407669497</v>
      </c>
      <c r="K1655" s="1">
        <f>[2]TRA_FuelByFleet!K$99</f>
        <v>7.6433596426480825</v>
      </c>
      <c r="L1655" s="1">
        <f>[2]TRA_FuelByFleet!L$99</f>
        <v>2.0425598028549814</v>
      </c>
      <c r="N1655" s="1"/>
    </row>
    <row r="1656" spans="2:14" x14ac:dyDescent="0.35">
      <c r="B1656" t="str">
        <f t="shared" si="1741"/>
        <v>SPS1</v>
      </c>
      <c r="C1656" t="str">
        <f t="shared" si="1742"/>
        <v>CH</v>
      </c>
      <c r="D1656" t="s">
        <v>1667</v>
      </c>
      <c r="E1656" t="str">
        <f t="shared" si="1751"/>
        <v>PJ/yr.</v>
      </c>
      <c r="F1656" s="1">
        <f>F1655-F1657</f>
        <v>17.347943590737984</v>
      </c>
      <c r="G1656" s="1">
        <f t="shared" ref="G1656:K1656" si="1754">G1655-G1657</f>
        <v>17.055736072645995</v>
      </c>
      <c r="H1656" s="1">
        <f t="shared" si="1754"/>
        <v>16.270546994073246</v>
      </c>
      <c r="I1656" s="1">
        <f t="shared" si="1754"/>
        <v>12.618157389971154</v>
      </c>
      <c r="J1656" s="1">
        <f t="shared" si="1754"/>
        <v>12.604500436783544</v>
      </c>
      <c r="K1656" s="1">
        <f t="shared" si="1754"/>
        <v>7.3439582574146725</v>
      </c>
      <c r="L1656" s="1">
        <f t="shared" ref="L1656" si="1755">L1655-L1657</f>
        <v>0</v>
      </c>
      <c r="N1656" s="1"/>
    </row>
    <row r="1657" spans="2:14" x14ac:dyDescent="0.35">
      <c r="B1657" t="str">
        <f t="shared" si="1741"/>
        <v>SPS1</v>
      </c>
      <c r="C1657" t="str">
        <f t="shared" si="1742"/>
        <v>CH</v>
      </c>
      <c r="D1657" t="s">
        <v>1668</v>
      </c>
      <c r="E1657" t="str">
        <f t="shared" si="1751"/>
        <v>PJ/yr.</v>
      </c>
      <c r="F1657" s="1">
        <f>SUM(F1658:F1659)</f>
        <v>0.42854404490527348</v>
      </c>
      <c r="G1657" s="1">
        <f t="shared" ref="G1657:K1657" si="1756">SUM(G1658:G1659)</f>
        <v>0.45637798193654594</v>
      </c>
      <c r="H1657" s="1">
        <f t="shared" si="1756"/>
        <v>0.52884354853764792</v>
      </c>
      <c r="I1657" s="1">
        <f t="shared" si="1756"/>
        <v>0.51355479703547302</v>
      </c>
      <c r="J1657" s="1">
        <f t="shared" si="1756"/>
        <v>0.59287997088595212</v>
      </c>
      <c r="K1657" s="1">
        <f t="shared" si="1756"/>
        <v>0.2994013852334102</v>
      </c>
      <c r="L1657" s="1">
        <f t="shared" ref="L1657" si="1757">SUM(L1658:L1659)</f>
        <v>2.0425598028549814</v>
      </c>
      <c r="N1657" s="1"/>
    </row>
    <row r="1658" spans="2:14" x14ac:dyDescent="0.35">
      <c r="B1658" t="str">
        <f t="shared" si="1741"/>
        <v>SPS1</v>
      </c>
      <c r="C1658" t="str">
        <f t="shared" si="1742"/>
        <v>CH</v>
      </c>
      <c r="D1658" t="s">
        <v>1669</v>
      </c>
      <c r="E1658" t="str">
        <f t="shared" si="1751"/>
        <v>PJ/yr.</v>
      </c>
      <c r="F1658" s="1">
        <f>[1]Transport!B$26/SUM([1]Transport!B$22,[1]Transport!B$26)*F1655*(F$34+F$582)/(F$34+F$582+F$38)</f>
        <v>0.42854404490527348</v>
      </c>
      <c r="G1658" s="1">
        <f>[1]Transport!C$26/SUM([1]Transport!C$22,[1]Transport!C$26)*G1655*(G$34+G$582)/(G$34+G$582+G$38)</f>
        <v>0.45637798193654594</v>
      </c>
      <c r="H1658" s="1">
        <f>[1]Transport!D$26/SUM([1]Transport!D$22,[1]Transport!D$26)*H1655*(H$34+H$582)/(H$34+H$582+H$38)</f>
        <v>0.52884354853764792</v>
      </c>
      <c r="I1658" s="1">
        <f>[1]Transport!E$26/SUM([1]Transport!E$22,[1]Transport!E$26)*I1655*(I$34+I$582)/(I$34+I$582+I$38)</f>
        <v>0.51355479703547302</v>
      </c>
      <c r="J1658" s="1">
        <f>[2]Transport!F$26/SUM([2]Transport!F$22,[2]Transport!F$26)*J1655*(J$34+J$582)/(J$34+J$582+J$38)</f>
        <v>0.59287997088595212</v>
      </c>
      <c r="K1658" s="1">
        <f>[2]Transport!G$26/SUM([2]Transport!G$22,[2]Transport!G$26)*K1655*(K$34+K$582)/(K$34+K$582+K$38)</f>
        <v>0.2994013852334102</v>
      </c>
      <c r="L1658" s="1">
        <f>[2]Transport!H$26/SUM([2]Transport!H$22,[2]Transport!H$26)*L1655*(L$34+L$582)/(L$34+L$582+L$38)</f>
        <v>1.0040041960097883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1.0385556068451931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1"/>
        <v>SPS1</v>
      </c>
      <c r="C1661" t="str">
        <f t="shared" si="1742"/>
        <v>CH</v>
      </c>
      <c r="D1661" t="s">
        <v>1672</v>
      </c>
      <c r="E1661" t="str">
        <f t="shared" si="175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0.3960898293085478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0.2775898290112877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1.0950844863006834E-3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6.3880724706526237E-4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5.897511702092522E-4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5.9782332405412147E-4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1"/>
        <v>SPS1</v>
      </c>
      <c r="C1662" t="str">
        <f t="shared" si="1742"/>
        <v>CH</v>
      </c>
      <c r="D1662" t="s">
        <v>1673</v>
      </c>
      <c r="E1662" t="str">
        <f t="shared" si="175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17.234524225571253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16.798295458124592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13.131073379759561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13.196790656499289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7.6427618193240283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2.0425598028549814</v>
      </c>
      <c r="N1662" s="1"/>
    </row>
    <row r="1663" spans="2:14" x14ac:dyDescent="0.35">
      <c r="B1663" t="str">
        <f t="shared" ref="B1663:C1665" si="1758">B1657</f>
        <v>SPS1</v>
      </c>
      <c r="C1663" t="str">
        <f t="shared" si="1758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30.627515753556303</v>
      </c>
      <c r="G1663" s="1">
        <f>IF([1]Transport!C$23+[1]Transport_Aviation_Intl!C$11&lt;0,0,[1]Transport!C$23+[1]Transport_Aviation_Intl!C$11)</f>
        <v>59.87998524743977</v>
      </c>
      <c r="H1663" s="1">
        <f>IF([1]Transport!D$23+[1]Transport_Aviation_Intl!D$11&lt;0,0,[1]Transport!D$23+[1]Transport_Aviation_Intl!D$11)</f>
        <v>82.509339879683253</v>
      </c>
      <c r="I1663" s="1">
        <f>IF([1]Transport!E$23+[1]Transport_Aviation_Intl!E$11&lt;0,0,[1]Transport!E$23+[1]Transport_Aviation_Intl!E$11)</f>
        <v>81.625343368873502</v>
      </c>
      <c r="J1663" s="1">
        <f>IF([2]Transport!F$23+[2]Transport_Aviation_Intl!F$11&lt;0,0,[2]Transport!F$23+[2]Transport_Aviation_Intl!F$11)</f>
        <v>68.621796670478545</v>
      </c>
      <c r="K1663" s="1">
        <f>IF([2]Transport!G$23+[2]Transport_Aviation_Intl!G$11&lt;0,0,[2]Transport!G$23+[2]Transport_Aviation_Intl!G$11)</f>
        <v>55.126707011280899</v>
      </c>
      <c r="L1663" s="1">
        <f>IF([2]Transport!H$23+[2]Transport_Aviation_Intl!H$11&lt;0,0,[2]Transport!H$23+[2]Transport_Aviation_Intl!H$11)</f>
        <v>23.872657659063663</v>
      </c>
      <c r="N1663" s="1"/>
    </row>
    <row r="1664" spans="2:14" x14ac:dyDescent="0.35">
      <c r="B1664" t="str">
        <f t="shared" si="1758"/>
        <v>SPS1</v>
      </c>
      <c r="C1664" t="str">
        <f t="shared" si="1758"/>
        <v>CH</v>
      </c>
      <c r="D1664" t="s">
        <v>2480</v>
      </c>
      <c r="E1664" t="str">
        <f>E1658</f>
        <v>PJ/yr.</v>
      </c>
      <c r="F1664" s="1">
        <f t="shared" ref="F1664:K1664" si="1759">F36</f>
        <v>2.4842702656880998E-3</v>
      </c>
      <c r="G1664" s="1">
        <f t="shared" si="1759"/>
        <v>1.4769009814737101E-5</v>
      </c>
      <c r="H1664" s="1">
        <f t="shared" si="1759"/>
        <v>3.7230011209845102E-4</v>
      </c>
      <c r="I1664" s="1">
        <f t="shared" si="1759"/>
        <v>5.2467075825699236</v>
      </c>
      <c r="J1664" s="1">
        <f t="shared" si="1759"/>
        <v>5.2467075825699236</v>
      </c>
      <c r="K1664" s="1">
        <f t="shared" si="1759"/>
        <v>18.004919021319001</v>
      </c>
      <c r="L1664" s="1">
        <f t="shared" ref="L1664" si="1760">L36</f>
        <v>30.013450784674404</v>
      </c>
      <c r="N1664" s="1"/>
    </row>
    <row r="1665" spans="2:14" x14ac:dyDescent="0.35">
      <c r="B1665" t="str">
        <f t="shared" si="1758"/>
        <v>SPS1</v>
      </c>
      <c r="C1665" t="str">
        <f t="shared" si="1758"/>
        <v>CH</v>
      </c>
      <c r="D1665" t="s">
        <v>2481</v>
      </c>
      <c r="E1665" t="str">
        <f>E1659</f>
        <v>PJ/yr.</v>
      </c>
      <c r="F1665" s="1">
        <f t="shared" ref="F1665:K1665" si="1761">F40</f>
        <v>0</v>
      </c>
      <c r="G1665" s="1">
        <f t="shared" si="1761"/>
        <v>0</v>
      </c>
      <c r="H1665" s="1">
        <f t="shared" si="1761"/>
        <v>0</v>
      </c>
      <c r="I1665" s="1">
        <f t="shared" si="1761"/>
        <v>0</v>
      </c>
      <c r="J1665" s="1">
        <f t="shared" si="1761"/>
        <v>12.758211438749077</v>
      </c>
      <c r="K1665" s="1">
        <f t="shared" si="1761"/>
        <v>12.008531763355403</v>
      </c>
      <c r="L1665" s="1">
        <f t="shared" ref="L1665" si="1762">L40</f>
        <v>27.380203293171348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3">B1666</f>
        <v>SPS1</v>
      </c>
      <c r="C1667" t="str">
        <f t="shared" si="174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0.24502563722589676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0.26340107396293244</v>
      </c>
      <c r="N1667" s="1"/>
    </row>
    <row r="1668" spans="2:14" x14ac:dyDescent="0.35">
      <c r="B1668" t="str">
        <f t="shared" si="1763"/>
        <v>SPS1</v>
      </c>
      <c r="C1668" t="str">
        <f t="shared" si="1742"/>
        <v>CH</v>
      </c>
      <c r="D1668" t="s">
        <v>1676</v>
      </c>
      <c r="E1668" t="str">
        <f t="shared" ref="E1668:E1671" si="1764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2.5094618656008191E-2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2.6564014424303985E-2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2.9167080363754001E-2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3.1641630322864558E-2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3.3095893333089481E-2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3.3878069241778642E-2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3.6423003831382292E-2</v>
      </c>
      <c r="N1668" s="1"/>
    </row>
    <row r="1669" spans="2:14" x14ac:dyDescent="0.35">
      <c r="B1669" t="str">
        <f t="shared" si="1763"/>
        <v>SPS1</v>
      </c>
      <c r="C1669" t="str">
        <f t="shared" si="174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8.9488790164461499E-2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0.170143167092414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2.9553860975584199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2.9562882030781501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8.5432466377823797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14.1301013724615</v>
      </c>
      <c r="N1669" s="1"/>
    </row>
    <row r="1670" spans="2:14" x14ac:dyDescent="0.35">
      <c r="B1670" t="str">
        <f t="shared" si="1763"/>
        <v>SPS1</v>
      </c>
      <c r="C1670" t="str">
        <f t="shared" si="174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0</v>
      </c>
      <c r="N1670" s="1"/>
    </row>
    <row r="1671" spans="2:14" x14ac:dyDescent="0.35">
      <c r="B1671" t="str">
        <f t="shared" si="1763"/>
        <v>SPS1</v>
      </c>
      <c r="C1671" t="str">
        <f t="shared" si="1742"/>
        <v>CH</v>
      </c>
      <c r="D1671" t="s">
        <v>1679</v>
      </c>
      <c r="E1671" t="str">
        <f t="shared" si="1764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3"/>
        <v>SPS1</v>
      </c>
      <c r="C1672" t="str">
        <f t="shared" si="174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0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1.11898856958373E-4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1.35260464436968E-4</v>
      </c>
      <c r="N1672" s="1"/>
    </row>
    <row r="1673" spans="2:14" x14ac:dyDescent="0.35">
      <c r="B1673" t="str">
        <f t="shared" si="1763"/>
        <v>SPS1</v>
      </c>
      <c r="C1673" t="str">
        <f t="shared" si="174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0.77623097524168105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0.25325504825856798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0.21731531739964199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0.15233229255766001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5.3361527807586101E-2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3"/>
        <v>SPS1</v>
      </c>
      <c r="C1674" t="str">
        <f t="shared" si="174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3"/>
        <v>SPS1</v>
      </c>
      <c r="C1675" t="str">
        <f t="shared" si="1742"/>
        <v>CH</v>
      </c>
      <c r="D1675" t="s">
        <v>1683</v>
      </c>
      <c r="E1675" t="str">
        <f t="shared" ref="E1675" si="1765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1.6053813439918054E-3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1.1250920872029038E-3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4.4384583352492235E-6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2.5891329717695529E-6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2.3903050676763165E-6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2.4230221036350712E-6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3"/>
        <v>SPS1</v>
      </c>
      <c r="C1676" t="str">
        <f t="shared" si="174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17.0323594674167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16.6012477593165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12.977043002164899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13.041989400800601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7.55311054293169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2.0186001273132801</v>
      </c>
      <c r="N1676" s="1"/>
    </row>
    <row r="1677" spans="2:14" x14ac:dyDescent="0.35">
      <c r="B1677" s="2" t="str">
        <f t="shared" si="1763"/>
        <v>SPS1</v>
      </c>
      <c r="C1677" s="2" t="str">
        <f t="shared" si="174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3"/>
        <v>SPS1</v>
      </c>
      <c r="C1678" t="str">
        <f t="shared" si="1742"/>
        <v>CH</v>
      </c>
      <c r="D1678" t="s">
        <v>1686</v>
      </c>
      <c r="E1678" t="s">
        <v>1229</v>
      </c>
      <c r="F1678" s="7">
        <f t="shared" ref="F1678:K1680" si="1766">IFERROR(F1667/F1642,"-")</f>
        <v>2.5309161094553195E-2</v>
      </c>
      <c r="G1678" s="7">
        <f t="shared" si="1766"/>
        <v>2.5301857215832019E-2</v>
      </c>
      <c r="H1678" s="7">
        <f t="shared" si="1766"/>
        <v>2.5290901397750198E-2</v>
      </c>
      <c r="I1678" s="7">
        <f t="shared" si="1766"/>
        <v>2.5272641700947188E-2</v>
      </c>
      <c r="J1678" s="7">
        <f t="shared" si="1766"/>
        <v>2.5254382004144305E-2</v>
      </c>
      <c r="K1678" s="7">
        <f t="shared" si="1766"/>
        <v>2.5236122307341253E-2</v>
      </c>
      <c r="L1678" s="7">
        <f t="shared" ref="L1678" si="1767">IFERROR(L1667/L1642,"-")</f>
        <v>2.5199602913735349E-2</v>
      </c>
      <c r="N1678" s="1"/>
    </row>
    <row r="1679" spans="2:14" x14ac:dyDescent="0.35">
      <c r="B1679" t="str">
        <f t="shared" si="1763"/>
        <v>SPS1</v>
      </c>
      <c r="C1679" t="str">
        <f t="shared" si="1742"/>
        <v>CH</v>
      </c>
      <c r="D1679" t="s">
        <v>1687</v>
      </c>
      <c r="E1679" t="s">
        <v>1229</v>
      </c>
      <c r="F1679" s="7">
        <f t="shared" si="1766"/>
        <v>1.6704032219401307E-2</v>
      </c>
      <c r="G1679" s="7">
        <f t="shared" si="1766"/>
        <v>1.6704032219401289E-2</v>
      </c>
      <c r="H1679" s="7">
        <f t="shared" si="1766"/>
        <v>1.6704032219401293E-2</v>
      </c>
      <c r="I1679" s="7">
        <f t="shared" si="1766"/>
        <v>1.6704032219401303E-2</v>
      </c>
      <c r="J1679" s="7">
        <f t="shared" si="1766"/>
        <v>1.6704032219401279E-2</v>
      </c>
      <c r="K1679" s="7">
        <f t="shared" si="1766"/>
        <v>1.6704032219401314E-2</v>
      </c>
      <c r="L1679" s="7">
        <f t="shared" ref="L1679" si="1768">IFERROR(L1668/L1643,"-")</f>
        <v>1.6704032219401317E-2</v>
      </c>
      <c r="N1679" s="1"/>
    </row>
    <row r="1680" spans="2:14" x14ac:dyDescent="0.35">
      <c r="B1680" t="str">
        <f t="shared" si="1763"/>
        <v>SPS1</v>
      </c>
      <c r="C1680" t="str">
        <f t="shared" si="1742"/>
        <v>CH</v>
      </c>
      <c r="D1680" t="s">
        <v>1688</v>
      </c>
      <c r="E1680" t="s">
        <v>240</v>
      </c>
      <c r="F1680" t="str">
        <f t="shared" si="1766"/>
        <v>-</v>
      </c>
      <c r="G1680">
        <f t="shared" si="1766"/>
        <v>2.4673913043478413</v>
      </c>
      <c r="H1680">
        <f t="shared" si="1766"/>
        <v>2.4673913043478239</v>
      </c>
      <c r="I1680">
        <f t="shared" si="1766"/>
        <v>2.4673913043478359</v>
      </c>
      <c r="J1680">
        <f t="shared" si="1766"/>
        <v>2.4667567896929845</v>
      </c>
      <c r="K1680">
        <f t="shared" si="1766"/>
        <v>2.3137342984751563</v>
      </c>
      <c r="L1680">
        <f t="shared" ref="L1680" si="1769">IFERROR(L1669/L1644,"-")</f>
        <v>2.2443289033538294</v>
      </c>
      <c r="N1680" s="1"/>
    </row>
    <row r="1681" spans="2:14" x14ac:dyDescent="0.35">
      <c r="B1681" t="str">
        <f t="shared" si="1763"/>
        <v>SPS1</v>
      </c>
      <c r="C1681" t="str">
        <f t="shared" si="1742"/>
        <v>CH</v>
      </c>
      <c r="D1681" t="s">
        <v>1689</v>
      </c>
      <c r="E1681" t="s">
        <v>1229</v>
      </c>
      <c r="F1681" t="str">
        <f t="shared" ref="F1681:K1683" si="1770">IFERROR(F1670/F1646,"-")</f>
        <v>-</v>
      </c>
      <c r="G1681" t="str">
        <f t="shared" si="1770"/>
        <v>-</v>
      </c>
      <c r="H1681" t="str">
        <f t="shared" si="1770"/>
        <v>-</v>
      </c>
      <c r="I1681" t="str">
        <f t="shared" si="1770"/>
        <v>-</v>
      </c>
      <c r="J1681" t="str">
        <f t="shared" si="1770"/>
        <v>-</v>
      </c>
      <c r="K1681" t="str">
        <f t="shared" si="1770"/>
        <v>-</v>
      </c>
      <c r="L1681" t="str">
        <f t="shared" ref="L1681" si="1771">IFERROR(L1670/L1646,"-")</f>
        <v>-</v>
      </c>
      <c r="N1681" s="1"/>
    </row>
    <row r="1682" spans="2:14" x14ac:dyDescent="0.35">
      <c r="B1682" t="str">
        <f t="shared" si="1763"/>
        <v>SPS1</v>
      </c>
      <c r="C1682" t="str">
        <f t="shared" si="1742"/>
        <v>CH</v>
      </c>
      <c r="D1682" t="s">
        <v>1690</v>
      </c>
      <c r="E1682" t="s">
        <v>1229</v>
      </c>
      <c r="F1682" t="str">
        <f t="shared" si="1770"/>
        <v>-</v>
      </c>
      <c r="G1682" t="str">
        <f t="shared" si="1770"/>
        <v>-</v>
      </c>
      <c r="H1682" t="str">
        <f t="shared" si="1770"/>
        <v>-</v>
      </c>
      <c r="I1682" t="str">
        <f t="shared" si="1770"/>
        <v>-</v>
      </c>
      <c r="J1682" t="str">
        <f t="shared" si="1770"/>
        <v>-</v>
      </c>
      <c r="K1682" t="str">
        <f t="shared" si="1770"/>
        <v>-</v>
      </c>
      <c r="L1682" t="str">
        <f t="shared" ref="L1682" si="1772">IFERROR(L1671/L1647,"-")</f>
        <v>-</v>
      </c>
      <c r="N1682" s="1"/>
    </row>
    <row r="1683" spans="2:14" x14ac:dyDescent="0.35">
      <c r="B1683" t="str">
        <f t="shared" si="1763"/>
        <v>SPS1</v>
      </c>
      <c r="C1683" t="str">
        <f t="shared" si="1742"/>
        <v>CH</v>
      </c>
      <c r="D1683" t="s">
        <v>1691</v>
      </c>
      <c r="E1683" t="s">
        <v>240</v>
      </c>
      <c r="F1683" t="str">
        <f t="shared" si="1770"/>
        <v>-</v>
      </c>
      <c r="G1683" t="str">
        <f t="shared" si="1770"/>
        <v>-</v>
      </c>
      <c r="H1683" t="str">
        <f t="shared" si="1770"/>
        <v>-</v>
      </c>
      <c r="I1683" t="str">
        <f t="shared" si="1770"/>
        <v>-</v>
      </c>
      <c r="J1683" t="str">
        <f t="shared" si="1770"/>
        <v>-</v>
      </c>
      <c r="K1683">
        <f t="shared" si="1770"/>
        <v>1.7934782608695672</v>
      </c>
      <c r="L1683">
        <f t="shared" ref="L1683" si="1773">IFERROR(L1672/L1648,"-")</f>
        <v>1.7934782608695672</v>
      </c>
      <c r="N1683" s="1"/>
    </row>
    <row r="1684" spans="2:14" x14ac:dyDescent="0.35">
      <c r="B1684" t="str">
        <f t="shared" si="1763"/>
        <v>SPS1</v>
      </c>
      <c r="C1684" t="str">
        <f t="shared" si="1742"/>
        <v>CH</v>
      </c>
      <c r="D1684" t="s">
        <v>1692</v>
      </c>
      <c r="E1684" t="s">
        <v>240</v>
      </c>
      <c r="F1684" s="4">
        <f t="shared" ref="F1684:K1684" si="1774">IFERROR(F1673/F1654,"-")</f>
        <v>0.90641226905247907</v>
      </c>
      <c r="G1684" s="4">
        <f t="shared" si="1774"/>
        <v>0.90641226905247696</v>
      </c>
      <c r="H1684" s="4">
        <f t="shared" si="1774"/>
        <v>0.90641226905247718</v>
      </c>
      <c r="I1684" s="4">
        <f t="shared" si="1774"/>
        <v>0.90641226905247407</v>
      </c>
      <c r="J1684" s="4">
        <f t="shared" si="1774"/>
        <v>0.90641226905247707</v>
      </c>
      <c r="K1684" s="4">
        <f t="shared" si="1774"/>
        <v>0.90641226905247751</v>
      </c>
      <c r="L1684" s="4" t="str">
        <f t="shared" ref="L1684" si="1775">IFERROR(L1673/L1654,"-")</f>
        <v>-</v>
      </c>
      <c r="N1684" s="1"/>
    </row>
    <row r="1685" spans="2:14" x14ac:dyDescent="0.35">
      <c r="B1685" t="str">
        <f t="shared" si="1763"/>
        <v>SPS1</v>
      </c>
      <c r="C1685" t="str">
        <f t="shared" si="1742"/>
        <v>CH</v>
      </c>
      <c r="D1685" t="s">
        <v>1693</v>
      </c>
      <c r="E1685" t="s">
        <v>1229</v>
      </c>
      <c r="F1685" t="str">
        <f t="shared" ref="F1685:K1687" si="1776">IFERROR(F1674/F1660,"-")</f>
        <v>-</v>
      </c>
      <c r="G1685" t="str">
        <f t="shared" si="1776"/>
        <v>-</v>
      </c>
      <c r="H1685" t="str">
        <f t="shared" si="1776"/>
        <v>-</v>
      </c>
      <c r="I1685" t="str">
        <f t="shared" si="1776"/>
        <v>-</v>
      </c>
      <c r="J1685" t="str">
        <f t="shared" si="1776"/>
        <v>-</v>
      </c>
      <c r="K1685" t="str">
        <f t="shared" si="1776"/>
        <v>-</v>
      </c>
      <c r="L1685" t="str">
        <f t="shared" ref="L1685" si="1777">IFERROR(L1674/L1660,"-")</f>
        <v>-</v>
      </c>
      <c r="N1685" s="1"/>
    </row>
    <row r="1686" spans="2:14" x14ac:dyDescent="0.35">
      <c r="B1686" t="str">
        <f t="shared" si="1763"/>
        <v>SPS1</v>
      </c>
      <c r="C1686" t="str">
        <f t="shared" si="1742"/>
        <v>CH</v>
      </c>
      <c r="D1686" t="s">
        <v>1694</v>
      </c>
      <c r="E1686" t="s">
        <v>1229</v>
      </c>
      <c r="F1686" s="1">
        <f t="shared" si="1776"/>
        <v>4.0530738867855113E-3</v>
      </c>
      <c r="G1686" s="1">
        <f t="shared" si="1776"/>
        <v>4.0530738867855061E-3</v>
      </c>
      <c r="H1686">
        <f t="shared" si="1776"/>
        <v>4.0530738867855095E-3</v>
      </c>
      <c r="I1686">
        <f t="shared" si="1776"/>
        <v>4.0530738867855078E-3</v>
      </c>
      <c r="J1686">
        <f t="shared" si="1776"/>
        <v>4.0530738867855095E-3</v>
      </c>
      <c r="K1686">
        <f t="shared" si="1776"/>
        <v>4.0530738867855095E-3</v>
      </c>
      <c r="L1686" t="str">
        <f t="shared" ref="L1686" si="1778">IFERROR(L1675/L1661,"-")</f>
        <v>-</v>
      </c>
      <c r="N1686" s="1"/>
    </row>
    <row r="1687" spans="2:14" x14ac:dyDescent="0.35">
      <c r="B1687" t="str">
        <f t="shared" si="1763"/>
        <v>SPS1</v>
      </c>
      <c r="C1687" t="str">
        <f t="shared" si="1742"/>
        <v>CH</v>
      </c>
      <c r="D1687" t="s">
        <v>1695</v>
      </c>
      <c r="E1687" t="s">
        <v>240</v>
      </c>
      <c r="F1687" s="4">
        <f t="shared" si="1776"/>
        <v>0.98826978015125178</v>
      </c>
      <c r="G1687" s="4">
        <f t="shared" si="1776"/>
        <v>0.98826978015125033</v>
      </c>
      <c r="H1687" s="4">
        <f t="shared" si="1776"/>
        <v>0.98826978015124811</v>
      </c>
      <c r="I1687" s="4">
        <f t="shared" si="1776"/>
        <v>0.988269780151249</v>
      </c>
      <c r="J1687" s="4">
        <f t="shared" si="1776"/>
        <v>0.98826978015124833</v>
      </c>
      <c r="K1687" s="4">
        <f t="shared" si="1776"/>
        <v>0.98826978015124545</v>
      </c>
      <c r="L1687" s="4">
        <f t="shared" ref="L1687" si="1779">IFERROR(L1676/L1662,"-")</f>
        <v>0.98826978015125344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34.722151502793416</v>
      </c>
      <c r="G1688" s="3">
        <f t="shared" ref="G1688:K1688" si="1780">SUM(G1689:G1691,G1694:G1696,-G1701)</f>
        <v>32.478226523999972</v>
      </c>
      <c r="H1688" s="3">
        <f t="shared" si="1780"/>
        <v>30.104374609990408</v>
      </c>
      <c r="I1688" s="3">
        <f t="shared" si="1780"/>
        <v>22.53155244443494</v>
      </c>
      <c r="J1688" s="3">
        <f t="shared" si="1780"/>
        <v>14.968464568204443</v>
      </c>
      <c r="K1688" s="3">
        <f t="shared" si="1780"/>
        <v>10.320806950423487</v>
      </c>
      <c r="L1688" s="3">
        <f t="shared" ref="L1688" si="1781">SUM(L1689:L1691,L1694:L1696,-L1701)</f>
        <v>1.3236395126289865E-5</v>
      </c>
      <c r="N1688" s="1"/>
    </row>
    <row r="1689" spans="2:14" x14ac:dyDescent="0.35">
      <c r="B1689" t="str">
        <f>B1688</f>
        <v>SPS1</v>
      </c>
      <c r="C1689" t="str">
        <f t="shared" ref="C1689" si="1782">C1688</f>
        <v>CH</v>
      </c>
      <c r="D1689" t="s">
        <v>1702</v>
      </c>
      <c r="E1689" t="str">
        <f>E1688</f>
        <v>Mt/yr.</v>
      </c>
      <c r="F1689" s="1">
        <f>[1]Summary!B53+[1]Summary!B59</f>
        <v>2.6061073639179018</v>
      </c>
      <c r="G1689" s="1">
        <f>[1]Summary!C53+[1]Summary!C59</f>
        <v>2.7145697120443448</v>
      </c>
      <c r="H1689" s="1">
        <f>[1]Summary!D53+[1]Summary!D59</f>
        <v>2.5382052316497252</v>
      </c>
      <c r="I1689" s="1">
        <f>[1]Summary!E53+[1]Summary!E59</f>
        <v>2.5636893480683405</v>
      </c>
      <c r="J1689" s="1">
        <f>[2]Summary!F53+[2]Summary!F59</f>
        <v>2.5728324500353099</v>
      </c>
      <c r="K1689" s="1">
        <f>[2]Summary!G53+[2]Summary!G59</f>
        <v>2.3573364685231319</v>
      </c>
      <c r="L1689" s="1">
        <f>[2]Summary!H53+[2]Summary!H59</f>
        <v>-1.9214851613905877</v>
      </c>
      <c r="N1689" s="1"/>
    </row>
    <row r="1690" spans="2:14" x14ac:dyDescent="0.35">
      <c r="B1690" t="str">
        <f t="shared" ref="B1690:B1701" si="1783">B1689</f>
        <v>SPS1</v>
      </c>
      <c r="C1690" t="str">
        <f t="shared" ref="C1690:C1701" si="1784">C1689</f>
        <v>CH</v>
      </c>
      <c r="D1690" t="s">
        <v>1703</v>
      </c>
      <c r="E1690" t="str">
        <f t="shared" ref="E1690:E1701" si="1785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3"/>
        <v>SPS1</v>
      </c>
      <c r="C1691" t="str">
        <f t="shared" si="1784"/>
        <v>CH</v>
      </c>
      <c r="D1691" t="s">
        <v>1704</v>
      </c>
      <c r="E1691" t="str">
        <f t="shared" si="1785"/>
        <v>Mt/yr.</v>
      </c>
      <c r="F1691" s="1">
        <f>[1]Summary!B55+[1]Summary!B60</f>
        <v>6.4937752321076019</v>
      </c>
      <c r="G1691" s="1">
        <f>[1]Summary!C55+[1]Summary!C60</f>
        <v>6.1271380201437431</v>
      </c>
      <c r="H1691" s="1">
        <f>[1]Summary!D55+[1]Summary!D60</f>
        <v>5.7453886094827737</v>
      </c>
      <c r="I1691" s="1">
        <f>[1]Summary!E55+[1]Summary!E60</f>
        <v>4.8718535899180591</v>
      </c>
      <c r="J1691" s="1">
        <f>[2]Summary!F55+[2]Summary!F60</f>
        <v>3.9600047687027669</v>
      </c>
      <c r="K1691" s="1">
        <f>[2]Summary!G55+[2]Summary!G60</f>
        <v>3.3477407344820431</v>
      </c>
      <c r="L1691" s="1">
        <f>[2]Summary!H55+[2]Summary!H60</f>
        <v>1.3814387508100225</v>
      </c>
      <c r="N1691" s="1"/>
    </row>
    <row r="1692" spans="2:14" x14ac:dyDescent="0.35">
      <c r="B1692" t="str">
        <f t="shared" si="1783"/>
        <v>SPS1</v>
      </c>
      <c r="C1692" t="str">
        <f t="shared" si="1784"/>
        <v>CH</v>
      </c>
      <c r="D1692" t="s">
        <v>1714</v>
      </c>
      <c r="E1692" t="str">
        <f t="shared" si="1785"/>
        <v>Mt/yr.</v>
      </c>
      <c r="F1692" s="1">
        <f>F1691-F1693</f>
        <v>4.4044284316229625</v>
      </c>
      <c r="G1692" s="1">
        <f t="shared" ref="G1692:K1692" si="1786">G1691-G1693</f>
        <v>4.0161248502696623</v>
      </c>
      <c r="H1692" s="1">
        <f t="shared" si="1786"/>
        <v>3.6431191384215138</v>
      </c>
      <c r="I1692" s="1">
        <f t="shared" si="1786"/>
        <v>2.7781959579784492</v>
      </c>
      <c r="J1692" s="1">
        <f t="shared" si="1786"/>
        <v>1.8744690860316768</v>
      </c>
      <c r="K1692" s="1">
        <f t="shared" si="1786"/>
        <v>1.2703267727103928</v>
      </c>
      <c r="L1692" s="1">
        <f t="shared" ref="L1692" si="1787">L1691-L1693</f>
        <v>0.33383922303438274</v>
      </c>
      <c r="N1692" s="1"/>
    </row>
    <row r="1693" spans="2:14" x14ac:dyDescent="0.35">
      <c r="B1693" t="str">
        <f t="shared" si="1783"/>
        <v>SPS1</v>
      </c>
      <c r="C1693" t="str">
        <f t="shared" si="1784"/>
        <v>CH</v>
      </c>
      <c r="D1693" t="s">
        <v>1713</v>
      </c>
      <c r="E1693" t="str">
        <f t="shared" si="1785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2.0936576319396099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2.08553568267109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2.0774139617716503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1.0475995277756398</v>
      </c>
      <c r="N1693" s="1"/>
    </row>
    <row r="1694" spans="2:14" x14ac:dyDescent="0.35">
      <c r="B1694" t="str">
        <f t="shared" si="1783"/>
        <v>SPS1</v>
      </c>
      <c r="C1694" t="str">
        <f t="shared" si="1784"/>
        <v>CH</v>
      </c>
      <c r="D1694" t="s">
        <v>1705</v>
      </c>
      <c r="E1694" t="str">
        <f t="shared" si="1785"/>
        <v>Mt/yr.</v>
      </c>
      <c r="F1694" s="1">
        <f>[1]Summary!B56</f>
        <v>3.7912909868400897</v>
      </c>
      <c r="G1694" s="1">
        <f>[1]Summary!C56</f>
        <v>3.2580453191077501</v>
      </c>
      <c r="H1694" s="1">
        <f>[1]Summary!D56</f>
        <v>3.1659815829039797</v>
      </c>
      <c r="I1694" s="1">
        <f>[1]Summary!E56</f>
        <v>1.8095815019823471</v>
      </c>
      <c r="J1694" s="1">
        <f>[2]Summary!F56</f>
        <v>1.1561407595144551</v>
      </c>
      <c r="K1694" s="1">
        <f>[2]Summary!G56</f>
        <v>0.48499493528268101</v>
      </c>
      <c r="L1694" s="1">
        <f>[2]Summary!H56</f>
        <v>0.16941635518713083</v>
      </c>
      <c r="N1694" s="1"/>
    </row>
    <row r="1695" spans="2:14" x14ac:dyDescent="0.35">
      <c r="B1695" t="str">
        <f t="shared" si="1783"/>
        <v>SPS1</v>
      </c>
      <c r="C1695" t="str">
        <f t="shared" si="1784"/>
        <v>CH</v>
      </c>
      <c r="D1695" t="s">
        <v>1706</v>
      </c>
      <c r="E1695" t="str">
        <f t="shared" si="1785"/>
        <v>Mt/yr.</v>
      </c>
      <c r="F1695" s="1">
        <f>[1]Summary!B57</f>
        <v>7.1781476999790721</v>
      </c>
      <c r="G1695" s="1">
        <f>[1]Summary!C57</f>
        <v>6.3993943530191375</v>
      </c>
      <c r="H1695" s="1">
        <f>[1]Summary!D57</f>
        <v>6.2304222636938142</v>
      </c>
      <c r="I1695" s="1">
        <f>[1]Summary!E57</f>
        <v>3.7166348698668901</v>
      </c>
      <c r="J1695" s="1">
        <f>[2]Summary!F57</f>
        <v>2.4973395158998035</v>
      </c>
      <c r="K1695" s="1">
        <f>[2]Summary!G57</f>
        <v>1.329564011421781</v>
      </c>
      <c r="L1695" s="1">
        <f>[2]Summary!H57</f>
        <v>0.37056014440011742</v>
      </c>
      <c r="N1695" s="1"/>
    </row>
    <row r="1696" spans="2:14" x14ac:dyDescent="0.35">
      <c r="B1696" t="str">
        <f t="shared" si="1783"/>
        <v>SPS1</v>
      </c>
      <c r="C1696" t="str">
        <f t="shared" si="1784"/>
        <v>CH</v>
      </c>
      <c r="D1696" t="s">
        <v>1707</v>
      </c>
      <c r="E1696" t="str">
        <f t="shared" si="1785"/>
        <v>Mt/yr.</v>
      </c>
      <c r="F1696" s="1">
        <f>[1]Summary!B58</f>
        <v>14.652830219948751</v>
      </c>
      <c r="G1696" s="1">
        <f>[1]Summary!C58</f>
        <v>13.979079119684998</v>
      </c>
      <c r="H1696" s="1">
        <f>[1]Summary!D58</f>
        <v>12.424376922260116</v>
      </c>
      <c r="I1696" s="1">
        <f>[1]Summary!E58</f>
        <v>9.569793134599303</v>
      </c>
      <c r="J1696" s="1">
        <f>[2]Summary!F58</f>
        <v>4.7821470740521077</v>
      </c>
      <c r="K1696" s="1">
        <f>[2]Summary!G58</f>
        <v>2.8011708007138494</v>
      </c>
      <c r="L1696" s="1">
        <f>[2]Summary!H58</f>
        <v>1.02281145023862E-4</v>
      </c>
      <c r="N1696" s="1"/>
    </row>
    <row r="1697" spans="2:14" x14ac:dyDescent="0.35">
      <c r="B1697" t="str">
        <f t="shared" si="1783"/>
        <v>SPS1</v>
      </c>
      <c r="C1697" t="str">
        <f t="shared" si="1784"/>
        <v>CH</v>
      </c>
      <c r="D1697" t="s">
        <v>1708</v>
      </c>
      <c r="E1697" t="str">
        <f t="shared" si="1785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4.3023739154786815</v>
      </c>
      <c r="N1697" s="1"/>
    </row>
    <row r="1698" spans="2:14" x14ac:dyDescent="0.35">
      <c r="B1698" t="str">
        <f t="shared" si="1783"/>
        <v>SPS1</v>
      </c>
      <c r="C1698" t="str">
        <f t="shared" si="1784"/>
        <v>CH</v>
      </c>
      <c r="D1698" t="s">
        <v>1709</v>
      </c>
      <c r="E1698" t="str">
        <f t="shared" si="1785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1.6919080603152266</v>
      </c>
      <c r="N1698" s="1"/>
    </row>
    <row r="1699" spans="2:14" x14ac:dyDescent="0.35">
      <c r="B1699" t="str">
        <f t="shared" si="1783"/>
        <v>SPS1</v>
      </c>
      <c r="C1699" t="str">
        <f t="shared" si="1784"/>
        <v>CH</v>
      </c>
      <c r="D1699" t="s">
        <v>1710</v>
      </c>
      <c r="E1699" t="str">
        <f t="shared" si="1785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3"/>
        <v>SPS1</v>
      </c>
      <c r="C1700" t="str">
        <f t="shared" si="1784"/>
        <v>CH</v>
      </c>
      <c r="D1700" t="s">
        <v>1711</v>
      </c>
      <c r="E1700" t="str">
        <f t="shared" si="1785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3"/>
        <v>SPS1</v>
      </c>
      <c r="C1701" t="str">
        <f t="shared" si="1784"/>
        <v>CH</v>
      </c>
      <c r="D1701" t="s">
        <v>1712</v>
      </c>
      <c r="E1701" t="str">
        <f t="shared" si="1785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1.9133756580692577E-5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8">SUM(G1703:G1705)</f>
        <v>0</v>
      </c>
      <c r="H1702" s="3">
        <f t="shared" si="1788"/>
        <v>0</v>
      </c>
      <c r="I1702" s="3">
        <f t="shared" si="1788"/>
        <v>0</v>
      </c>
      <c r="J1702" s="3">
        <f t="shared" si="1788"/>
        <v>0</v>
      </c>
      <c r="K1702" s="3">
        <f t="shared" si="1788"/>
        <v>0</v>
      </c>
      <c r="L1702" s="3">
        <f t="shared" ref="L1702" si="1789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0">B1703</f>
        <v>SPS1</v>
      </c>
      <c r="C1704" t="str">
        <f t="shared" ref="C1704:C1705" si="1791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0"/>
        <v>SPS1</v>
      </c>
      <c r="C1705" t="str">
        <f t="shared" si="1791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2">B1705</f>
        <v>SPS1</v>
      </c>
      <c r="C1706" s="2" t="str">
        <f t="shared" si="1792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2"/>
        <v>SPS1</v>
      </c>
      <c r="C1707" t="str">
        <f t="shared" si="1792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3">SUM(G1708:G1709)</f>
        <v>0</v>
      </c>
      <c r="H1707" s="1">
        <f t="shared" si="1793"/>
        <v>0</v>
      </c>
      <c r="I1707" s="1">
        <f t="shared" si="1793"/>
        <v>0</v>
      </c>
      <c r="J1707" s="1">
        <f t="shared" si="1793"/>
        <v>0</v>
      </c>
      <c r="K1707" s="1">
        <f t="shared" si="1793"/>
        <v>0</v>
      </c>
      <c r="L1707" s="1">
        <f t="shared" ref="L1707" si="1794">SUM(L1708:L1709)</f>
        <v>1.3936589157979544E-4</v>
      </c>
      <c r="N1707" s="1"/>
    </row>
    <row r="1708" spans="2:14" x14ac:dyDescent="0.35">
      <c r="B1708" t="str">
        <f t="shared" si="1792"/>
        <v>SPS1</v>
      </c>
      <c r="C1708" t="str">
        <f t="shared" si="1792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1.741171848843026E-5</v>
      </c>
      <c r="N1708" s="1"/>
    </row>
    <row r="1709" spans="2:14" x14ac:dyDescent="0.35">
      <c r="B1709" t="str">
        <f t="shared" si="1792"/>
        <v>SPS1</v>
      </c>
      <c r="C1709" t="str">
        <f t="shared" si="1792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1.2195417309136519E-4</v>
      </c>
      <c r="N1709" s="1"/>
    </row>
    <row r="1710" spans="2:14" x14ac:dyDescent="0.35">
      <c r="B1710" t="str">
        <f t="shared" si="1792"/>
        <v>SPS1</v>
      </c>
      <c r="C1710" t="str">
        <f t="shared" si="1792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5">G1701</f>
        <v>0</v>
      </c>
      <c r="H1710" s="1">
        <f t="shared" si="1795"/>
        <v>0</v>
      </c>
      <c r="I1710" s="1">
        <f t="shared" si="1795"/>
        <v>0</v>
      </c>
      <c r="J1710" s="1">
        <f t="shared" si="1795"/>
        <v>0</v>
      </c>
      <c r="K1710" s="1">
        <f t="shared" si="1795"/>
        <v>0</v>
      </c>
      <c r="L1710" s="1">
        <f t="shared" ref="L1710" si="1796">L1701</f>
        <v>1.9133756580692577E-5</v>
      </c>
      <c r="N1710" s="1"/>
    </row>
    <row r="1711" spans="2:14" x14ac:dyDescent="0.35">
      <c r="B1711" s="2" t="str">
        <f t="shared" si="1792"/>
        <v>SPS1</v>
      </c>
      <c r="C1711" s="2" t="str">
        <f t="shared" si="1792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963.90607471923227</v>
      </c>
      <c r="G1711" s="3">
        <f t="shared" ref="G1711:K1711" si="1797">SUM(G1712:G1713,G1730,G1739:G1740,G1741,G1742,G1747,G1750,,G1755:G1758,G1751)</f>
        <v>961.7925757747754</v>
      </c>
      <c r="H1711" s="3">
        <f t="shared" si="1797"/>
        <v>908.27532365117918</v>
      </c>
      <c r="I1711" s="3">
        <f t="shared" si="1797"/>
        <v>858.90533272457401</v>
      </c>
      <c r="J1711" s="3">
        <f t="shared" si="1797"/>
        <v>772.60391170245884</v>
      </c>
      <c r="K1711" s="3">
        <f t="shared" si="1797"/>
        <v>754.12563387459568</v>
      </c>
      <c r="L1711" s="3">
        <f t="shared" ref="L1711" si="1798">SUM(L1712:L1713,L1730,L1739:L1740,L1741,L1742,L1747,L1750,,L1755:L1758,L1751)</f>
        <v>661.17963103073043</v>
      </c>
      <c r="N1711" s="1"/>
    </row>
    <row r="1712" spans="2:14" x14ac:dyDescent="0.35">
      <c r="B1712" t="str">
        <f>B1711</f>
        <v>SPS1</v>
      </c>
      <c r="C1712" t="str">
        <f t="shared" ref="C1712" si="1799">C1711</f>
        <v>CH</v>
      </c>
      <c r="D1712" t="s">
        <v>1738</v>
      </c>
      <c r="E1712" t="str">
        <f>E1711</f>
        <v>PJ/yr.</v>
      </c>
      <c r="F1712" s="1">
        <f t="shared" ref="F1712:K1722" si="1800">F21</f>
        <v>3.6600301925056655</v>
      </c>
      <c r="G1712" s="1">
        <f t="shared" si="1800"/>
        <v>3.5647245036537694</v>
      </c>
      <c r="H1712" s="1">
        <f t="shared" si="1800"/>
        <v>1.015348537801664</v>
      </c>
      <c r="I1712" s="1">
        <f t="shared" si="1800"/>
        <v>4.4505442796075246E-4</v>
      </c>
      <c r="J1712" s="1">
        <f t="shared" si="1800"/>
        <v>1.0816076551075618E-3</v>
      </c>
      <c r="K1712" s="1">
        <f t="shared" si="1800"/>
        <v>6.0440432822879355E-5</v>
      </c>
      <c r="L1712" s="1">
        <f t="shared" ref="L1712" si="1801">L21</f>
        <v>5.2895793472374137E-4</v>
      </c>
      <c r="N1712" s="1"/>
    </row>
    <row r="1713" spans="2:14" x14ac:dyDescent="0.35">
      <c r="B1713" t="str">
        <f t="shared" ref="B1713:B1765" si="1802">B1712</f>
        <v>SPS1</v>
      </c>
      <c r="C1713" t="str">
        <f t="shared" ref="C1713:C1765" si="1803">C1712</f>
        <v>CH</v>
      </c>
      <c r="D1713" t="s">
        <v>1739</v>
      </c>
      <c r="E1713" t="str">
        <f t="shared" ref="E1713:E1741" si="1804">E1712</f>
        <v>PJ/yr.</v>
      </c>
      <c r="F1713" s="1">
        <f t="shared" si="1800"/>
        <v>311.9251512066121</v>
      </c>
      <c r="G1713" s="1">
        <f t="shared" si="1800"/>
        <v>288.66006589881744</v>
      </c>
      <c r="H1713" s="1">
        <f t="shared" si="1800"/>
        <v>261.49557346238208</v>
      </c>
      <c r="I1713" s="1">
        <f t="shared" si="1800"/>
        <v>184.10766878344154</v>
      </c>
      <c r="J1713" s="1">
        <f t="shared" si="1800"/>
        <v>113.8651396200538</v>
      </c>
      <c r="K1713" s="1">
        <f t="shared" si="1800"/>
        <v>82.729026198394962</v>
      </c>
      <c r="L1713" s="1">
        <f t="shared" ref="L1713" si="1805">L22</f>
        <v>65.226465185955902</v>
      </c>
      <c r="N1713" s="1"/>
    </row>
    <row r="1714" spans="2:14" x14ac:dyDescent="0.35">
      <c r="B1714" t="str">
        <f t="shared" si="1802"/>
        <v>SPS1</v>
      </c>
      <c r="C1714" t="str">
        <f t="shared" si="1803"/>
        <v>CH</v>
      </c>
      <c r="D1714" t="s">
        <v>1740</v>
      </c>
      <c r="E1714" t="str">
        <f t="shared" si="1804"/>
        <v>PJ/yr.</v>
      </c>
      <c r="F1714" s="1">
        <f t="shared" si="1800"/>
        <v>305.33184798729502</v>
      </c>
      <c r="G1714" s="1">
        <f t="shared" si="1800"/>
        <v>281.88343700152564</v>
      </c>
      <c r="H1714" s="1">
        <f t="shared" si="1800"/>
        <v>254.58843199973015</v>
      </c>
      <c r="I1714" s="1">
        <f t="shared" si="1800"/>
        <v>171.65599130129391</v>
      </c>
      <c r="J1714" s="1">
        <f t="shared" si="1800"/>
        <v>91.31876152137157</v>
      </c>
      <c r="K1714" s="1">
        <f t="shared" si="1800"/>
        <v>46.56238096357724</v>
      </c>
      <c r="L1714" s="1">
        <f t="shared" ref="L1714" si="1806">L23</f>
        <v>0</v>
      </c>
      <c r="N1714" s="1"/>
    </row>
    <row r="1715" spans="2:14" x14ac:dyDescent="0.35">
      <c r="B1715" t="str">
        <f t="shared" si="1802"/>
        <v>SPS1</v>
      </c>
      <c r="C1715" t="str">
        <f t="shared" si="1803"/>
        <v>CH</v>
      </c>
      <c r="D1715" t="s">
        <v>1741</v>
      </c>
      <c r="E1715" t="str">
        <f t="shared" si="1804"/>
        <v>PJ/yr.</v>
      </c>
      <c r="F1715" s="1">
        <f t="shared" si="1800"/>
        <v>101.77479041962813</v>
      </c>
      <c r="G1715" s="1">
        <f t="shared" si="1800"/>
        <v>88.214731466403308</v>
      </c>
      <c r="H1715" s="1">
        <f t="shared" si="1800"/>
        <v>85.424661713999356</v>
      </c>
      <c r="I1715" s="1">
        <f t="shared" si="1800"/>
        <v>41.482708882093839</v>
      </c>
      <c r="J1715" s="1">
        <f t="shared" si="1800"/>
        <v>26.241750718467024</v>
      </c>
      <c r="K1715" s="1">
        <f t="shared" si="1800"/>
        <v>8.4031908427171853</v>
      </c>
      <c r="L1715" s="1">
        <f t="shared" ref="L1715" si="1807">L24</f>
        <v>0</v>
      </c>
      <c r="N1715" s="1"/>
    </row>
    <row r="1716" spans="2:14" x14ac:dyDescent="0.35">
      <c r="B1716" t="str">
        <f t="shared" si="1802"/>
        <v>SPS1</v>
      </c>
      <c r="C1716" t="str">
        <f t="shared" si="1803"/>
        <v>CH</v>
      </c>
      <c r="D1716" t="s">
        <v>1742</v>
      </c>
      <c r="E1716" t="str">
        <f t="shared" si="1804"/>
        <v>PJ/yr.</v>
      </c>
      <c r="F1716" s="1">
        <f t="shared" si="1800"/>
        <v>2.7763812609812386</v>
      </c>
      <c r="G1716" s="1">
        <f t="shared" si="1800"/>
        <v>2.7644141004072029</v>
      </c>
      <c r="H1716" s="1">
        <f t="shared" si="1800"/>
        <v>6.1040016997173426E-3</v>
      </c>
      <c r="I1716" s="1">
        <f t="shared" si="1800"/>
        <v>5.7215508914488719E-4</v>
      </c>
      <c r="J1716" s="1">
        <f t="shared" si="1800"/>
        <v>1.3952854397184253E-3</v>
      </c>
      <c r="K1716" s="1">
        <f t="shared" si="1800"/>
        <v>7.0474645240517107E-5</v>
      </c>
      <c r="L1716" s="1">
        <f t="shared" ref="L1716" si="1808">L25</f>
        <v>0</v>
      </c>
      <c r="N1716" s="1"/>
    </row>
    <row r="1717" spans="2:14" x14ac:dyDescent="0.35">
      <c r="B1717" t="str">
        <f t="shared" si="1802"/>
        <v>SPS1</v>
      </c>
      <c r="C1717" t="str">
        <f t="shared" si="1803"/>
        <v>CH</v>
      </c>
      <c r="D1717" t="s">
        <v>1743</v>
      </c>
      <c r="E1717" t="str">
        <f t="shared" si="1804"/>
        <v>PJ/yr.</v>
      </c>
      <c r="F1717" s="1">
        <f t="shared" si="1800"/>
        <v>122.16104762033362</v>
      </c>
      <c r="G1717" s="1">
        <f t="shared" si="1800"/>
        <v>112.68604527998711</v>
      </c>
      <c r="H1717" s="1">
        <f t="shared" si="1800"/>
        <v>97.37049135531646</v>
      </c>
      <c r="I1717" s="1">
        <f t="shared" si="1800"/>
        <v>69.421194260625285</v>
      </c>
      <c r="J1717" s="1">
        <f t="shared" si="1800"/>
        <v>38.469152711896932</v>
      </c>
      <c r="K1717" s="1">
        <f t="shared" si="1800"/>
        <v>29.590288181379915</v>
      </c>
      <c r="L1717" s="1">
        <f t="shared" ref="L1717" si="1809">L26</f>
        <v>0</v>
      </c>
      <c r="N1717" s="1"/>
    </row>
    <row r="1718" spans="2:14" x14ac:dyDescent="0.35">
      <c r="B1718" t="str">
        <f t="shared" si="1802"/>
        <v>SPS1</v>
      </c>
      <c r="C1718" t="str">
        <f t="shared" si="1803"/>
        <v>CH</v>
      </c>
      <c r="D1718" t="s">
        <v>1744</v>
      </c>
      <c r="E1718" t="str">
        <f t="shared" si="1804"/>
        <v>PJ/yr.</v>
      </c>
      <c r="F1718" s="1">
        <f t="shared" si="1800"/>
        <v>77.512763226318825</v>
      </c>
      <c r="G1718" s="1">
        <f t="shared" si="1800"/>
        <v>76.813041715937189</v>
      </c>
      <c r="H1718" s="1">
        <f t="shared" si="1800"/>
        <v>69.938593008278062</v>
      </c>
      <c r="I1718" s="1">
        <f t="shared" si="1800"/>
        <v>58.353187665012669</v>
      </c>
      <c r="J1718" s="1">
        <f t="shared" si="1800"/>
        <v>25.22534640837425</v>
      </c>
      <c r="K1718" s="1">
        <f t="shared" si="1800"/>
        <v>8.2300310210102552</v>
      </c>
      <c r="L1718" s="1">
        <f t="shared" ref="L1718" si="1810">L27</f>
        <v>0</v>
      </c>
      <c r="N1718" s="1"/>
    </row>
    <row r="1719" spans="2:14" x14ac:dyDescent="0.35">
      <c r="B1719" t="str">
        <f t="shared" si="1802"/>
        <v>SPS1</v>
      </c>
      <c r="C1719" t="str">
        <f t="shared" si="1803"/>
        <v>CH</v>
      </c>
      <c r="D1719" t="s">
        <v>1745</v>
      </c>
      <c r="E1719" t="str">
        <f t="shared" si="1804"/>
        <v>PJ/yr.</v>
      </c>
      <c r="F1719" s="1">
        <f t="shared" si="1800"/>
        <v>1.1068654600332086</v>
      </c>
      <c r="G1719" s="1">
        <f t="shared" si="1800"/>
        <v>1.4052044387908236</v>
      </c>
      <c r="H1719" s="1">
        <f t="shared" si="1800"/>
        <v>1.8485819204365332</v>
      </c>
      <c r="I1719" s="1">
        <f t="shared" si="1800"/>
        <v>2.3983283384729965</v>
      </c>
      <c r="J1719" s="1">
        <f t="shared" si="1800"/>
        <v>1.3811163971936535</v>
      </c>
      <c r="K1719" s="1">
        <f t="shared" si="1800"/>
        <v>0.33880044382464364</v>
      </c>
      <c r="L1719" s="1">
        <f t="shared" ref="L1719" si="1811">L28</f>
        <v>0</v>
      </c>
      <c r="N1719" s="1"/>
    </row>
    <row r="1720" spans="2:14" x14ac:dyDescent="0.35">
      <c r="B1720" t="str">
        <f t="shared" si="1802"/>
        <v>SPS1</v>
      </c>
      <c r="C1720" t="str">
        <f t="shared" si="1803"/>
        <v>CH</v>
      </c>
      <c r="D1720" t="s">
        <v>1746</v>
      </c>
      <c r="E1720" t="str">
        <f t="shared" si="1804"/>
        <v>PJ/yr.</v>
      </c>
      <c r="F1720" s="1">
        <f t="shared" si="1800"/>
        <v>6.5933032193170895</v>
      </c>
      <c r="G1720" s="1">
        <f t="shared" si="1800"/>
        <v>6.7766288972917819</v>
      </c>
      <c r="H1720" s="1">
        <f t="shared" si="1800"/>
        <v>6.9071414626519552</v>
      </c>
      <c r="I1720" s="1">
        <f t="shared" si="1800"/>
        <v>12.45167748214763</v>
      </c>
      <c r="J1720" s="1">
        <f t="shared" si="1800"/>
        <v>22.546378098682222</v>
      </c>
      <c r="K1720" s="1">
        <f t="shared" si="1800"/>
        <v>36.166645234817722</v>
      </c>
      <c r="L1720" s="1">
        <f t="shared" ref="L1720" si="1812">L29</f>
        <v>65.226465185955902</v>
      </c>
      <c r="N1720" s="1"/>
    </row>
    <row r="1721" spans="2:14" x14ac:dyDescent="0.35">
      <c r="B1721" t="str">
        <f t="shared" si="1802"/>
        <v>SPS1</v>
      </c>
      <c r="C1721" t="str">
        <f t="shared" si="1803"/>
        <v>CH</v>
      </c>
      <c r="D1721" t="s">
        <v>1747</v>
      </c>
      <c r="E1721" t="str">
        <f t="shared" si="1804"/>
        <v>PJ/yr.</v>
      </c>
      <c r="F1721" s="1">
        <f t="shared" si="1800"/>
        <v>2.1566668421127706</v>
      </c>
      <c r="G1721" s="1">
        <f t="shared" si="1800"/>
        <v>2.3779981698109096</v>
      </c>
      <c r="H1721" s="1">
        <f t="shared" si="1800"/>
        <v>1.9625688087491817</v>
      </c>
      <c r="I1721" s="1">
        <f t="shared" si="1800"/>
        <v>3.8501566554391911</v>
      </c>
      <c r="J1721" s="1">
        <f t="shared" si="1800"/>
        <v>3.0795223042433122</v>
      </c>
      <c r="K1721" s="1">
        <f t="shared" si="1800"/>
        <v>2.4855838727487622</v>
      </c>
      <c r="L1721" s="1">
        <f t="shared" ref="L1721" si="1813">L30</f>
        <v>7.8328111081101497</v>
      </c>
      <c r="N1721" s="1"/>
    </row>
    <row r="1722" spans="2:14" x14ac:dyDescent="0.35">
      <c r="B1722" t="str">
        <f t="shared" si="1802"/>
        <v>SPS1</v>
      </c>
      <c r="C1722" t="str">
        <f t="shared" si="1803"/>
        <v>CH</v>
      </c>
      <c r="D1722" t="s">
        <v>1748</v>
      </c>
      <c r="E1722" t="str">
        <f t="shared" si="1804"/>
        <v>PJ/yr.</v>
      </c>
      <c r="F1722" s="1">
        <f t="shared" si="1800"/>
        <v>4.4341521069386314</v>
      </c>
      <c r="G1722" s="1">
        <f t="shared" si="1800"/>
        <v>4.3986159584710576</v>
      </c>
      <c r="H1722" s="1">
        <f t="shared" si="1800"/>
        <v>4.9442003537906754</v>
      </c>
      <c r="I1722" s="1">
        <f t="shared" si="1800"/>
        <v>3.3548132441385157</v>
      </c>
      <c r="J1722" s="1">
        <f t="shared" si="1800"/>
        <v>1.4619367731199082</v>
      </c>
      <c r="K1722" s="1">
        <f t="shared" si="1800"/>
        <v>3.6676105773945591</v>
      </c>
      <c r="L1722" s="1">
        <f t="shared" ref="L1722" si="1814">L31</f>
        <v>0</v>
      </c>
      <c r="N1722" s="1"/>
    </row>
    <row r="1723" spans="2:14" x14ac:dyDescent="0.35">
      <c r="B1723" t="str">
        <f t="shared" si="1802"/>
        <v>SPS1</v>
      </c>
      <c r="C1723" t="str">
        <f t="shared" si="1803"/>
        <v>CH</v>
      </c>
      <c r="D1723" t="s">
        <v>1749</v>
      </c>
      <c r="E1723" t="str">
        <f t="shared" si="1804"/>
        <v>PJ/yr.</v>
      </c>
      <c r="F1723" s="1">
        <f t="shared" ref="F1723:K1725" si="1815">F33</f>
        <v>6.5933032193170895</v>
      </c>
      <c r="G1723" s="1">
        <f t="shared" si="1815"/>
        <v>6.7766288972917819</v>
      </c>
      <c r="H1723" s="1">
        <f t="shared" si="1815"/>
        <v>6.9071414626519552</v>
      </c>
      <c r="I1723" s="1">
        <f t="shared" si="1815"/>
        <v>12.45167748214763</v>
      </c>
      <c r="J1723" s="1">
        <f t="shared" si="1815"/>
        <v>9.7881666599331432</v>
      </c>
      <c r="K1723" s="1">
        <f t="shared" si="1815"/>
        <v>24.158113471462322</v>
      </c>
      <c r="L1723" s="1">
        <f t="shared" ref="L1723" si="1816">L33</f>
        <v>33.863607440113597</v>
      </c>
      <c r="N1723" s="1"/>
    </row>
    <row r="1724" spans="2:14" x14ac:dyDescent="0.35">
      <c r="B1724" t="str">
        <f t="shared" si="1802"/>
        <v>SPS1</v>
      </c>
      <c r="C1724" t="str">
        <f t="shared" si="1803"/>
        <v>CH</v>
      </c>
      <c r="D1724" t="s">
        <v>1750</v>
      </c>
      <c r="E1724" t="str">
        <f t="shared" si="1804"/>
        <v>PJ/yr.</v>
      </c>
      <c r="F1724" s="1">
        <f t="shared" si="1815"/>
        <v>2.1566668421127706</v>
      </c>
      <c r="G1724" s="1">
        <f t="shared" si="1815"/>
        <v>2.3779981698109096</v>
      </c>
      <c r="H1724" s="1">
        <f t="shared" si="1815"/>
        <v>1.9625688087491817</v>
      </c>
      <c r="I1724" s="1">
        <f t="shared" si="1815"/>
        <v>3.8501566554391911</v>
      </c>
      <c r="J1724" s="1">
        <f t="shared" si="1815"/>
        <v>3.0795223042433122</v>
      </c>
      <c r="K1724" s="1">
        <f t="shared" si="1815"/>
        <v>2.4855838727487622</v>
      </c>
      <c r="L1724" s="1">
        <f t="shared" ref="L1724" si="1817">L34</f>
        <v>3.8501566554391911</v>
      </c>
      <c r="N1724" s="1"/>
    </row>
    <row r="1725" spans="2:14" x14ac:dyDescent="0.35">
      <c r="B1725" t="str">
        <f t="shared" si="1802"/>
        <v>SPS1</v>
      </c>
      <c r="C1725" t="str">
        <f t="shared" si="1803"/>
        <v>CH</v>
      </c>
      <c r="D1725" t="s">
        <v>1751</v>
      </c>
      <c r="E1725" t="str">
        <f t="shared" si="1804"/>
        <v>PJ/yr.</v>
      </c>
      <c r="F1725" s="1">
        <f t="shared" si="1815"/>
        <v>4.4341521069386314</v>
      </c>
      <c r="G1725" s="1">
        <f t="shared" si="1815"/>
        <v>4.3986159584710576</v>
      </c>
      <c r="H1725" s="1">
        <f t="shared" si="1815"/>
        <v>4.9442003537906754</v>
      </c>
      <c r="I1725" s="1">
        <f t="shared" si="1815"/>
        <v>3.3548132441385157</v>
      </c>
      <c r="J1725" s="1">
        <f t="shared" si="1815"/>
        <v>1.4619367731199082</v>
      </c>
      <c r="K1725" s="1">
        <f t="shared" si="1815"/>
        <v>3.6676105773945591</v>
      </c>
      <c r="L1725" s="1">
        <f t="shared" ref="L1725" si="1818">L35</f>
        <v>0</v>
      </c>
      <c r="N1725" s="1"/>
    </row>
    <row r="1726" spans="2:14" x14ac:dyDescent="0.35">
      <c r="B1726" t="str">
        <f t="shared" si="1802"/>
        <v>SPS1</v>
      </c>
      <c r="C1726" t="str">
        <f t="shared" si="1803"/>
        <v>CH</v>
      </c>
      <c r="D1726" t="s">
        <v>1752</v>
      </c>
      <c r="E1726" t="str">
        <f t="shared" si="1804"/>
        <v>PJ/yr.</v>
      </c>
      <c r="F1726" s="1">
        <f t="shared" ref="F1726:K1739" si="1819">F37</f>
        <v>0</v>
      </c>
      <c r="G1726" s="1">
        <f t="shared" si="1819"/>
        <v>0</v>
      </c>
      <c r="H1726" s="1">
        <f t="shared" si="1819"/>
        <v>0</v>
      </c>
      <c r="I1726" s="1">
        <f t="shared" si="1819"/>
        <v>0</v>
      </c>
      <c r="J1726" s="1">
        <f t="shared" si="1819"/>
        <v>12.758211438749077</v>
      </c>
      <c r="K1726" s="1">
        <f t="shared" si="1819"/>
        <v>12.008531763355403</v>
      </c>
      <c r="L1726" s="1">
        <f t="shared" ref="L1726" si="1820">L37</f>
        <v>31.362857745842305</v>
      </c>
      <c r="N1726" s="1"/>
    </row>
    <row r="1727" spans="2:14" x14ac:dyDescent="0.35">
      <c r="B1727" t="str">
        <f t="shared" si="1802"/>
        <v>SPS1</v>
      </c>
      <c r="C1727" t="str">
        <f t="shared" si="1803"/>
        <v>CH</v>
      </c>
      <c r="D1727" t="s">
        <v>1753</v>
      </c>
      <c r="E1727" t="str">
        <f t="shared" si="1804"/>
        <v>PJ/yr.</v>
      </c>
      <c r="F1727" s="1">
        <f t="shared" si="1819"/>
        <v>0</v>
      </c>
      <c r="G1727" s="1">
        <f t="shared" si="1819"/>
        <v>0</v>
      </c>
      <c r="H1727" s="1">
        <f t="shared" si="1819"/>
        <v>0</v>
      </c>
      <c r="I1727" s="1">
        <f t="shared" si="1819"/>
        <v>0</v>
      </c>
      <c r="J1727" s="1">
        <f t="shared" si="1819"/>
        <v>0</v>
      </c>
      <c r="K1727" s="1">
        <f t="shared" si="1819"/>
        <v>0</v>
      </c>
      <c r="L1727" s="1">
        <f t="shared" ref="L1727" si="1821">L38</f>
        <v>3.9826544526709586</v>
      </c>
      <c r="N1727" s="1"/>
    </row>
    <row r="1728" spans="2:14" x14ac:dyDescent="0.35">
      <c r="B1728" t="str">
        <f t="shared" si="1802"/>
        <v>SPS1</v>
      </c>
      <c r="C1728" t="str">
        <f t="shared" si="1803"/>
        <v>CH</v>
      </c>
      <c r="D1728" t="s">
        <v>1754</v>
      </c>
      <c r="E1728" t="str">
        <f t="shared" si="1804"/>
        <v>PJ/yr.</v>
      </c>
      <c r="F1728" s="1">
        <f t="shared" si="1819"/>
        <v>0</v>
      </c>
      <c r="G1728" s="1">
        <f t="shared" si="1819"/>
        <v>0</v>
      </c>
      <c r="H1728" s="1">
        <f t="shared" si="1819"/>
        <v>0</v>
      </c>
      <c r="I1728" s="1">
        <f t="shared" si="1819"/>
        <v>0</v>
      </c>
      <c r="J1728" s="1">
        <f t="shared" si="1819"/>
        <v>0</v>
      </c>
      <c r="K1728" s="1">
        <f t="shared" si="1819"/>
        <v>0</v>
      </c>
      <c r="L1728" s="1">
        <f t="shared" ref="L1728" si="1822">L39</f>
        <v>0</v>
      </c>
      <c r="N1728" s="1"/>
    </row>
    <row r="1729" spans="2:14" x14ac:dyDescent="0.35">
      <c r="B1729" t="str">
        <f t="shared" si="1802"/>
        <v>SPS1</v>
      </c>
      <c r="C1729" t="str">
        <f t="shared" si="1803"/>
        <v>CH</v>
      </c>
      <c r="D1729" t="s">
        <v>1755</v>
      </c>
      <c r="E1729" t="str">
        <f t="shared" si="1804"/>
        <v>PJ/yr.</v>
      </c>
      <c r="F1729" s="1">
        <f t="shared" si="1819"/>
        <v>0</v>
      </c>
      <c r="G1729" s="1">
        <f t="shared" si="1819"/>
        <v>0</v>
      </c>
      <c r="H1729" s="1">
        <f t="shared" si="1819"/>
        <v>0</v>
      </c>
      <c r="I1729" s="1">
        <f t="shared" si="1819"/>
        <v>0</v>
      </c>
      <c r="J1729" s="1">
        <f t="shared" si="1819"/>
        <v>12.758211438749077</v>
      </c>
      <c r="K1729" s="1">
        <f t="shared" si="1819"/>
        <v>12.008531763355403</v>
      </c>
      <c r="L1729" s="1">
        <f t="shared" ref="L1729" si="1823">L40</f>
        <v>27.380203293171348</v>
      </c>
      <c r="N1729" s="1"/>
    </row>
    <row r="1730" spans="2:14" x14ac:dyDescent="0.35">
      <c r="B1730" t="str">
        <f t="shared" si="1802"/>
        <v>SPS1</v>
      </c>
      <c r="C1730" t="str">
        <f t="shared" si="1803"/>
        <v>CH</v>
      </c>
      <c r="D1730" t="s">
        <v>1756</v>
      </c>
      <c r="E1730" t="str">
        <f t="shared" si="1804"/>
        <v>PJ/yr.</v>
      </c>
      <c r="F1730" s="1">
        <f t="shared" si="1819"/>
        <v>117.19647199814379</v>
      </c>
      <c r="G1730" s="1">
        <f t="shared" si="1819"/>
        <v>107.23650955336298</v>
      </c>
      <c r="H1730" s="1">
        <f t="shared" si="1819"/>
        <v>105.06956777504824</v>
      </c>
      <c r="I1730" s="1">
        <f t="shared" si="1819"/>
        <v>84.076814439714809</v>
      </c>
      <c r="J1730" s="1">
        <f t="shared" si="1819"/>
        <v>57.789096124995403</v>
      </c>
      <c r="K1730" s="1">
        <f t="shared" si="1819"/>
        <v>31.396723009041949</v>
      </c>
      <c r="L1730" s="1">
        <f t="shared" ref="L1730" si="1824">L41</f>
        <v>12.635712002218781</v>
      </c>
      <c r="N1730" s="1"/>
    </row>
    <row r="1731" spans="2:14" x14ac:dyDescent="0.35">
      <c r="B1731" t="str">
        <f t="shared" si="1802"/>
        <v>SPS1</v>
      </c>
      <c r="C1731" t="str">
        <f t="shared" si="1803"/>
        <v>CH</v>
      </c>
      <c r="D1731" t="s">
        <v>1757</v>
      </c>
      <c r="E1731" t="str">
        <f t="shared" si="1804"/>
        <v>PJ/yr.</v>
      </c>
      <c r="F1731" s="1">
        <f t="shared" si="1819"/>
        <v>117.19647199814379</v>
      </c>
      <c r="G1731" s="1">
        <f t="shared" si="1819"/>
        <v>106.72000712196059</v>
      </c>
      <c r="H1731" s="1">
        <f t="shared" si="1819"/>
        <v>104.68092671429676</v>
      </c>
      <c r="I1731" s="1">
        <f t="shared" si="1819"/>
        <v>80.854602441500703</v>
      </c>
      <c r="J1731" s="1">
        <f t="shared" si="1819"/>
        <v>51.860658286252757</v>
      </c>
      <c r="K1731" s="1">
        <f t="shared" si="1819"/>
        <v>27.675711931435806</v>
      </c>
      <c r="L1731" s="1">
        <f t="shared" ref="L1731" si="1825">L42</f>
        <v>10.703856669596043</v>
      </c>
      <c r="N1731" s="1"/>
    </row>
    <row r="1732" spans="2:14" x14ac:dyDescent="0.35">
      <c r="B1732" t="str">
        <f t="shared" si="1802"/>
        <v>SPS1</v>
      </c>
      <c r="C1732" t="str">
        <f t="shared" si="1803"/>
        <v>CH</v>
      </c>
      <c r="D1732" t="s">
        <v>1758</v>
      </c>
      <c r="E1732" t="str">
        <f t="shared" si="1804"/>
        <v>PJ/yr.</v>
      </c>
      <c r="F1732" s="1">
        <f t="shared" si="1819"/>
        <v>117.19647199814379</v>
      </c>
      <c r="G1732" s="1">
        <f t="shared" si="1819"/>
        <v>106.72000712196059</v>
      </c>
      <c r="H1732" s="1">
        <f t="shared" si="1819"/>
        <v>104.68092671429676</v>
      </c>
      <c r="I1732" s="1">
        <f t="shared" si="1819"/>
        <v>80.85366590750165</v>
      </c>
      <c r="J1732" s="1">
        <f t="shared" si="1819"/>
        <v>51.858269672409676</v>
      </c>
      <c r="K1732" s="1">
        <f t="shared" si="1819"/>
        <v>27.674764606586105</v>
      </c>
      <c r="L1732" s="1">
        <f t="shared" ref="L1732" si="1826">L43</f>
        <v>10.701724584900768</v>
      </c>
      <c r="N1732" s="1"/>
    </row>
    <row r="1733" spans="2:14" x14ac:dyDescent="0.35">
      <c r="B1733" t="str">
        <f t="shared" si="1802"/>
        <v>SPS1</v>
      </c>
      <c r="C1733" t="str">
        <f t="shared" si="1803"/>
        <v>CH</v>
      </c>
      <c r="D1733" t="s">
        <v>1759</v>
      </c>
      <c r="E1733" t="str">
        <f t="shared" si="1804"/>
        <v>PJ/yr.</v>
      </c>
      <c r="F1733" s="1">
        <f t="shared" si="1819"/>
        <v>0</v>
      </c>
      <c r="G1733" s="1">
        <f t="shared" si="1819"/>
        <v>0</v>
      </c>
      <c r="H1733" s="1">
        <f t="shared" si="1819"/>
        <v>0</v>
      </c>
      <c r="I1733" s="1">
        <f t="shared" si="1819"/>
        <v>9.3653399905918903E-4</v>
      </c>
      <c r="J1733" s="1">
        <f t="shared" si="1819"/>
        <v>2.3886138430809509E-3</v>
      </c>
      <c r="K1733" s="1">
        <f t="shared" si="1819"/>
        <v>9.4732484970036003E-4</v>
      </c>
      <c r="L1733" s="1">
        <f t="shared" ref="L1733" si="1827">L44</f>
        <v>2.132084695273719E-3</v>
      </c>
      <c r="N1733" s="1"/>
    </row>
    <row r="1734" spans="2:14" x14ac:dyDescent="0.35">
      <c r="B1734" t="str">
        <f t="shared" si="1802"/>
        <v>SPS1</v>
      </c>
      <c r="C1734" t="str">
        <f t="shared" si="1803"/>
        <v>CH</v>
      </c>
      <c r="D1734" t="s">
        <v>1760</v>
      </c>
      <c r="E1734" t="str">
        <f t="shared" si="1804"/>
        <v>PJ/yr.</v>
      </c>
      <c r="F1734" s="1">
        <f t="shared" si="1819"/>
        <v>0</v>
      </c>
      <c r="G1734" s="1">
        <f t="shared" si="1819"/>
        <v>0.51650243140238616</v>
      </c>
      <c r="H1734" s="1">
        <f t="shared" si="1819"/>
        <v>0.38864106075147814</v>
      </c>
      <c r="I1734" s="1">
        <f t="shared" si="1819"/>
        <v>3.2222119982141058</v>
      </c>
      <c r="J1734" s="1">
        <f t="shared" si="1819"/>
        <v>5.928437838742644</v>
      </c>
      <c r="K1734" s="1">
        <f t="shared" si="1819"/>
        <v>3.7210110776061409</v>
      </c>
      <c r="L1734" s="1">
        <f t="shared" ref="L1734" si="1828">L45</f>
        <v>1.9318553326227388</v>
      </c>
      <c r="N1734" s="1"/>
    </row>
    <row r="1735" spans="2:14" x14ac:dyDescent="0.35">
      <c r="B1735" t="str">
        <f t="shared" si="1802"/>
        <v>SPS1</v>
      </c>
      <c r="C1735" t="str">
        <f t="shared" si="1803"/>
        <v>CH</v>
      </c>
      <c r="D1735" t="s">
        <v>1761</v>
      </c>
      <c r="E1735" t="str">
        <f t="shared" si="1804"/>
        <v>PJ/yr.</v>
      </c>
      <c r="F1735" s="1">
        <f t="shared" si="1819"/>
        <v>0</v>
      </c>
      <c r="G1735" s="1">
        <f t="shared" si="1819"/>
        <v>0.51650243140238616</v>
      </c>
      <c r="H1735" s="1">
        <f t="shared" si="1819"/>
        <v>0.38864106075147814</v>
      </c>
      <c r="I1735" s="1">
        <f t="shared" si="1819"/>
        <v>3.2222119982141058</v>
      </c>
      <c r="J1735" s="1">
        <f t="shared" si="1819"/>
        <v>3.2222119982141058</v>
      </c>
      <c r="K1735" s="1">
        <f t="shared" si="1819"/>
        <v>3.7210110776061409</v>
      </c>
      <c r="L1735" s="1">
        <f t="shared" ref="L1735" si="1829">L46</f>
        <v>1.9318553326227388</v>
      </c>
      <c r="N1735" s="1"/>
    </row>
    <row r="1736" spans="2:14" x14ac:dyDescent="0.35">
      <c r="B1736" t="str">
        <f t="shared" si="1802"/>
        <v>SPS1</v>
      </c>
      <c r="C1736" t="str">
        <f t="shared" si="1803"/>
        <v>CH</v>
      </c>
      <c r="D1736" t="s">
        <v>1762</v>
      </c>
      <c r="E1736" t="str">
        <f t="shared" si="1804"/>
        <v>PJ/yr.</v>
      </c>
      <c r="F1736" s="1">
        <f t="shared" si="1819"/>
        <v>0</v>
      </c>
      <c r="G1736" s="1">
        <f t="shared" si="1819"/>
        <v>0.51650243140238616</v>
      </c>
      <c r="H1736" s="1">
        <f t="shared" si="1819"/>
        <v>0.38864106075147814</v>
      </c>
      <c r="I1736" s="1">
        <f t="shared" si="1819"/>
        <v>3.2222119982141058</v>
      </c>
      <c r="J1736" s="1">
        <f t="shared" si="1819"/>
        <v>3.2222119982141058</v>
      </c>
      <c r="K1736" s="1">
        <f t="shared" si="1819"/>
        <v>3.7210110776061409</v>
      </c>
      <c r="L1736" s="1">
        <f t="shared" ref="L1736" si="1830">L47</f>
        <v>1.9318553326227388</v>
      </c>
      <c r="N1736" s="1"/>
    </row>
    <row r="1737" spans="2:14" x14ac:dyDescent="0.35">
      <c r="B1737" t="str">
        <f t="shared" si="1802"/>
        <v>SPS1</v>
      </c>
      <c r="C1737" t="str">
        <f t="shared" si="1803"/>
        <v>CH</v>
      </c>
      <c r="D1737" t="s">
        <v>1763</v>
      </c>
      <c r="E1737" t="str">
        <f t="shared" si="1804"/>
        <v>PJ/yr.</v>
      </c>
      <c r="F1737" s="1">
        <f t="shared" si="1819"/>
        <v>0</v>
      </c>
      <c r="G1737" s="1">
        <f t="shared" si="1819"/>
        <v>0</v>
      </c>
      <c r="H1737" s="1">
        <f t="shared" si="1819"/>
        <v>0</v>
      </c>
      <c r="I1737" s="1">
        <f t="shared" si="1819"/>
        <v>0</v>
      </c>
      <c r="J1737" s="1">
        <f t="shared" si="1819"/>
        <v>2.7062258405285382</v>
      </c>
      <c r="K1737" s="1">
        <f t="shared" si="1819"/>
        <v>0</v>
      </c>
      <c r="L1737" s="1">
        <f t="shared" ref="L1737" si="1831">L48</f>
        <v>0</v>
      </c>
      <c r="N1737" s="1"/>
    </row>
    <row r="1738" spans="2:14" x14ac:dyDescent="0.35">
      <c r="B1738" t="str">
        <f t="shared" si="1802"/>
        <v>SPS1</v>
      </c>
      <c r="C1738" t="str">
        <f t="shared" si="1803"/>
        <v>CH</v>
      </c>
      <c r="D1738" t="s">
        <v>1764</v>
      </c>
      <c r="E1738" t="str">
        <f t="shared" si="1804"/>
        <v>PJ/yr.</v>
      </c>
      <c r="F1738" s="1">
        <f t="shared" si="1819"/>
        <v>0</v>
      </c>
      <c r="G1738" s="1">
        <f t="shared" si="1819"/>
        <v>0</v>
      </c>
      <c r="H1738" s="1">
        <f t="shared" si="1819"/>
        <v>0</v>
      </c>
      <c r="I1738" s="1">
        <f t="shared" si="1819"/>
        <v>0</v>
      </c>
      <c r="J1738" s="1">
        <f t="shared" si="1819"/>
        <v>2.7062258405285382</v>
      </c>
      <c r="K1738" s="1">
        <f t="shared" si="1819"/>
        <v>0</v>
      </c>
      <c r="L1738" s="1">
        <f t="shared" ref="L1738" si="1832">L49</f>
        <v>0</v>
      </c>
      <c r="N1738" s="1"/>
    </row>
    <row r="1739" spans="2:14" x14ac:dyDescent="0.35">
      <c r="B1739" t="str">
        <f t="shared" si="1802"/>
        <v>SPS1</v>
      </c>
      <c r="C1739" t="str">
        <f t="shared" si="1803"/>
        <v>CH</v>
      </c>
      <c r="D1739" t="s">
        <v>1765</v>
      </c>
      <c r="E1739" t="str">
        <f t="shared" si="1804"/>
        <v>PJ/yr.</v>
      </c>
      <c r="F1739" s="1">
        <f t="shared" si="1819"/>
        <v>250.94820421254295</v>
      </c>
      <c r="G1739" s="1">
        <f t="shared" si="1819"/>
        <v>253.29988923882391</v>
      </c>
      <c r="H1739" s="1">
        <f t="shared" si="1819"/>
        <v>233.1760463712923</v>
      </c>
      <c r="I1739" s="1">
        <f t="shared" si="1819"/>
        <v>187.17906433080435</v>
      </c>
      <c r="J1739" s="1">
        <f t="shared" si="1819"/>
        <v>190.44590840650181</v>
      </c>
      <c r="K1739" s="1">
        <f t="shared" si="1819"/>
        <v>190.44604261423163</v>
      </c>
      <c r="L1739" s="1">
        <f t="shared" ref="L1739" si="1833">L50</f>
        <v>102.29636966984219</v>
      </c>
      <c r="N1739" s="1"/>
    </row>
    <row r="1740" spans="2:14" x14ac:dyDescent="0.35">
      <c r="B1740" t="str">
        <f t="shared" si="1802"/>
        <v>SPS1</v>
      </c>
      <c r="C1740" t="str">
        <f t="shared" si="1803"/>
        <v>CH</v>
      </c>
      <c r="D1740" t="s">
        <v>1766</v>
      </c>
      <c r="E1740" t="str">
        <f t="shared" si="1804"/>
        <v>PJ/yr.</v>
      </c>
      <c r="F1740" s="1">
        <f t="shared" ref="F1740:K1740" si="1834">-F58+F51</f>
        <v>-20.009996295823484</v>
      </c>
      <c r="G1740" s="1">
        <f t="shared" si="1834"/>
        <v>13.630024181984503</v>
      </c>
      <c r="H1740" s="1">
        <f t="shared" si="1834"/>
        <v>-25.271158294909448</v>
      </c>
      <c r="I1740" s="1">
        <f t="shared" si="1834"/>
        <v>2.711623849904754E-7</v>
      </c>
      <c r="J1740" s="1">
        <f t="shared" si="1834"/>
        <v>2.9561785320091971</v>
      </c>
      <c r="K1740" s="1">
        <f t="shared" si="1834"/>
        <v>11.833152363869605</v>
      </c>
      <c r="L1740" s="1">
        <f t="shared" ref="L1740" si="1835">-L58+L51</f>
        <v>13.127285309967505</v>
      </c>
      <c r="N1740" s="1"/>
    </row>
    <row r="1741" spans="2:14" x14ac:dyDescent="0.35">
      <c r="B1741" t="str">
        <f t="shared" si="1802"/>
        <v>SPS1</v>
      </c>
      <c r="C1741" t="str">
        <f t="shared" si="1803"/>
        <v>CH</v>
      </c>
      <c r="D1741" t="s">
        <v>1767</v>
      </c>
      <c r="E1741" t="str">
        <f t="shared" si="1804"/>
        <v>PJ/yr.</v>
      </c>
      <c r="F1741" s="1">
        <f t="shared" ref="F1741:K1741" si="1836">F56</f>
        <v>0</v>
      </c>
      <c r="G1741" s="1">
        <f t="shared" si="1836"/>
        <v>0</v>
      </c>
      <c r="H1741" s="1">
        <f t="shared" si="1836"/>
        <v>0</v>
      </c>
      <c r="I1741" s="1">
        <f t="shared" si="1836"/>
        <v>0</v>
      </c>
      <c r="J1741" s="1">
        <f t="shared" si="1836"/>
        <v>0</v>
      </c>
      <c r="K1741" s="1">
        <f t="shared" si="1836"/>
        <v>0</v>
      </c>
      <c r="L1741" s="1">
        <f t="shared" ref="L1741" si="1837">L56</f>
        <v>0</v>
      </c>
      <c r="N1741" s="1"/>
    </row>
    <row r="1742" spans="2:14" x14ac:dyDescent="0.35">
      <c r="B1742" t="str">
        <f t="shared" si="1802"/>
        <v>SPS1</v>
      </c>
      <c r="C1742" t="str">
        <f t="shared" si="1803"/>
        <v>CH</v>
      </c>
      <c r="D1742" t="s">
        <v>1769</v>
      </c>
      <c r="E1742" t="str">
        <f t="shared" ref="E1742:K1751" si="1838">E3</f>
        <v>PJ/yr.</v>
      </c>
      <c r="F1742" s="1">
        <f t="shared" si="1838"/>
        <v>44.972461591864374</v>
      </c>
      <c r="G1742" s="1">
        <f t="shared" si="1838"/>
        <v>47.710014930490367</v>
      </c>
      <c r="H1742" s="1">
        <f t="shared" si="1838"/>
        <v>47.710008604701798</v>
      </c>
      <c r="I1742" s="1">
        <f t="shared" si="1838"/>
        <v>47.710006574565298</v>
      </c>
      <c r="J1742" s="1">
        <f t="shared" si="1838"/>
        <v>47.710008343644539</v>
      </c>
      <c r="K1742" s="1">
        <f t="shared" si="1838"/>
        <v>47.710007555364328</v>
      </c>
      <c r="L1742" s="1">
        <f t="shared" ref="L1742" si="1839">L3</f>
        <v>47.710009895322948</v>
      </c>
      <c r="N1742" s="1"/>
    </row>
    <row r="1743" spans="2:14" x14ac:dyDescent="0.35">
      <c r="B1743" t="str">
        <f t="shared" si="1802"/>
        <v>SPS1</v>
      </c>
      <c r="C1743" t="str">
        <f t="shared" si="1803"/>
        <v>CH</v>
      </c>
      <c r="D1743" t="s">
        <v>1770</v>
      </c>
      <c r="E1743" t="str">
        <f t="shared" si="1838"/>
        <v>PJ/yr.</v>
      </c>
      <c r="F1743" s="1">
        <f t="shared" si="1838"/>
        <v>11.111883612464171</v>
      </c>
      <c r="G1743" s="1">
        <f t="shared" si="1838"/>
        <v>11.952883870571489</v>
      </c>
      <c r="H1743" s="1">
        <f t="shared" si="1838"/>
        <v>13.214391579020344</v>
      </c>
      <c r="I1743" s="1">
        <f t="shared" si="1838"/>
        <v>15.316909749719466</v>
      </c>
      <c r="J1743" s="1">
        <f t="shared" si="1838"/>
        <v>15.849136682621413</v>
      </c>
      <c r="K1743" s="1">
        <f t="shared" si="1838"/>
        <v>16.266394888205685</v>
      </c>
      <c r="L1743" s="1">
        <f t="shared" ref="L1743" si="1840">L4</f>
        <v>16.956994686248972</v>
      </c>
      <c r="N1743" s="1"/>
    </row>
    <row r="1744" spans="2:14" x14ac:dyDescent="0.35">
      <c r="B1744" t="str">
        <f t="shared" si="1802"/>
        <v>SPS1</v>
      </c>
      <c r="C1744" t="str">
        <f t="shared" si="1803"/>
        <v>CH</v>
      </c>
      <c r="D1744" t="s">
        <v>1771</v>
      </c>
      <c r="E1744" t="str">
        <f t="shared" si="1838"/>
        <v>PJ/yr.</v>
      </c>
      <c r="F1744" s="1">
        <f t="shared" si="1838"/>
        <v>7.5116767340058983</v>
      </c>
      <c r="G1744" s="1">
        <f t="shared" si="1838"/>
        <v>7.5431417483062084</v>
      </c>
      <c r="H1744" s="1">
        <f t="shared" si="1838"/>
        <v>7.5903467656905947</v>
      </c>
      <c r="I1744" s="1">
        <f t="shared" si="1838"/>
        <v>7.6690270709706336</v>
      </c>
      <c r="J1744" s="1">
        <f t="shared" si="1838"/>
        <v>7.6690251359189991</v>
      </c>
      <c r="K1744" s="1">
        <f t="shared" si="1838"/>
        <v>7.6690262146922032</v>
      </c>
      <c r="L1744" s="1">
        <f t="shared" ref="L1744" si="1841">L5</f>
        <v>7.6690278605218154</v>
      </c>
      <c r="N1744" s="1"/>
    </row>
    <row r="1745" spans="2:14" x14ac:dyDescent="0.35">
      <c r="B1745" t="str">
        <f t="shared" si="1802"/>
        <v>SPS1</v>
      </c>
      <c r="C1745" t="str">
        <f t="shared" si="1803"/>
        <v>CH</v>
      </c>
      <c r="D1745" t="s">
        <v>1772</v>
      </c>
      <c r="E1745" t="str">
        <f t="shared" si="1838"/>
        <v>PJ/yr.</v>
      </c>
      <c r="F1745" s="1">
        <f t="shared" si="1838"/>
        <v>3.1682506306825062</v>
      </c>
      <c r="G1745" s="1">
        <f t="shared" si="1838"/>
        <v>3.4956722364813468</v>
      </c>
      <c r="H1745" s="1">
        <f t="shared" si="1838"/>
        <v>3.9868128606010207</v>
      </c>
      <c r="I1745" s="1">
        <f t="shared" si="1838"/>
        <v>4.8053859017374396</v>
      </c>
      <c r="J1745" s="1">
        <f t="shared" si="1838"/>
        <v>4.8053832625076343</v>
      </c>
      <c r="K1745" s="1">
        <f t="shared" si="1838"/>
        <v>4.8053847013328674</v>
      </c>
      <c r="L1745" s="1">
        <f t="shared" ref="L1745" si="1842">L6</f>
        <v>4.8053867518718372</v>
      </c>
      <c r="N1745" s="1"/>
    </row>
    <row r="1746" spans="2:14" x14ac:dyDescent="0.35">
      <c r="B1746" t="str">
        <f t="shared" si="1802"/>
        <v>SPS1</v>
      </c>
      <c r="C1746" t="str">
        <f t="shared" si="1803"/>
        <v>CH</v>
      </c>
      <c r="D1746" t="s">
        <v>1773</v>
      </c>
      <c r="E1746" t="str">
        <f t="shared" si="1838"/>
        <v>PJ/yr.</v>
      </c>
      <c r="F1746" s="1">
        <f t="shared" si="1838"/>
        <v>23.180650614711801</v>
      </c>
      <c r="G1746" s="1">
        <f t="shared" si="1838"/>
        <v>24.718317075131324</v>
      </c>
      <c r="H1746" s="1">
        <f t="shared" si="1838"/>
        <v>22.918457399389837</v>
      </c>
      <c r="I1746" s="1">
        <f t="shared" si="1838"/>
        <v>19.918683852137761</v>
      </c>
      <c r="J1746" s="1">
        <f t="shared" si="1838"/>
        <v>19.386463262596493</v>
      </c>
      <c r="K1746" s="1">
        <f t="shared" si="1838"/>
        <v>18.969201751133571</v>
      </c>
      <c r="L1746" s="1">
        <f t="shared" ref="L1746" si="1843">L7</f>
        <v>18.278600596680324</v>
      </c>
      <c r="N1746" s="1"/>
    </row>
    <row r="1747" spans="2:14" x14ac:dyDescent="0.35">
      <c r="B1747" t="str">
        <f t="shared" si="1802"/>
        <v>SPS1</v>
      </c>
      <c r="C1747" t="str">
        <f t="shared" si="1803"/>
        <v>CH</v>
      </c>
      <c r="D1747" t="s">
        <v>1774</v>
      </c>
      <c r="E1747" t="str">
        <f t="shared" si="1838"/>
        <v>PJ/yr.</v>
      </c>
      <c r="F1747" s="1">
        <f t="shared" si="1838"/>
        <v>70.031550156482695</v>
      </c>
      <c r="G1747" s="1">
        <f t="shared" si="1838"/>
        <v>70.696993377344256</v>
      </c>
      <c r="H1747" s="1">
        <f t="shared" si="1838"/>
        <v>70.304051128228977</v>
      </c>
      <c r="I1747" s="1">
        <f t="shared" si="1838"/>
        <v>70.761667088324273</v>
      </c>
      <c r="J1747" s="1">
        <f t="shared" si="1838"/>
        <v>72.229559702737689</v>
      </c>
      <c r="K1747" s="1">
        <f t="shared" si="1838"/>
        <v>74.046852165997663</v>
      </c>
      <c r="L1747" s="1">
        <f t="shared" ref="L1747" si="1844">L8</f>
        <v>78.013045190359449</v>
      </c>
      <c r="N1747" s="1"/>
    </row>
    <row r="1748" spans="2:14" x14ac:dyDescent="0.35">
      <c r="B1748" t="str">
        <f t="shared" si="1802"/>
        <v>SPS1</v>
      </c>
      <c r="C1748" t="str">
        <f t="shared" si="1803"/>
        <v>CH</v>
      </c>
      <c r="D1748" t="s">
        <v>1775</v>
      </c>
      <c r="E1748" t="str">
        <f t="shared" si="1838"/>
        <v>PJ/yr.</v>
      </c>
      <c r="F1748" s="1">
        <f t="shared" si="1838"/>
        <v>35.931102390996308</v>
      </c>
      <c r="G1748" s="1">
        <f t="shared" si="1838"/>
        <v>35.882392031879647</v>
      </c>
      <c r="H1748" s="1">
        <f t="shared" si="1838"/>
        <v>35.489435266881891</v>
      </c>
      <c r="I1748" s="1">
        <f t="shared" si="1838"/>
        <v>35.039963709971552</v>
      </c>
      <c r="J1748" s="1">
        <f t="shared" si="1838"/>
        <v>34.93759185269144</v>
      </c>
      <c r="K1748" s="1">
        <f t="shared" si="1838"/>
        <v>35.159448741415488</v>
      </c>
      <c r="L1748" s="1">
        <f t="shared" ref="L1748" si="1845">L9</f>
        <v>35.852882538906343</v>
      </c>
      <c r="N1748" s="1"/>
    </row>
    <row r="1749" spans="2:14" x14ac:dyDescent="0.35">
      <c r="B1749" t="str">
        <f t="shared" si="1802"/>
        <v>SPS1</v>
      </c>
      <c r="C1749" t="str">
        <f t="shared" si="1803"/>
        <v>CH</v>
      </c>
      <c r="D1749" t="s">
        <v>1776</v>
      </c>
      <c r="E1749" t="str">
        <f t="shared" si="1838"/>
        <v>PJ/yr.</v>
      </c>
      <c r="F1749" s="1">
        <f t="shared" si="1838"/>
        <v>34.100447765486386</v>
      </c>
      <c r="G1749" s="1">
        <f t="shared" si="1838"/>
        <v>34.814601345464617</v>
      </c>
      <c r="H1749" s="1">
        <f t="shared" si="1838"/>
        <v>34.814615861347086</v>
      </c>
      <c r="I1749" s="1">
        <f t="shared" si="1838"/>
        <v>35.721703378352721</v>
      </c>
      <c r="J1749" s="1">
        <f t="shared" si="1838"/>
        <v>37.291967850046248</v>
      </c>
      <c r="K1749" s="1">
        <f t="shared" si="1838"/>
        <v>38.887403424582175</v>
      </c>
      <c r="L1749" s="1">
        <f t="shared" ref="L1749" si="1846">L10</f>
        <v>42.160162651453106</v>
      </c>
      <c r="N1749" s="1"/>
    </row>
    <row r="1750" spans="2:14" x14ac:dyDescent="0.35">
      <c r="B1750" t="str">
        <f t="shared" si="1802"/>
        <v>SPS1</v>
      </c>
      <c r="C1750" t="str">
        <f t="shared" si="1803"/>
        <v>CH</v>
      </c>
      <c r="D1750" t="s">
        <v>1777</v>
      </c>
      <c r="E1750" t="str">
        <f t="shared" si="1838"/>
        <v>PJ/yr.</v>
      </c>
      <c r="F1750" s="1">
        <f t="shared" si="1838"/>
        <v>3.7980976375255682</v>
      </c>
      <c r="G1750" s="1">
        <f t="shared" si="1838"/>
        <v>12.540437081035764</v>
      </c>
      <c r="H1750" s="1">
        <f t="shared" si="1838"/>
        <v>12.540437578469644</v>
      </c>
      <c r="I1750" s="1">
        <f t="shared" si="1838"/>
        <v>12.540432358427442</v>
      </c>
      <c r="J1750" s="1">
        <f t="shared" si="1838"/>
        <v>12.540440276752715</v>
      </c>
      <c r="K1750" s="1">
        <f t="shared" si="1838"/>
        <v>16.986408861248218</v>
      </c>
      <c r="L1750" s="1">
        <f t="shared" ref="L1750" si="1847">L11</f>
        <v>18.812397175117344</v>
      </c>
      <c r="N1750" s="1"/>
    </row>
    <row r="1751" spans="2:14" x14ac:dyDescent="0.35">
      <c r="B1751" t="str">
        <f t="shared" si="1802"/>
        <v>SPS1</v>
      </c>
      <c r="C1751" t="str">
        <f t="shared" si="1803"/>
        <v>CH</v>
      </c>
      <c r="D1751" t="s">
        <v>1778</v>
      </c>
      <c r="E1751" t="str">
        <f t="shared" si="1838"/>
        <v>PJ/yr.</v>
      </c>
      <c r="F1751" s="1">
        <f t="shared" si="1838"/>
        <v>149.43048821932658</v>
      </c>
      <c r="G1751" s="1">
        <f t="shared" si="1838"/>
        <v>125.60779835461643</v>
      </c>
      <c r="H1751" s="1">
        <f t="shared" si="1838"/>
        <v>137.24453937980664</v>
      </c>
      <c r="I1751" s="1">
        <f t="shared" si="1838"/>
        <v>178.65652776019766</v>
      </c>
      <c r="J1751" s="1">
        <f t="shared" si="1838"/>
        <v>150.86493941381841</v>
      </c>
      <c r="K1751" s="1">
        <f t="shared" si="1838"/>
        <v>150.98000193718866</v>
      </c>
      <c r="L1751" s="1">
        <f t="shared" ref="L1751" si="1848">L12</f>
        <v>151.64867002504775</v>
      </c>
      <c r="N1751" s="1"/>
    </row>
    <row r="1752" spans="2:14" x14ac:dyDescent="0.35">
      <c r="B1752" t="str">
        <f t="shared" si="1802"/>
        <v>SPS1</v>
      </c>
      <c r="C1752" t="str">
        <f t="shared" si="1803"/>
        <v>CH</v>
      </c>
      <c r="D1752" t="s">
        <v>1779</v>
      </c>
      <c r="E1752" t="str">
        <f t="shared" ref="E1752:K1758" si="1849">E13</f>
        <v>PJ/yr.</v>
      </c>
      <c r="F1752" s="1">
        <f t="shared" si="1849"/>
        <v>66.745680187895957</v>
      </c>
      <c r="G1752" s="1">
        <f t="shared" si="1849"/>
        <v>49.798797958533733</v>
      </c>
      <c r="H1752" s="1">
        <f t="shared" si="1849"/>
        <v>69.082959718964602</v>
      </c>
      <c r="I1752" s="1">
        <f t="shared" si="1849"/>
        <v>69.713682638439238</v>
      </c>
      <c r="J1752" s="1">
        <f t="shared" si="1849"/>
        <v>71.585479861080117</v>
      </c>
      <c r="K1752" s="1">
        <f t="shared" si="1849"/>
        <v>72.148440675854189</v>
      </c>
      <c r="L1752" s="1">
        <f t="shared" ref="L1752" si="1850">L13</f>
        <v>74.655251711943095</v>
      </c>
      <c r="N1752" s="1"/>
    </row>
    <row r="1753" spans="2:14" x14ac:dyDescent="0.35">
      <c r="B1753" t="str">
        <f t="shared" si="1802"/>
        <v>SPS1</v>
      </c>
      <c r="C1753" t="str">
        <f t="shared" si="1803"/>
        <v>CH</v>
      </c>
      <c r="D1753" t="s">
        <v>1780</v>
      </c>
      <c r="E1753" t="str">
        <f t="shared" si="1849"/>
        <v>PJ/yr.</v>
      </c>
      <c r="F1753" s="1">
        <f t="shared" si="1849"/>
        <v>66.632402849791305</v>
      </c>
      <c r="G1753" s="1">
        <f t="shared" si="1849"/>
        <v>55.763999829976299</v>
      </c>
      <c r="H1753" s="1">
        <f t="shared" si="1849"/>
        <v>65.56163759729597</v>
      </c>
      <c r="I1753" s="1">
        <f t="shared" si="1849"/>
        <v>64.930930936670293</v>
      </c>
      <c r="J1753" s="1">
        <f t="shared" si="1849"/>
        <v>63.394822178807196</v>
      </c>
      <c r="K1753" s="1">
        <f t="shared" si="1849"/>
        <v>62.831869373152443</v>
      </c>
      <c r="L1753" s="1">
        <f t="shared" ref="L1753" si="1851">L14</f>
        <v>60.662379421265889</v>
      </c>
      <c r="N1753" s="1"/>
    </row>
    <row r="1754" spans="2:14" x14ac:dyDescent="0.35">
      <c r="B1754" t="str">
        <f t="shared" si="1802"/>
        <v>SPS1</v>
      </c>
      <c r="C1754" t="str">
        <f t="shared" si="1803"/>
        <v>CH</v>
      </c>
      <c r="D1754" t="s">
        <v>1781</v>
      </c>
      <c r="E1754" t="str">
        <f t="shared" si="1849"/>
        <v>PJ/yr.</v>
      </c>
      <c r="F1754" s="1">
        <f t="shared" si="1849"/>
        <v>16.05240518163934</v>
      </c>
      <c r="G1754" s="1">
        <f t="shared" si="1849"/>
        <v>20.045000566106399</v>
      </c>
      <c r="H1754" s="1">
        <f t="shared" si="1849"/>
        <v>2.5999420635460826</v>
      </c>
      <c r="I1754" s="1">
        <f t="shared" si="1849"/>
        <v>44.011914185088131</v>
      </c>
      <c r="J1754" s="1">
        <f t="shared" si="1849"/>
        <v>15.884637373931088</v>
      </c>
      <c r="K1754" s="1">
        <f t="shared" si="1849"/>
        <v>15.999691888182046</v>
      </c>
      <c r="L1754" s="1">
        <f t="shared" ref="L1754" si="1852">L15</f>
        <v>16.331038891838759</v>
      </c>
      <c r="N1754" s="1"/>
    </row>
    <row r="1755" spans="2:14" x14ac:dyDescent="0.35">
      <c r="B1755" t="str">
        <f t="shared" si="1802"/>
        <v>SPS1</v>
      </c>
      <c r="C1755" t="str">
        <f t="shared" si="1803"/>
        <v>CH</v>
      </c>
      <c r="D1755" t="s">
        <v>1782</v>
      </c>
      <c r="E1755" t="str">
        <f t="shared" si="1849"/>
        <v>PJ/yr.</v>
      </c>
      <c r="F1755" s="1">
        <f t="shared" si="1849"/>
        <v>12.556480224862469</v>
      </c>
      <c r="G1755" s="1">
        <f t="shared" si="1849"/>
        <v>16.522288790907528</v>
      </c>
      <c r="H1755" s="1">
        <f t="shared" si="1849"/>
        <v>30.505487253586391</v>
      </c>
      <c r="I1755" s="1">
        <f t="shared" si="1849"/>
        <v>33.952978007595654</v>
      </c>
      <c r="J1755" s="1">
        <f t="shared" si="1849"/>
        <v>50.988267628186634</v>
      </c>
      <c r="K1755" s="1">
        <f t="shared" si="1849"/>
        <v>59.715198318417968</v>
      </c>
      <c r="L1755" s="1">
        <f t="shared" ref="L1755" si="1853">L16</f>
        <v>83.856740880761976</v>
      </c>
      <c r="N1755" s="1"/>
    </row>
    <row r="1756" spans="2:14" x14ac:dyDescent="0.35">
      <c r="B1756" t="str">
        <f t="shared" si="1802"/>
        <v>SPS1</v>
      </c>
      <c r="C1756" t="str">
        <f t="shared" si="1803"/>
        <v>CH</v>
      </c>
      <c r="D1756" t="s">
        <v>1783</v>
      </c>
      <c r="E1756" t="str">
        <f t="shared" si="1849"/>
        <v>PJ/yr.</v>
      </c>
      <c r="F1756" s="1">
        <f t="shared" si="1849"/>
        <v>0.52401835247362338</v>
      </c>
      <c r="G1756" s="1">
        <f t="shared" si="1849"/>
        <v>0.54529499845466467</v>
      </c>
      <c r="H1756" s="1">
        <f t="shared" si="1849"/>
        <v>0.50316759802165822</v>
      </c>
      <c r="I1756" s="1">
        <f t="shared" si="1849"/>
        <v>1.6453522125012729</v>
      </c>
      <c r="J1756" s="1">
        <f t="shared" si="1849"/>
        <v>0.88050398008072328</v>
      </c>
      <c r="K1756" s="1">
        <f t="shared" si="1849"/>
        <v>0.88054038519190847</v>
      </c>
      <c r="L1756" s="1">
        <f t="shared" ref="L1756" si="1854">L17</f>
        <v>0.88055061088806164</v>
      </c>
      <c r="N1756" s="1"/>
    </row>
    <row r="1757" spans="2:14" x14ac:dyDescent="0.35">
      <c r="B1757" t="str">
        <f t="shared" si="1802"/>
        <v>SPS1</v>
      </c>
      <c r="C1757" t="str">
        <f t="shared" si="1803"/>
        <v>CH</v>
      </c>
      <c r="D1757" t="s">
        <v>1784</v>
      </c>
      <c r="E1757" t="str">
        <f t="shared" si="1849"/>
        <v>PJ/yr.</v>
      </c>
      <c r="F1757" s="1">
        <f t="shared" si="1849"/>
        <v>18.873117222715901</v>
      </c>
      <c r="G1757" s="1">
        <f t="shared" si="1849"/>
        <v>21.778534865283806</v>
      </c>
      <c r="H1757" s="1">
        <f t="shared" si="1849"/>
        <v>33.982254256749307</v>
      </c>
      <c r="I1757" s="1">
        <f t="shared" si="1849"/>
        <v>58.274375843411519</v>
      </c>
      <c r="J1757" s="1">
        <f t="shared" si="1849"/>
        <v>72.332788066022914</v>
      </c>
      <c r="K1757" s="1">
        <f t="shared" si="1849"/>
        <v>87.401620025215891</v>
      </c>
      <c r="L1757" s="1">
        <f t="shared" ref="L1757" si="1855">L18</f>
        <v>86.971856127313856</v>
      </c>
      <c r="N1757" s="1"/>
    </row>
    <row r="1758" spans="2:14" x14ac:dyDescent="0.35">
      <c r="B1758" t="str">
        <f t="shared" si="1802"/>
        <v>SPS1</v>
      </c>
      <c r="C1758" t="str">
        <f t="shared" si="1803"/>
        <v>CH</v>
      </c>
      <c r="D1758" t="s">
        <v>1785</v>
      </c>
      <c r="E1758" t="str">
        <f t="shared" si="1849"/>
        <v>PJ/yr.</v>
      </c>
      <c r="F1758" s="1">
        <f t="shared" si="1849"/>
        <v>0</v>
      </c>
      <c r="G1758" s="1">
        <f t="shared" si="1849"/>
        <v>0</v>
      </c>
      <c r="H1758" s="1">
        <f t="shared" si="1849"/>
        <v>0</v>
      </c>
      <c r="I1758" s="1">
        <f t="shared" si="1849"/>
        <v>0</v>
      </c>
      <c r="J1758" s="1">
        <f t="shared" si="1849"/>
        <v>0</v>
      </c>
      <c r="K1758" s="1">
        <f t="shared" si="1849"/>
        <v>0</v>
      </c>
      <c r="L1758" s="1">
        <f t="shared" ref="L1758" si="1856">L19</f>
        <v>0</v>
      </c>
      <c r="N1758" s="1"/>
    </row>
    <row r="1759" spans="2:14" x14ac:dyDescent="0.35">
      <c r="B1759" s="9" t="str">
        <f t="shared" si="1802"/>
        <v>SPS1</v>
      </c>
      <c r="C1759" s="2" t="str">
        <f t="shared" si="1803"/>
        <v>CH</v>
      </c>
      <c r="D1759" s="2" t="s">
        <v>1788</v>
      </c>
      <c r="E1759" s="2" t="s">
        <v>1857</v>
      </c>
      <c r="F1759" s="3">
        <f t="shared" ref="F1759:K1759" si="1857">SUM(F1760,F1762,F1766,F1770,F1786,F1793,F1801,F1803,F1811,F1815,F1809)</f>
        <v>22.328110974233493</v>
      </c>
      <c r="G1759" s="3">
        <f t="shared" si="1857"/>
        <v>24.337636507632201</v>
      </c>
      <c r="H1759" s="3">
        <f t="shared" si="1857"/>
        <v>29.772414439004496</v>
      </c>
      <c r="I1759" s="3">
        <f t="shared" si="1857"/>
        <v>29.467083459883973</v>
      </c>
      <c r="J1759" s="3">
        <f t="shared" si="1857"/>
        <v>34.534340169089461</v>
      </c>
      <c r="K1759" s="3">
        <f t="shared" si="1857"/>
        <v>37.167518979424898</v>
      </c>
      <c r="L1759" s="3">
        <f t="shared" ref="L1759" si="1858">SUM(L1760,L1762,L1766,L1770,L1786,L1793,L1801,L1803,L1811,L1815,L1809)</f>
        <v>43.944626365239998</v>
      </c>
      <c r="N1759" s="1"/>
    </row>
    <row r="1760" spans="2:14" x14ac:dyDescent="0.35">
      <c r="B1760" s="5" t="str">
        <f t="shared" si="1802"/>
        <v>SPS1</v>
      </c>
      <c r="C1760" s="5" t="str">
        <f t="shared" si="1803"/>
        <v>CH</v>
      </c>
      <c r="D1760" t="s">
        <v>1790</v>
      </c>
      <c r="E1760" t="str">
        <f>E1759</f>
        <v>GWe/yr.</v>
      </c>
      <c r="F1760" s="1">
        <f>+F1761</f>
        <v>3.0805586334854409</v>
      </c>
      <c r="G1760" s="1">
        <f t="shared" ref="G1760:L1760" si="1859">+G1761</f>
        <v>3.080557875959506</v>
      </c>
      <c r="H1760" s="1">
        <f t="shared" si="1859"/>
        <v>2.8402389634809211</v>
      </c>
      <c r="I1760" s="1">
        <f t="shared" si="1859"/>
        <v>2.3425161625536033</v>
      </c>
      <c r="J1760" s="1">
        <f t="shared" si="1859"/>
        <v>2.3628232221715937</v>
      </c>
      <c r="K1760" s="1">
        <f t="shared" si="1859"/>
        <v>2.3628232118785624</v>
      </c>
      <c r="L1760" s="1">
        <f t="shared" si="1859"/>
        <v>1.3498438970819662</v>
      </c>
      <c r="N1760" s="1"/>
    </row>
    <row r="1761" spans="2:14" x14ac:dyDescent="0.35">
      <c r="B1761" s="5" t="str">
        <f t="shared" si="1802"/>
        <v>SPS1</v>
      </c>
      <c r="C1761" s="5" t="str">
        <f t="shared" si="1803"/>
        <v>CH</v>
      </c>
      <c r="D1761" t="s">
        <v>1791</v>
      </c>
      <c r="E1761" t="str">
        <f t="shared" ref="E1761:E1822" si="1860">E1760</f>
        <v>GWe/yr.</v>
      </c>
      <c r="F1761" s="1">
        <f>'[1]Electricity and CHPs_CAP'!B$14</f>
        <v>3.0805586334854409</v>
      </c>
      <c r="G1761" s="1">
        <f>'[1]Electricity and CHPs_CAP'!C$14</f>
        <v>3.080557875959506</v>
      </c>
      <c r="H1761" s="1">
        <f>'[1]Electricity and CHPs_CAP'!D$14</f>
        <v>2.8402389634809211</v>
      </c>
      <c r="I1761" s="1">
        <f>'[1]Electricity and CHPs_CAP'!E$14</f>
        <v>2.3425161625536033</v>
      </c>
      <c r="J1761" s="1">
        <f>'[2]Electricity and CHPs_CAP'!F$14</f>
        <v>2.3628232221715937</v>
      </c>
      <c r="K1761" s="1">
        <f>'[2]Electricity and CHPs_CAP'!G$14</f>
        <v>2.3628232118785624</v>
      </c>
      <c r="L1761" s="1">
        <f>'[2]Electricity and CHPs_CAP'!H$14</f>
        <v>1.3498438970819662</v>
      </c>
      <c r="N1761" s="1"/>
    </row>
    <row r="1762" spans="2:14" x14ac:dyDescent="0.35">
      <c r="B1762" s="5" t="str">
        <f t="shared" si="1802"/>
        <v>SPS1</v>
      </c>
      <c r="C1762" s="5" t="str">
        <f t="shared" si="1803"/>
        <v>CH</v>
      </c>
      <c r="D1762" t="s">
        <v>1792</v>
      </c>
      <c r="E1762" t="str">
        <f t="shared" si="1860"/>
        <v>GWe/yr.</v>
      </c>
      <c r="F1762" s="1">
        <f>SUM(F1763:F1765)</f>
        <v>15.403610001059999</v>
      </c>
      <c r="G1762" s="1">
        <f t="shared" ref="G1762:K1762" si="1861">SUM(G1763:G1765)</f>
        <v>16.134038248824005</v>
      </c>
      <c r="H1762" s="1">
        <f t="shared" si="1861"/>
        <v>16.578941138072427</v>
      </c>
      <c r="I1762" s="1">
        <f t="shared" si="1861"/>
        <v>16.629967195373279</v>
      </c>
      <c r="J1762" s="1">
        <f t="shared" si="1861"/>
        <v>16.644722027534513</v>
      </c>
      <c r="K1762" s="1">
        <f t="shared" si="1861"/>
        <v>16.675929105287612</v>
      </c>
      <c r="L1762" s="1">
        <f t="shared" ref="L1762" si="1862">SUM(L1763:L1765)</f>
        <v>16.929179012706435</v>
      </c>
      <c r="N1762" s="1"/>
    </row>
    <row r="1763" spans="2:14" x14ac:dyDescent="0.35">
      <c r="B1763" s="5" t="str">
        <f t="shared" si="1802"/>
        <v>SPS1</v>
      </c>
      <c r="C1763" s="5" t="str">
        <f t="shared" si="1803"/>
        <v>CH</v>
      </c>
      <c r="D1763" t="s">
        <v>1793</v>
      </c>
      <c r="E1763" t="str">
        <f t="shared" si="1860"/>
        <v>GWe/yr.</v>
      </c>
      <c r="F1763" s="1">
        <f>'[1]Electricity and CHPs_CAP'!B$15</f>
        <v>7.3394300010600002</v>
      </c>
      <c r="G1763" s="1">
        <f>'[1]Electricity and CHPs_CAP'!C$15</f>
        <v>7.3545262121312689</v>
      </c>
      <c r="H1763" s="1">
        <f>'[1]Electricity and CHPs_CAP'!D$15</f>
        <v>7.3545317549068008</v>
      </c>
      <c r="I1763" s="1">
        <f>'[1]Electricity and CHPs_CAP'!E$15</f>
        <v>7.3749918391910203</v>
      </c>
      <c r="J1763" s="1">
        <f>'[2]Electricity and CHPs_CAP'!F$15</f>
        <v>7.4163397088808862</v>
      </c>
      <c r="K1763" s="1">
        <f>'[2]Electricity and CHPs_CAP'!G$15</f>
        <v>7.4169602623028501</v>
      </c>
      <c r="L1763" s="1">
        <f>'[2]Electricity and CHPs_CAP'!H$15</f>
        <v>7.6702044822206163</v>
      </c>
      <c r="N1763" s="1"/>
    </row>
    <row r="1764" spans="2:14" x14ac:dyDescent="0.35">
      <c r="B1764" s="5" t="str">
        <f t="shared" si="1802"/>
        <v>SPS1</v>
      </c>
      <c r="C1764" s="5" t="str">
        <f t="shared" si="1803"/>
        <v>CH</v>
      </c>
      <c r="D1764" t="s">
        <v>1794</v>
      </c>
      <c r="E1764" t="str">
        <f t="shared" si="1860"/>
        <v>GWe/yr.</v>
      </c>
      <c r="F1764" s="1">
        <f>'[1]Electricity and CHPs_CAP'!B$16</f>
        <v>4.7247299999999992</v>
      </c>
      <c r="G1764" s="1">
        <f>'[1]Electricity and CHPs_CAP'!C$16</f>
        <v>4.8081253448466308</v>
      </c>
      <c r="H1764" s="1">
        <f>'[1]Electricity and CHPs_CAP'!D$16</f>
        <v>4.8646016374405683</v>
      </c>
      <c r="I1764" s="1">
        <f>'[1]Electricity and CHPs_CAP'!E$16</f>
        <v>4.8951676104572011</v>
      </c>
      <c r="J1764" s="1">
        <f>'[2]Electricity and CHPs_CAP'!F$16</f>
        <v>4.8686192512566073</v>
      </c>
      <c r="K1764" s="1">
        <f>'[2]Electricity and CHPs_CAP'!G$16</f>
        <v>4.8992057286368489</v>
      </c>
      <c r="L1764" s="1">
        <f>'[2]Electricity and CHPs_CAP'!H$16</f>
        <v>4.8992111998658601</v>
      </c>
      <c r="N1764" s="1"/>
    </row>
    <row r="1765" spans="2:14" x14ac:dyDescent="0.35">
      <c r="B1765" s="5" t="str">
        <f t="shared" si="1802"/>
        <v>SPS1</v>
      </c>
      <c r="C1765" s="5" t="str">
        <f t="shared" si="1803"/>
        <v>CH</v>
      </c>
      <c r="D1765" t="s">
        <v>1795</v>
      </c>
      <c r="E1765" t="str">
        <f t="shared" si="1860"/>
        <v>GWe/yr.</v>
      </c>
      <c r="F1765" s="1">
        <f>'[1]Electricity and CHPs_CAP'!B$17</f>
        <v>3.3394499999999998</v>
      </c>
      <c r="G1765" s="1">
        <f>'[1]Electricity and CHPs_CAP'!C$17</f>
        <v>3.9713866918461065</v>
      </c>
      <c r="H1765" s="1">
        <f>'[1]Electricity and CHPs_CAP'!D$17</f>
        <v>4.3598077457250559</v>
      </c>
      <c r="I1765" s="1">
        <f>'[1]Electricity and CHPs_CAP'!E$17</f>
        <v>4.3598077457250559</v>
      </c>
      <c r="J1765" s="1">
        <f>'[2]Electricity and CHPs_CAP'!F$17</f>
        <v>4.3597630673970178</v>
      </c>
      <c r="K1765" s="1">
        <f>'[2]Electricity and CHPs_CAP'!G$17</f>
        <v>4.3597631143479143</v>
      </c>
      <c r="L1765" s="1">
        <f>'[2]Electricity and CHPs_CAP'!H$17</f>
        <v>4.3597633306199599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0"/>
        <v>GWe/yr.</v>
      </c>
      <c r="F1766" s="1">
        <f>SUM(F1767:F1769)</f>
        <v>3.5757835452997995E-2</v>
      </c>
      <c r="G1766" s="1">
        <f t="shared" ref="G1766:K1766" si="1863">SUM(G1767:G1769)</f>
        <v>3.6884767207229968E-2</v>
      </c>
      <c r="H1766" s="1">
        <f t="shared" si="1863"/>
        <v>2.924456616146591E-2</v>
      </c>
      <c r="I1766" s="1">
        <f t="shared" si="1863"/>
        <v>3.4863353590184526E-2</v>
      </c>
      <c r="J1766" s="1">
        <f t="shared" si="1863"/>
        <v>5.1306281734745329E-2</v>
      </c>
      <c r="K1766" s="1">
        <f t="shared" si="1863"/>
        <v>3.5352894949710681E-2</v>
      </c>
      <c r="L1766" s="1">
        <f t="shared" ref="L1766" si="1864">SUM(L1767:L1769)</f>
        <v>1.3333953988019419E-2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0"/>
        <v>GWe/yr.</v>
      </c>
      <c r="F1767" s="1">
        <f>'[1]Electricity and CHPs_CAP'!B$18</f>
        <v>2.2941014825429602E-2</v>
      </c>
      <c r="G1767" s="1">
        <f>'[1]Electricity and CHPs_CAP'!C$18</f>
        <v>2.2222179506227568E-2</v>
      </c>
      <c r="H1767" s="1">
        <f>'[1]Electricity and CHPs_CAP'!D$18</f>
        <v>1.225174490063112E-2</v>
      </c>
      <c r="I1767" s="1">
        <f>'[1]Electricity and CHPs_CAP'!E$18</f>
        <v>7.0881156147418849E-3</v>
      </c>
      <c r="J1767" s="1">
        <f>'[2]Electricity and CHPs_CAP'!F$18</f>
        <v>2.0139251877537203E-2</v>
      </c>
      <c r="K1767" s="1">
        <f>'[2]Electricity and CHPs_CAP'!G$18</f>
        <v>2.0137800783876732E-2</v>
      </c>
      <c r="L1767" s="1">
        <f>'[2]Electricity and CHPs_CAP'!H$18</f>
        <v>7.2147247175677297E-3</v>
      </c>
      <c r="N1767" s="1"/>
    </row>
    <row r="1768" spans="2:14" x14ac:dyDescent="0.35">
      <c r="B1768" s="5" t="str">
        <f t="shared" ref="B1768:C1769" si="1865">B1767</f>
        <v>SPS1</v>
      </c>
      <c r="C1768" s="5" t="str">
        <f t="shared" si="1865"/>
        <v>CH</v>
      </c>
      <c r="D1768" t="s">
        <v>1798</v>
      </c>
      <c r="E1768" t="str">
        <f t="shared" si="1860"/>
        <v>GWe/yr.</v>
      </c>
      <c r="F1768" s="1">
        <f>'[1]Electricity and CHPs_CAP'!B$28</f>
        <v>4.5139052997557605E-3</v>
      </c>
      <c r="G1768" s="1">
        <f>'[1]Electricity and CHPs_CAP'!C$28</f>
        <v>1.799404850813922E-3</v>
      </c>
      <c r="H1768" s="1">
        <f>'[1]Electricity and CHPs_CAP'!D$28</f>
        <v>1.6130500692361476E-3</v>
      </c>
      <c r="I1768" s="1">
        <f>'[1]Electricity and CHPs_CAP'!E$28</f>
        <v>8.1750303726213676E-4</v>
      </c>
      <c r="J1768" s="1">
        <f>'[2]Electricity and CHPs_CAP'!F$28</f>
        <v>6.8987009278042525E-4</v>
      </c>
      <c r="K1768" s="1">
        <f>'[2]Electricity and CHPs_CAP'!G$28</f>
        <v>2.2052350726585001E-4</v>
      </c>
      <c r="L1768" s="1">
        <f>'[2]Electricity and CHPs_CAP'!H$28</f>
        <v>1.0618735394867293E-4</v>
      </c>
      <c r="N1768" s="1"/>
    </row>
    <row r="1769" spans="2:14" x14ac:dyDescent="0.35">
      <c r="B1769" s="5" t="str">
        <f t="shared" si="1865"/>
        <v>SPS1</v>
      </c>
      <c r="C1769" s="5" t="str">
        <f t="shared" si="1865"/>
        <v>CH</v>
      </c>
      <c r="D1769" t="s">
        <v>1799</v>
      </c>
      <c r="E1769" t="str">
        <f t="shared" si="1860"/>
        <v>GWe/yr.</v>
      </c>
      <c r="F1769" s="1">
        <f>'[1]Electricity and CHPs_CAP'!B$41</f>
        <v>8.3029153278126339E-3</v>
      </c>
      <c r="G1769" s="1">
        <f>'[1]Electricity and CHPs_CAP'!C$41</f>
        <v>1.2863182850188478E-2</v>
      </c>
      <c r="H1769" s="1">
        <f>'[1]Electricity and CHPs_CAP'!D$41</f>
        <v>1.5379771191598644E-2</v>
      </c>
      <c r="I1769" s="1">
        <f>'[1]Electricity and CHPs_CAP'!E$41</f>
        <v>2.6957734938180503E-2</v>
      </c>
      <c r="J1769" s="1">
        <f>'[2]Electricity and CHPs_CAP'!F$41</f>
        <v>3.0477159764427698E-2</v>
      </c>
      <c r="K1769" s="1">
        <f>'[2]Electricity and CHPs_CAP'!G$41</f>
        <v>1.4994570658568098E-2</v>
      </c>
      <c r="L1769" s="1">
        <f>'[2]Electricity and CHPs_CAP'!H$41</f>
        <v>6.0130419165030169E-3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0"/>
        <v>GWe/yr.</v>
      </c>
      <c r="F1770" s="1">
        <f>SUM(F1771:F1785)</f>
        <v>0.23090410455871258</v>
      </c>
      <c r="G1770" s="1">
        <f t="shared" ref="G1770:K1770" si="1866">SUM(G1771:G1785)</f>
        <v>0.15704438870860102</v>
      </c>
      <c r="H1770" s="1">
        <f t="shared" si="1866"/>
        <v>0.14856280614139408</v>
      </c>
      <c r="I1770" s="1">
        <f t="shared" si="1866"/>
        <v>0.23923324325021883</v>
      </c>
      <c r="J1770" s="1">
        <f t="shared" si="1866"/>
        <v>0.27666861206193283</v>
      </c>
      <c r="K1770" s="1">
        <f t="shared" si="1866"/>
        <v>0.30477298417265136</v>
      </c>
      <c r="L1770" s="1">
        <f t="shared" ref="L1770" si="1867">SUM(L1771:L1785)</f>
        <v>0.17620700836269454</v>
      </c>
      <c r="N1770" s="1"/>
    </row>
    <row r="1771" spans="2:14" x14ac:dyDescent="0.35">
      <c r="B1771" s="5" t="str">
        <f t="shared" ref="B1771:C1784" si="1868">B1770</f>
        <v>SPS1</v>
      </c>
      <c r="C1771" s="5" t="str">
        <f t="shared" si="1868"/>
        <v>CH</v>
      </c>
      <c r="D1771" t="s">
        <v>1801</v>
      </c>
      <c r="E1771" t="str">
        <f t="shared" si="1860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2.4975846236869199E-4</v>
      </c>
      <c r="L1771" s="1">
        <f>'[2]Electricity and CHPs_CAP'!H$21</f>
        <v>5.5053774193978178E-4</v>
      </c>
      <c r="N1771" s="1"/>
    </row>
    <row r="1772" spans="2:14" x14ac:dyDescent="0.35">
      <c r="B1772" s="5" t="str">
        <f t="shared" si="1868"/>
        <v>SPS1</v>
      </c>
      <c r="C1772" s="5" t="str">
        <f t="shared" si="1868"/>
        <v>CH</v>
      </c>
      <c r="D1772" t="s">
        <v>1802</v>
      </c>
      <c r="E1772" t="str">
        <f t="shared" si="1860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8.3494914097132708E-3</v>
      </c>
      <c r="J1772" s="1">
        <f>'[2]Electricity and CHPs_CAP'!F$22</f>
        <v>1.9719341580819737E-2</v>
      </c>
      <c r="K1772" s="1">
        <f>'[2]Electricity and CHPs_CAP'!G$22</f>
        <v>3.2935018535103819E-2</v>
      </c>
      <c r="L1772" s="1">
        <f>'[2]Electricity and CHPs_CAP'!H$22</f>
        <v>3.0910129237520571E-2</v>
      </c>
      <c r="N1772" s="1"/>
    </row>
    <row r="1773" spans="2:14" x14ac:dyDescent="0.35">
      <c r="B1773" s="5" t="str">
        <f t="shared" si="1868"/>
        <v>SPS1</v>
      </c>
      <c r="C1773" s="5" t="str">
        <f t="shared" si="1868"/>
        <v>CH</v>
      </c>
      <c r="D1773" t="s">
        <v>1803</v>
      </c>
      <c r="E1773" t="str">
        <f t="shared" si="1860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4.93662482125113E-7</v>
      </c>
      <c r="L1773" s="1">
        <f>'[2]Electricity and CHPs_CAP'!H$23</f>
        <v>4.0320212516919751E-4</v>
      </c>
      <c r="N1773" s="1"/>
    </row>
    <row r="1774" spans="2:14" x14ac:dyDescent="0.35">
      <c r="B1774" s="5" t="str">
        <f t="shared" si="1868"/>
        <v>SPS1</v>
      </c>
      <c r="C1774" s="5" t="str">
        <f t="shared" si="1868"/>
        <v>CH</v>
      </c>
      <c r="D1774" t="s">
        <v>1804</v>
      </c>
      <c r="E1774" t="str">
        <f t="shared" si="1860"/>
        <v>GWe/yr.</v>
      </c>
      <c r="F1774" s="1">
        <f>IF('[1]Electricity and CHPs_CAP'!B$24&lt;0,0,'[1]Electricity and CHPs_CAP'!B$24)</f>
        <v>4.7994061282120096E-2</v>
      </c>
      <c r="G1774" s="1">
        <f>IF('[1]Electricity and CHPs_CAP'!C$24&lt;0,0,'[1]Electricity and CHPs_CAP'!C$24)</f>
        <v>1.6768985044245122E-4</v>
      </c>
      <c r="H1774" s="1">
        <f>IF('[1]Electricity and CHPs_CAP'!D$24&lt;0,0,'[1]Electricity and CHPs_CAP'!D$24)</f>
        <v>4.1424492747650879E-2</v>
      </c>
      <c r="I1774" s="1">
        <f>IF('[1]Electricity and CHPs_CAP'!E$24&lt;0,0,'[1]Electricity and CHPs_CAP'!E$24)</f>
        <v>7.3943005939039463E-4</v>
      </c>
      <c r="J1774" s="1">
        <f>IF('[2]Electricity and CHPs_CAP'!F$24&lt;0,0,'[2]Electricity and CHPs_CAP'!F$24)</f>
        <v>6.8414468575851706E-4</v>
      </c>
      <c r="K1774" s="1">
        <f>IF('[2]Electricity and CHPs_CAP'!G$24&lt;0,0,'[2]Electricity and CHPs_CAP'!G$24)</f>
        <v>1.8668196321730557E-4</v>
      </c>
      <c r="L1774" s="1">
        <f>IF('[2]Electricity and CHPs_CAP'!H$24&lt;0,0,'[2]Electricity and CHPs_CAP'!H$24)</f>
        <v>1.7463944528416851E-2</v>
      </c>
      <c r="N1774" s="1"/>
    </row>
    <row r="1775" spans="2:14" x14ac:dyDescent="0.35">
      <c r="B1775" s="5" t="str">
        <f t="shared" si="1868"/>
        <v>SPS1</v>
      </c>
      <c r="C1775" s="5" t="str">
        <f t="shared" si="1868"/>
        <v>CH</v>
      </c>
      <c r="D1775" t="s">
        <v>1805</v>
      </c>
      <c r="E1775" t="str">
        <f t="shared" si="1860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1.2210431319553401E-4</v>
      </c>
      <c r="L1775" s="1">
        <f>'[2]Electricity and CHPs_CAP'!H$29</f>
        <v>3.8084855432378245E-2</v>
      </c>
      <c r="N1775" s="1"/>
    </row>
    <row r="1776" spans="2:14" x14ac:dyDescent="0.35">
      <c r="B1776" s="5" t="str">
        <f t="shared" si="1868"/>
        <v>SPS1</v>
      </c>
      <c r="C1776" s="5" t="str">
        <f t="shared" si="1868"/>
        <v>CH</v>
      </c>
      <c r="D1776" t="s">
        <v>1806</v>
      </c>
      <c r="E1776" t="str">
        <f t="shared" si="1860"/>
        <v>GWe/yr.</v>
      </c>
      <c r="F1776" s="1">
        <f>'[1]Electricity and CHPs_CAP'!B$39</f>
        <v>3.1430827846293606E-2</v>
      </c>
      <c r="G1776" s="1">
        <f>'[1]Electricity and CHPs_CAP'!C$39</f>
        <v>2.3409553840320979E-2</v>
      </c>
      <c r="H1776" s="1">
        <f>'[1]Electricity and CHPs_CAP'!D$39</f>
        <v>1.5209696442908781E-2</v>
      </c>
      <c r="I1776" s="1">
        <f>'[1]Electricity and CHPs_CAP'!E$39</f>
        <v>7.1558989531641283E-3</v>
      </c>
      <c r="J1776" s="1">
        <f>'[2]Electricity and CHPs_CAP'!F$39</f>
        <v>3.9921462823906927E-3</v>
      </c>
      <c r="K1776" s="1">
        <f>'[2]Electricity and CHPs_CAP'!G$39</f>
        <v>1.8784223066175402E-3</v>
      </c>
      <c r="L1776" s="1">
        <f>'[2]Electricity and CHPs_CAP'!H$39</f>
        <v>6.4430428135313985E-4</v>
      </c>
      <c r="N1776" s="1"/>
    </row>
    <row r="1777" spans="2:14" x14ac:dyDescent="0.35">
      <c r="B1777" s="5" t="str">
        <f t="shared" si="1868"/>
        <v>SPS1</v>
      </c>
      <c r="C1777" s="5" t="str">
        <f t="shared" si="1868"/>
        <v>CH</v>
      </c>
      <c r="D1777" t="s">
        <v>1807</v>
      </c>
      <c r="E1777" t="str">
        <f t="shared" si="1860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2.9315413810936201E-4</v>
      </c>
      <c r="N1777" s="1"/>
    </row>
    <row r="1778" spans="2:14" x14ac:dyDescent="0.35">
      <c r="B1778" s="5" t="str">
        <f t="shared" si="1868"/>
        <v>SPS1</v>
      </c>
      <c r="C1778" s="5" t="str">
        <f t="shared" si="1868"/>
        <v>CH</v>
      </c>
      <c r="D1778" t="s">
        <v>1808</v>
      </c>
      <c r="E1778" t="str">
        <f t="shared" si="1860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2.14375876140149E-4</v>
      </c>
      <c r="K1778" s="1">
        <f>'[2]Electricity and CHPs_CAP'!G$47</f>
        <v>2.1560658658338838E-4</v>
      </c>
      <c r="L1778" s="1">
        <f>'[2]Electricity and CHPs_CAP'!H$47</f>
        <v>1.858876188286155E-4</v>
      </c>
      <c r="N1778" s="1"/>
    </row>
    <row r="1779" spans="2:14" x14ac:dyDescent="0.35">
      <c r="B1779" s="5" t="str">
        <f t="shared" si="1868"/>
        <v>SPS1</v>
      </c>
      <c r="C1779" s="5" t="str">
        <f t="shared" si="1868"/>
        <v>CH</v>
      </c>
      <c r="D1779" t="s">
        <v>1809</v>
      </c>
      <c r="E1779" t="str">
        <f t="shared" si="1860"/>
        <v>GWe/yr.</v>
      </c>
      <c r="F1779" s="1">
        <f>'[1]Electricity and CHPs_CAP'!B$48</f>
        <v>4.1473070480830326E-3</v>
      </c>
      <c r="G1779" s="1">
        <f>'[1]Electricity and CHPs_CAP'!C$48</f>
        <v>4.7143199687971259E-4</v>
      </c>
      <c r="H1779" s="1">
        <f>'[1]Electricity and CHPs_CAP'!D$48</f>
        <v>7.0590899619124938E-4</v>
      </c>
      <c r="I1779" s="1">
        <f>'[1]Electricity and CHPs_CAP'!E$48</f>
        <v>7.3543298995196345E-4</v>
      </c>
      <c r="J1779" s="1">
        <f>'[2]Electricity and CHPs_CAP'!F$48</f>
        <v>8.0352103276035147E-4</v>
      </c>
      <c r="K1779" s="1">
        <f>'[2]Electricity and CHPs_CAP'!G$48</f>
        <v>6.3315158484244139E-4</v>
      </c>
      <c r="L1779" s="1">
        <f>'[2]Electricity and CHPs_CAP'!H$48</f>
        <v>2.5907875585504353E-4</v>
      </c>
      <c r="N1779" s="1"/>
    </row>
    <row r="1780" spans="2:14" x14ac:dyDescent="0.35">
      <c r="B1780" s="5" t="str">
        <f t="shared" si="1868"/>
        <v>SPS1</v>
      </c>
      <c r="C1780" s="5" t="str">
        <f t="shared" si="1868"/>
        <v>CH</v>
      </c>
      <c r="D1780" t="s">
        <v>1810</v>
      </c>
      <c r="E1780" t="str">
        <f t="shared" si="1860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6.0309007182924999E-5</v>
      </c>
      <c r="J1780" s="1">
        <f>'[2]Electricity and CHPs_CAP'!F$49</f>
        <v>1.2268637296965727E-4</v>
      </c>
      <c r="K1780" s="1">
        <f>'[2]Electricity and CHPs_CAP'!G$49</f>
        <v>1.2889364794537632E-4</v>
      </c>
      <c r="L1780" s="1">
        <f>'[2]Electricity and CHPs_CAP'!H$49</f>
        <v>8.8012265658653411E-5</v>
      </c>
      <c r="N1780" s="1"/>
    </row>
    <row r="1781" spans="2:14" x14ac:dyDescent="0.35">
      <c r="B1781" s="5" t="str">
        <f t="shared" si="1868"/>
        <v>SPS1</v>
      </c>
      <c r="C1781" s="5" t="str">
        <f t="shared" si="1868"/>
        <v>CH</v>
      </c>
      <c r="D1781" t="s">
        <v>1811</v>
      </c>
      <c r="E1781" t="str">
        <f t="shared" si="1860"/>
        <v>GWe/yr.</v>
      </c>
      <c r="F1781" s="1">
        <f>'[1]Electricity and CHPs_CAP'!B$51</f>
        <v>8.6196273045791201E-3</v>
      </c>
      <c r="G1781" s="1">
        <f>'[1]Electricity and CHPs_CAP'!C$51</f>
        <v>3.6103757359242771E-4</v>
      </c>
      <c r="H1781" s="1">
        <f>'[1]Electricity and CHPs_CAP'!D$51</f>
        <v>1.7664915191925369E-3</v>
      </c>
      <c r="I1781" s="1">
        <f>'[1]Electricity and CHPs_CAP'!E$51</f>
        <v>0.13326676430970874</v>
      </c>
      <c r="J1781" s="1">
        <f>'[2]Electricity and CHPs_CAP'!F$51</f>
        <v>0.16320346893790244</v>
      </c>
      <c r="K1781" s="1">
        <f>'[2]Electricity and CHPs_CAP'!G$51</f>
        <v>0.18132478464710175</v>
      </c>
      <c r="L1781" s="1">
        <f>'[2]Electricity and CHPs_CAP'!H$51</f>
        <v>1.7083958061678978E-3</v>
      </c>
      <c r="N1781" s="1"/>
    </row>
    <row r="1782" spans="2:14" x14ac:dyDescent="0.35">
      <c r="B1782" s="5" t="str">
        <f t="shared" si="1868"/>
        <v>SPS1</v>
      </c>
      <c r="C1782" s="5" t="str">
        <f t="shared" si="1868"/>
        <v>CH</v>
      </c>
      <c r="D1782" t="s">
        <v>1812</v>
      </c>
      <c r="E1782" t="str">
        <f t="shared" si="1860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2.6892173354807903E-4</v>
      </c>
      <c r="J1782" s="1">
        <f>'[2]Electricity and CHPs_CAP'!F$52</f>
        <v>7.9760147530125668E-4</v>
      </c>
      <c r="K1782" s="1">
        <f>'[2]Electricity and CHPs_CAP'!G$52</f>
        <v>8.9816237297652465E-4</v>
      </c>
      <c r="L1782" s="1">
        <f>'[2]Electricity and CHPs_CAP'!H$52</f>
        <v>6.3682382937429289E-4</v>
      </c>
      <c r="N1782" s="1"/>
    </row>
    <row r="1783" spans="2:14" x14ac:dyDescent="0.35">
      <c r="B1783" s="5" t="str">
        <f t="shared" si="1868"/>
        <v>SPS1</v>
      </c>
      <c r="C1783" s="5" t="str">
        <f t="shared" si="1868"/>
        <v>CH</v>
      </c>
      <c r="D1783" t="s">
        <v>1813</v>
      </c>
      <c r="E1783" t="str">
        <f t="shared" si="1860"/>
        <v>GWe/yr.</v>
      </c>
      <c r="F1783" s="1">
        <f>'[1]Electricity and CHPs_CAP'!B$54</f>
        <v>7.351251520192148E-2</v>
      </c>
      <c r="G1783" s="1">
        <f>'[1]Electricity and CHPs_CAP'!C$54</f>
        <v>8.4745674549080385E-2</v>
      </c>
      <c r="H1783" s="1">
        <f>'[1]Electricity and CHPs_CAP'!D$54</f>
        <v>8.474536934816114E-2</v>
      </c>
      <c r="I1783" s="1">
        <f>'[1]Electricity and CHPs_CAP'!E$54</f>
        <v>8.4746728353492756E-2</v>
      </c>
      <c r="J1783" s="1">
        <f>'[2]Electricity and CHPs_CAP'!F$54</f>
        <v>8.4746943956856766E-2</v>
      </c>
      <c r="K1783" s="1">
        <f>'[2]Electricity and CHPs_CAP'!G$54</f>
        <v>8.4745489098146234E-2</v>
      </c>
      <c r="L1783" s="1">
        <f>'[2]Electricity and CHPs_CAP'!H$54</f>
        <v>8.4744580840394518E-2</v>
      </c>
      <c r="N1783" s="1"/>
    </row>
    <row r="1784" spans="2:14" x14ac:dyDescent="0.35">
      <c r="B1784" s="5" t="str">
        <f t="shared" si="1868"/>
        <v>SPS1</v>
      </c>
      <c r="C1784" s="5" t="str">
        <f t="shared" si="1868"/>
        <v>CH</v>
      </c>
      <c r="D1784" t="s">
        <v>1814</v>
      </c>
      <c r="E1784" t="str">
        <f t="shared" si="1860"/>
        <v>GWe/yr.</v>
      </c>
      <c r="F1784" s="1">
        <f>'[1]Electricity and CHPs_CAP'!B$55</f>
        <v>6.5199765875715229E-2</v>
      </c>
      <c r="G1784" s="1">
        <f>'[1]Electricity and CHPs_CAP'!C$55</f>
        <v>4.7889000898285052E-2</v>
      </c>
      <c r="H1784" s="1">
        <f>'[1]Electricity and CHPs_CAP'!D$55</f>
        <v>4.7108470872894992E-3</v>
      </c>
      <c r="I1784" s="1">
        <f>'[1]Electricity and CHPs_CAP'!E$55</f>
        <v>3.8388993450158004E-3</v>
      </c>
      <c r="J1784" s="1">
        <f>'[2]Electricity and CHPs_CAP'!F$55</f>
        <v>2.1786370515575401E-3</v>
      </c>
      <c r="K1784" s="1">
        <f>'[2]Electricity and CHPs_CAP'!G$55</f>
        <v>1.1708419313181985E-3</v>
      </c>
      <c r="L1784" s="1">
        <f>'[2]Electricity and CHPs_CAP'!H$55</f>
        <v>9.5794790393215936E-5</v>
      </c>
      <c r="N1784" s="1"/>
    </row>
    <row r="1785" spans="2:14" x14ac:dyDescent="0.35">
      <c r="B1785" s="5" t="str">
        <f t="shared" ref="B1785:C1785" si="1869">B1784</f>
        <v>SPS1</v>
      </c>
      <c r="C1785" s="5" t="str">
        <f t="shared" si="1869"/>
        <v>CH</v>
      </c>
      <c r="D1785" t="s">
        <v>1815</v>
      </c>
      <c r="E1785" t="str">
        <f t="shared" si="1860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7.1367089050753706E-5</v>
      </c>
      <c r="J1785" s="1">
        <f>'[2]Electricity and CHPs_CAP'!F$58</f>
        <v>2.0574480947575994E-4</v>
      </c>
      <c r="K1785" s="1">
        <f>'[2]Electricity and CHPs_CAP'!G$58</f>
        <v>2.8357506075245764E-4</v>
      </c>
      <c r="L1785" s="1">
        <f>'[2]Electricity and CHPs_CAP'!H$58</f>
        <v>1.3830697113518509E-4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0"/>
        <v>GWe/yr.</v>
      </c>
      <c r="F1786" s="1">
        <f>SUM(F1787:F1792)</f>
        <v>0.39563935257983052</v>
      </c>
      <c r="G1786" s="1">
        <f t="shared" ref="G1786:K1786" si="1870">SUM(G1787:G1792)</f>
        <v>0.35286656144322082</v>
      </c>
      <c r="H1786" s="1">
        <f t="shared" si="1870"/>
        <v>0.37804686664751547</v>
      </c>
      <c r="I1786" s="1">
        <f t="shared" si="1870"/>
        <v>0.3481696768981602</v>
      </c>
      <c r="J1786" s="1">
        <f t="shared" si="1870"/>
        <v>0.3522075505004354</v>
      </c>
      <c r="K1786" s="1">
        <f t="shared" si="1870"/>
        <v>0.35893149337170066</v>
      </c>
      <c r="L1786" s="1">
        <f t="shared" ref="L1786" si="1871">SUM(L1787:L1792)</f>
        <v>0.41851866020519718</v>
      </c>
      <c r="N1786" s="1"/>
    </row>
    <row r="1787" spans="2:14" x14ac:dyDescent="0.35">
      <c r="B1787" s="5" t="str">
        <f t="shared" ref="B1787:C1792" si="1872">B1786</f>
        <v>SPS1</v>
      </c>
      <c r="C1787" s="5" t="str">
        <f t="shared" si="1872"/>
        <v>CH</v>
      </c>
      <c r="D1787" t="s">
        <v>1817</v>
      </c>
      <c r="E1787" t="str">
        <f t="shared" si="1860"/>
        <v>GWe/yr.</v>
      </c>
      <c r="F1787" s="1">
        <f>'[1]Electricity and CHPs_CAP'!B$19</f>
        <v>0.27248343338216119</v>
      </c>
      <c r="G1787" s="1">
        <f>'[1]Electricity and CHPs_CAP'!C$19</f>
        <v>0.27247913931914114</v>
      </c>
      <c r="H1787" s="1">
        <f>'[1]Electricity and CHPs_CAP'!D$19</f>
        <v>0.30586043962895082</v>
      </c>
      <c r="I1787" s="1">
        <f>'[1]Electricity and CHPs_CAP'!E$19</f>
        <v>0.27599271147366111</v>
      </c>
      <c r="J1787" s="1">
        <f>'[2]Electricity and CHPs_CAP'!F$19</f>
        <v>0.27948970940110657</v>
      </c>
      <c r="K1787" s="1">
        <f>'[2]Electricity and CHPs_CAP'!G$19</f>
        <v>0.28606078083211939</v>
      </c>
      <c r="L1787" s="1">
        <f>'[2]Electricity and CHPs_CAP'!H$19</f>
        <v>1.3484128991170241E-4</v>
      </c>
      <c r="N1787" s="1"/>
    </row>
    <row r="1788" spans="2:14" x14ac:dyDescent="0.35">
      <c r="B1788" s="5" t="str">
        <f t="shared" si="1872"/>
        <v>SPS1</v>
      </c>
      <c r="C1788" s="5" t="str">
        <f t="shared" si="1872"/>
        <v>CH</v>
      </c>
      <c r="D1788" t="s">
        <v>1818</v>
      </c>
      <c r="E1788" t="str">
        <f t="shared" si="1860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0.31915330621193</v>
      </c>
      <c r="N1788" s="1"/>
    </row>
    <row r="1789" spans="2:14" x14ac:dyDescent="0.35">
      <c r="B1789" s="5" t="str">
        <f t="shared" si="1872"/>
        <v>SPS1</v>
      </c>
      <c r="C1789" s="5" t="str">
        <f t="shared" si="1872"/>
        <v>CH</v>
      </c>
      <c r="D1789" t="s">
        <v>1819</v>
      </c>
      <c r="E1789" t="str">
        <f t="shared" si="1860"/>
        <v>GWe/yr.</v>
      </c>
      <c r="F1789" s="1">
        <f>'[1]Electricity and CHPs_CAP'!B$26</f>
        <v>7.8399999999999997E-2</v>
      </c>
      <c r="G1789" s="1">
        <f>'[1]Electricity and CHPs_CAP'!C$26</f>
        <v>7.1001927006362847E-2</v>
      </c>
      <c r="H1789" s="1">
        <f>'[1]Electricity and CHPs_CAP'!D$26</f>
        <v>7.048924537128215E-2</v>
      </c>
      <c r="I1789" s="1">
        <f>'[1]Electricity and CHPs_CAP'!E$26</f>
        <v>7.048992092815029E-2</v>
      </c>
      <c r="J1789" s="1">
        <f>'[2]Electricity and CHPs_CAP'!F$26</f>
        <v>6.9926189858022639E-2</v>
      </c>
      <c r="K1789" s="1">
        <f>'[2]Electricity and CHPs_CAP'!G$26</f>
        <v>7.0079096356055678E-2</v>
      </c>
      <c r="L1789" s="1">
        <f>'[2]Electricity and CHPs_CAP'!H$26</f>
        <v>8.0898049785699255E-5</v>
      </c>
      <c r="N1789" s="1"/>
    </row>
    <row r="1790" spans="2:14" x14ac:dyDescent="0.35">
      <c r="B1790" s="5" t="str">
        <f t="shared" si="1872"/>
        <v>SPS1</v>
      </c>
      <c r="C1790" s="5" t="str">
        <f t="shared" si="1872"/>
        <v>CH</v>
      </c>
      <c r="D1790" t="s">
        <v>1820</v>
      </c>
      <c r="E1790" t="str">
        <f t="shared" si="1860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7.4859121277739804E-2</v>
      </c>
      <c r="N1790" s="1"/>
    </row>
    <row r="1791" spans="2:14" x14ac:dyDescent="0.35">
      <c r="B1791" s="5" t="str">
        <f t="shared" si="1872"/>
        <v>SPS1</v>
      </c>
      <c r="C1791" s="5" t="str">
        <f t="shared" si="1872"/>
        <v>CH</v>
      </c>
      <c r="D1791" t="s">
        <v>1821</v>
      </c>
      <c r="E1791" t="str">
        <f t="shared" si="1860"/>
        <v>GWe/yr.</v>
      </c>
      <c r="F1791" s="1">
        <f>'[1]Electricity and CHPs_CAP'!B$44</f>
        <v>4.4755919197669317E-2</v>
      </c>
      <c r="G1791" s="1">
        <f>'[1]Electricity and CHPs_CAP'!C$44</f>
        <v>9.38549511771683E-3</v>
      </c>
      <c r="H1791" s="1">
        <f>'[1]Electricity and CHPs_CAP'!D$44</f>
        <v>1.6971816472824974E-3</v>
      </c>
      <c r="I1791" s="1">
        <f>'[1]Electricity and CHPs_CAP'!E$44</f>
        <v>1.6870444963487698E-3</v>
      </c>
      <c r="J1791" s="1">
        <f>'[2]Electricity and CHPs_CAP'!F$44</f>
        <v>2.7916512413061999E-3</v>
      </c>
      <c r="K1791" s="1">
        <f>'[2]Electricity and CHPs_CAP'!G$44</f>
        <v>2.7916161835255613E-3</v>
      </c>
      <c r="L1791" s="1">
        <f>'[2]Electricity and CHPs_CAP'!H$44</f>
        <v>9.0453722839727631E-5</v>
      </c>
      <c r="N1791" s="1"/>
    </row>
    <row r="1792" spans="2:14" x14ac:dyDescent="0.35">
      <c r="B1792" s="5" t="str">
        <f t="shared" si="1872"/>
        <v>SPS1</v>
      </c>
      <c r="C1792" s="5" t="str">
        <f t="shared" si="1872"/>
        <v>CH</v>
      </c>
      <c r="D1792" t="s">
        <v>1822</v>
      </c>
      <c r="E1792" t="str">
        <f t="shared" si="1860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2.42000396529903E-2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0"/>
        <v>GWe/yr.</v>
      </c>
      <c r="F1793" s="1">
        <f>SUM(F1794:F1800)</f>
        <v>1.1668211127705932E-2</v>
      </c>
      <c r="G1793" s="1">
        <f t="shared" ref="G1793:K1793" si="1873">SUM(G1794:G1800)</f>
        <v>6.4780911394819382E-3</v>
      </c>
      <c r="H1793" s="1">
        <f t="shared" si="1873"/>
        <v>5.3588917715319172E-2</v>
      </c>
      <c r="I1793" s="1">
        <f t="shared" si="1873"/>
        <v>0.1167661011504162</v>
      </c>
      <c r="J1793" s="1">
        <f t="shared" si="1873"/>
        <v>0.15232106704006645</v>
      </c>
      <c r="K1793" s="1">
        <f t="shared" si="1873"/>
        <v>0.21601874964078624</v>
      </c>
      <c r="L1793" s="1">
        <f t="shared" ref="L1793" si="1874">SUM(L1794:L1800)</f>
        <v>0.28720454448908178</v>
      </c>
      <c r="N1793" s="1"/>
    </row>
    <row r="1794" spans="2:14" x14ac:dyDescent="0.35">
      <c r="B1794" s="5" t="str">
        <f t="shared" ref="B1794:C1804" si="1875">B1793</f>
        <v>SPS1</v>
      </c>
      <c r="C1794" s="5" t="str">
        <f t="shared" si="1875"/>
        <v>CH</v>
      </c>
      <c r="D1794" t="s">
        <v>1824</v>
      </c>
      <c r="E1794" t="str">
        <f t="shared" si="1860"/>
        <v>GWe/yr.</v>
      </c>
      <c r="F1794" s="1">
        <f>'[1]Electricity and CHPs_CAP'!B$25</f>
        <v>2.3357503925620221E-4</v>
      </c>
      <c r="G1794" s="1">
        <f>'[1]Electricity and CHPs_CAP'!C$25</f>
        <v>4.6394714043591911E-4</v>
      </c>
      <c r="H1794" s="1">
        <f>'[1]Electricity and CHPs_CAP'!D$25</f>
        <v>5.9798724232807549E-4</v>
      </c>
      <c r="I1794" s="1">
        <f>'[1]Electricity and CHPs_CAP'!E$25</f>
        <v>2.3596571996056109E-4</v>
      </c>
      <c r="J1794" s="1">
        <f>'[2]Electricity and CHPs_CAP'!F$25</f>
        <v>3.9298290972160713E-4</v>
      </c>
      <c r="K1794" s="1">
        <f>'[2]Electricity and CHPs_CAP'!G$25</f>
        <v>3.26282239336641E-4</v>
      </c>
      <c r="L1794" s="1">
        <f>'[2]Electricity and CHPs_CAP'!H$25</f>
        <v>1.640207287270687E-4</v>
      </c>
      <c r="N1794" s="1"/>
    </row>
    <row r="1795" spans="2:14" x14ac:dyDescent="0.35">
      <c r="B1795" s="5" t="str">
        <f t="shared" si="1875"/>
        <v>SPS1</v>
      </c>
      <c r="C1795" s="5" t="str">
        <f t="shared" si="1875"/>
        <v>CH</v>
      </c>
      <c r="D1795" t="s">
        <v>1825</v>
      </c>
      <c r="E1795" t="str">
        <f t="shared" si="1860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2.9991140369555402E-7</v>
      </c>
      <c r="L1795" s="1">
        <f>'[2]Electricity and CHPs_CAP'!H$31</f>
        <v>8.5328467519163627E-4</v>
      </c>
      <c r="N1795" s="1"/>
    </row>
    <row r="1796" spans="2:14" x14ac:dyDescent="0.35">
      <c r="B1796" s="5" t="str">
        <f t="shared" si="1875"/>
        <v>SPS1</v>
      </c>
      <c r="C1796" s="5" t="str">
        <f t="shared" si="1875"/>
        <v>CH</v>
      </c>
      <c r="D1796" t="s">
        <v>1826</v>
      </c>
      <c r="E1796" t="str">
        <f t="shared" si="1860"/>
        <v>GWe/yr.</v>
      </c>
      <c r="F1796" s="1">
        <f>'[1]Electricity and CHPs_CAP'!B$42</f>
        <v>1.143463608844973E-2</v>
      </c>
      <c r="G1796" s="1">
        <f>'[1]Electricity and CHPs_CAP'!C$42</f>
        <v>6.0141439990460191E-3</v>
      </c>
      <c r="H1796" s="1">
        <f>'[1]Electricity and CHPs_CAP'!D$42</f>
        <v>5.2990930472991096E-2</v>
      </c>
      <c r="I1796" s="1">
        <f>'[1]Electricity and CHPs_CAP'!E$42</f>
        <v>0.11608709586115301</v>
      </c>
      <c r="J1796" s="1">
        <f>'[2]Electricity and CHPs_CAP'!F$42</f>
        <v>0.15110105522654391</v>
      </c>
      <c r="K1796" s="1">
        <f>'[2]Electricity and CHPs_CAP'!G$42</f>
        <v>0.20979532657244734</v>
      </c>
      <c r="L1796" s="1">
        <f>'[2]Electricity and CHPs_CAP'!H$42</f>
        <v>0.14058752072658878</v>
      </c>
      <c r="N1796" s="1"/>
    </row>
    <row r="1797" spans="2:14" x14ac:dyDescent="0.35">
      <c r="B1797" s="5" t="str">
        <f t="shared" si="1875"/>
        <v>SPS1</v>
      </c>
      <c r="C1797" s="5" t="str">
        <f t="shared" si="1875"/>
        <v>CH</v>
      </c>
      <c r="D1797" t="s">
        <v>1827</v>
      </c>
      <c r="E1797" t="str">
        <f t="shared" si="1860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6.9810263700086805E-2</v>
      </c>
      <c r="N1797" s="1"/>
    </row>
    <row r="1798" spans="2:14" x14ac:dyDescent="0.35">
      <c r="B1798" s="5" t="str">
        <f t="shared" si="1875"/>
        <v>SPS1</v>
      </c>
      <c r="C1798" s="5" t="str">
        <f t="shared" si="1875"/>
        <v>CH</v>
      </c>
      <c r="D1798" t="s">
        <v>1828</v>
      </c>
      <c r="E1798" t="str">
        <f t="shared" si="1860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1.286230979788853E-4</v>
      </c>
      <c r="J1798" s="1">
        <f>'[2]Electricity and CHPs_CAP'!F$50</f>
        <v>2.3666235801355514E-4</v>
      </c>
      <c r="K1798" s="1">
        <f>'[2]Electricity and CHPs_CAP'!G$50</f>
        <v>2.6343417573778852E-4</v>
      </c>
      <c r="L1798" s="1">
        <f>'[2]Electricity and CHPs_CAP'!H$50</f>
        <v>2.5286648901518178E-4</v>
      </c>
      <c r="N1798" s="1"/>
    </row>
    <row r="1799" spans="2:14" x14ac:dyDescent="0.35">
      <c r="B1799" s="5" t="str">
        <f t="shared" si="1875"/>
        <v>SPS1</v>
      </c>
      <c r="C1799" s="5" t="str">
        <f t="shared" si="1875"/>
        <v>CH</v>
      </c>
      <c r="D1799" t="s">
        <v>1829</v>
      </c>
      <c r="E1799" t="str">
        <f t="shared" si="1860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1.8575621517967619E-4</v>
      </c>
      <c r="J1799" s="1">
        <f>'[2]Electricity and CHPs_CAP'!F$53</f>
        <v>3.8979778213820733E-4</v>
      </c>
      <c r="K1799" s="1">
        <f>'[2]Electricity and CHPs_CAP'!G$53</f>
        <v>5.4660382245366587E-3</v>
      </c>
      <c r="L1799" s="1">
        <f>'[2]Electricity and CHPs_CAP'!H$53</f>
        <v>7.5452422895996574E-2</v>
      </c>
      <c r="N1799" s="1"/>
    </row>
    <row r="1800" spans="2:14" x14ac:dyDescent="0.35">
      <c r="B1800" s="5" t="str">
        <f t="shared" si="1875"/>
        <v>SPS1</v>
      </c>
      <c r="C1800" s="5" t="str">
        <f t="shared" si="1875"/>
        <v>CH</v>
      </c>
      <c r="D1800" t="s">
        <v>1830</v>
      </c>
      <c r="E1800" t="str">
        <f t="shared" si="1860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1.2866025614407199E-4</v>
      </c>
      <c r="J1800" s="1">
        <f>'[2]Electricity and CHPs_CAP'!F$56</f>
        <v>2.0056876364914542E-4</v>
      </c>
      <c r="K1800" s="1">
        <f>'[2]Electricity and CHPs_CAP'!G$56</f>
        <v>1.6736851732411677E-4</v>
      </c>
      <c r="L1800" s="1">
        <f>'[2]Electricity and CHPs_CAP'!H$56</f>
        <v>8.4165273475714355E-5</v>
      </c>
      <c r="N1800" s="1"/>
    </row>
    <row r="1801" spans="2:14" x14ac:dyDescent="0.35">
      <c r="B1801" s="5" t="str">
        <f t="shared" si="1875"/>
        <v>SPS1</v>
      </c>
      <c r="C1801" s="5" t="str">
        <f t="shared" si="1875"/>
        <v>CH</v>
      </c>
      <c r="D1801" t="s">
        <v>1831</v>
      </c>
      <c r="E1801" t="str">
        <f t="shared" si="1860"/>
        <v>GWe/yr.</v>
      </c>
      <c r="F1801" s="1">
        <f>F1802</f>
        <v>8.7120000000000003E-2</v>
      </c>
      <c r="G1801" s="1">
        <f t="shared" ref="G1801:L1801" si="1876">G1802</f>
        <v>9.0660038621025937E-2</v>
      </c>
      <c r="H1801" s="1">
        <f t="shared" si="1876"/>
        <v>8.3655956114954938E-2</v>
      </c>
      <c r="I1801" s="1">
        <f t="shared" si="1876"/>
        <v>0.27355307821147729</v>
      </c>
      <c r="J1801" s="1">
        <f t="shared" si="1876"/>
        <v>0.1463901464016768</v>
      </c>
      <c r="K1801" s="1">
        <f t="shared" si="1876"/>
        <v>0.14639715443610468</v>
      </c>
      <c r="L1801" s="1">
        <f t="shared" si="1876"/>
        <v>0.14639910048903801</v>
      </c>
      <c r="N1801" s="1"/>
    </row>
    <row r="1802" spans="2:14" x14ac:dyDescent="0.35">
      <c r="B1802" s="5" t="str">
        <f t="shared" si="1875"/>
        <v>SPS1</v>
      </c>
      <c r="C1802" s="5" t="str">
        <f t="shared" si="1875"/>
        <v>CH</v>
      </c>
      <c r="D1802" t="s">
        <v>1832</v>
      </c>
      <c r="E1802" t="str">
        <f t="shared" si="1860"/>
        <v>GWe/yr.</v>
      </c>
      <c r="F1802" s="1">
        <f>'[1]Electricity and CHPs_CAP'!B$33</f>
        <v>8.7120000000000003E-2</v>
      </c>
      <c r="G1802" s="1">
        <f>'[1]Electricity and CHPs_CAP'!C$33</f>
        <v>9.0660038621025937E-2</v>
      </c>
      <c r="H1802" s="1">
        <f>'[1]Electricity and CHPs_CAP'!D$33</f>
        <v>8.3655956114954938E-2</v>
      </c>
      <c r="I1802" s="1">
        <f>'[1]Electricity and CHPs_CAP'!E$33</f>
        <v>0.27355307821147729</v>
      </c>
      <c r="J1802" s="1">
        <f>'[2]Electricity and CHPs_CAP'!F$33</f>
        <v>0.1463901464016768</v>
      </c>
      <c r="K1802" s="1">
        <f>'[2]Electricity and CHPs_CAP'!G$33</f>
        <v>0.14639715443610468</v>
      </c>
      <c r="L1802" s="1">
        <f>'[2]Electricity and CHPs_CAP'!H$33</f>
        <v>0.14639910048903801</v>
      </c>
      <c r="N1802" s="1"/>
    </row>
    <row r="1803" spans="2:14" x14ac:dyDescent="0.35">
      <c r="B1803" s="5" t="str">
        <f t="shared" si="1875"/>
        <v>SPS1</v>
      </c>
      <c r="C1803" s="5" t="str">
        <f t="shared" si="1875"/>
        <v>CH</v>
      </c>
      <c r="D1803" t="s">
        <v>1833</v>
      </c>
      <c r="E1803" t="str">
        <f t="shared" si="1860"/>
        <v>GWe/yr.</v>
      </c>
      <c r="F1803" s="1">
        <f>SUM(F1804:F1808)</f>
        <v>2.9746549999999998</v>
      </c>
      <c r="G1803" s="1">
        <f t="shared" ref="G1803:K1803" si="1877">SUM(G1804:G1808)</f>
        <v>4.3709034403552147</v>
      </c>
      <c r="H1803" s="1">
        <f t="shared" si="1877"/>
        <v>9.1889305218916597</v>
      </c>
      <c r="I1803" s="1">
        <f t="shared" si="1877"/>
        <v>8.9868434074013024</v>
      </c>
      <c r="J1803" s="1">
        <f t="shared" si="1877"/>
        <v>13.853647487094035</v>
      </c>
      <c r="K1803" s="1">
        <f t="shared" si="1877"/>
        <v>16.234248498338633</v>
      </c>
      <c r="L1803" s="1">
        <f t="shared" ref="L1803" si="1878">SUM(L1804:L1808)</f>
        <v>23.08970147327069</v>
      </c>
      <c r="N1803" s="1"/>
    </row>
    <row r="1804" spans="2:14" x14ac:dyDescent="0.35">
      <c r="B1804" s="5" t="str">
        <f t="shared" si="1875"/>
        <v>SPS1</v>
      </c>
      <c r="C1804" s="5" t="str">
        <f t="shared" si="1875"/>
        <v>CH</v>
      </c>
      <c r="D1804" t="s">
        <v>1834</v>
      </c>
      <c r="E1804" t="str">
        <f t="shared" si="1860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4.4925030140339203E-2</v>
      </c>
      <c r="I1804" s="1">
        <f>'[1]Electricity and CHPs_CAP'!E$34</f>
        <v>4.4927333808425299E-2</v>
      </c>
      <c r="J1804" s="1">
        <f>'[2]Electricity and CHPs_CAP'!F$34</f>
        <v>5.510308061683785E-2</v>
      </c>
      <c r="K1804" s="1">
        <f>'[2]Electricity and CHPs_CAP'!G$34</f>
        <v>5.5310087811522961E-2</v>
      </c>
      <c r="L1804" s="1">
        <f>'[2]Electricity and CHPs_CAP'!H$34</f>
        <v>0.43922584493065692</v>
      </c>
      <c r="N1804" s="1"/>
    </row>
    <row r="1805" spans="2:14" x14ac:dyDescent="0.35">
      <c r="B1805" s="5" t="str">
        <f t="shared" ref="B1805:C1820" si="1879">B1804</f>
        <v>SPS1</v>
      </c>
      <c r="C1805" s="5" t="str">
        <f t="shared" si="1879"/>
        <v>CH</v>
      </c>
      <c r="D1805" t="s">
        <v>1835</v>
      </c>
      <c r="E1805" t="str">
        <f t="shared" si="1860"/>
        <v>GWe/yr.</v>
      </c>
      <c r="F1805" s="1">
        <f>'[1]Electricity and CHPs_CAP'!B$35</f>
        <v>1.1186210000000001</v>
      </c>
      <c r="G1805" s="1">
        <f>'[1]Electricity and CHPs_CAP'!C$35</f>
        <v>1.6529270844344852</v>
      </c>
      <c r="H1805" s="1">
        <f>'[1]Electricity and CHPs_CAP'!D$35</f>
        <v>3.5611849167848</v>
      </c>
      <c r="I1805" s="1">
        <f>'[1]Electricity and CHPs_CAP'!E$35</f>
        <v>3.4922697991095903</v>
      </c>
      <c r="J1805" s="1">
        <f>'[2]Electricity and CHPs_CAP'!F$35</f>
        <v>8.0578044556744892</v>
      </c>
      <c r="K1805" s="1">
        <f>'[2]Electricity and CHPs_CAP'!G$35</f>
        <v>10.131456988928207</v>
      </c>
      <c r="L1805" s="1">
        <f>'[2]Electricity and CHPs_CAP'!H$35</f>
        <v>15.9391115657501</v>
      </c>
      <c r="N1805" s="1"/>
    </row>
    <row r="1806" spans="2:14" x14ac:dyDescent="0.35">
      <c r="B1806" s="5" t="str">
        <f t="shared" si="1879"/>
        <v>SPS1</v>
      </c>
      <c r="C1806" s="5" t="str">
        <f t="shared" si="1879"/>
        <v>CH</v>
      </c>
      <c r="D1806" t="s">
        <v>1836</v>
      </c>
      <c r="E1806" t="str">
        <f t="shared" si="1860"/>
        <v>GWe/yr.</v>
      </c>
      <c r="F1806" s="1">
        <f>'[1]Electricity and CHPs_CAP'!B$36</f>
        <v>0.67885700000000004</v>
      </c>
      <c r="G1806" s="1">
        <f>'[1]Electricity and CHPs_CAP'!C$36</f>
        <v>1.1559140880654231</v>
      </c>
      <c r="H1806" s="1">
        <f>'[1]Electricity and CHPs_CAP'!D$36</f>
        <v>1.2900016663490987</v>
      </c>
      <c r="I1806" s="1">
        <f>'[1]Electricity and CHPs_CAP'!E$36</f>
        <v>1.2531198881556842</v>
      </c>
      <c r="J1806" s="1">
        <f>'[2]Electricity and CHPs_CAP'!F$36</f>
        <v>1.3300414000449559</v>
      </c>
      <c r="K1806" s="1">
        <f>'[2]Electricity and CHPs_CAP'!G$36</f>
        <v>1.4117790151229133</v>
      </c>
      <c r="L1806" s="1">
        <f>'[2]Electricity and CHPs_CAP'!H$36</f>
        <v>1.5906312267985792</v>
      </c>
      <c r="N1806" s="1"/>
    </row>
    <row r="1807" spans="2:14" x14ac:dyDescent="0.35">
      <c r="B1807" s="5" t="str">
        <f t="shared" si="1879"/>
        <v>SPS1</v>
      </c>
      <c r="C1807" s="5" t="str">
        <f t="shared" si="1879"/>
        <v>CH</v>
      </c>
      <c r="D1807" t="s">
        <v>1837</v>
      </c>
      <c r="E1807" t="str">
        <f t="shared" si="1860"/>
        <v>GWe/yr.</v>
      </c>
      <c r="F1807" s="1">
        <f>'[1]Electricity and CHPs_CAP'!B$37</f>
        <v>0.27424799999999999</v>
      </c>
      <c r="G1807" s="1">
        <f>'[1]Electricity and CHPs_CAP'!C$37</f>
        <v>0.43896094062837138</v>
      </c>
      <c r="H1807" s="1">
        <f>'[1]Electricity and CHPs_CAP'!D$37</f>
        <v>1.1128803121620514</v>
      </c>
      <c r="I1807" s="1">
        <f>'[1]Electricity and CHPs_CAP'!E$37</f>
        <v>1.1011569191687425</v>
      </c>
      <c r="J1807" s="1">
        <f>'[2]Electricity and CHPs_CAP'!F$37</f>
        <v>1.157422975031944</v>
      </c>
      <c r="K1807" s="1">
        <f>'[2]Electricity and CHPs_CAP'!G$37</f>
        <v>1.216469366362992</v>
      </c>
      <c r="L1807" s="1">
        <f>'[2]Electricity and CHPs_CAP'!H$37</f>
        <v>1.343749632816734</v>
      </c>
      <c r="N1807" s="1"/>
    </row>
    <row r="1808" spans="2:14" x14ac:dyDescent="0.35">
      <c r="B1808" s="5" t="str">
        <f t="shared" si="1879"/>
        <v>SPS1</v>
      </c>
      <c r="C1808" s="5" t="str">
        <f t="shared" si="1879"/>
        <v>CH</v>
      </c>
      <c r="D1808" t="s">
        <v>1838</v>
      </c>
      <c r="E1808" t="str">
        <f t="shared" si="1860"/>
        <v>GWe/yr.</v>
      </c>
      <c r="F1808" s="1">
        <f>'[1]Electricity and CHPs_CAP'!B$38</f>
        <v>0.90292899999999998</v>
      </c>
      <c r="G1808" s="1">
        <f>'[1]Electricity and CHPs_CAP'!C$38</f>
        <v>1.1231013272269348</v>
      </c>
      <c r="H1808" s="1">
        <f>'[1]Electricity and CHPs_CAP'!D$38</f>
        <v>3.1799385964553704</v>
      </c>
      <c r="I1808" s="1">
        <f>'[1]Electricity and CHPs_CAP'!E$38</f>
        <v>3.0953694671588599</v>
      </c>
      <c r="J1808" s="1">
        <f>'[2]Electricity and CHPs_CAP'!F$38</f>
        <v>3.2532755757258092</v>
      </c>
      <c r="K1808" s="1">
        <f>'[2]Electricity and CHPs_CAP'!G$38</f>
        <v>3.4192330401129989</v>
      </c>
      <c r="L1808" s="1">
        <f>'[2]Electricity and CHPs_CAP'!H$38</f>
        <v>3.7769832029746202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0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0</v>
      </c>
      <c r="L1809" s="1">
        <f>'[2]Electricity and CHPs_CAP'!H$32</f>
        <v>0</v>
      </c>
      <c r="N1809" s="1"/>
    </row>
    <row r="1810" spans="2:14" x14ac:dyDescent="0.35">
      <c r="B1810" s="5" t="str">
        <f t="shared" ref="B1810:C1810" si="1880">B1809</f>
        <v>SPS1</v>
      </c>
      <c r="C1810" s="5" t="str">
        <f t="shared" si="1880"/>
        <v>CH</v>
      </c>
      <c r="D1810" t="s">
        <v>1840</v>
      </c>
      <c r="E1810" t="str">
        <f t="shared" si="1860"/>
        <v>GWe/yr.</v>
      </c>
      <c r="F1810" s="1">
        <f>F1809</f>
        <v>0</v>
      </c>
      <c r="G1810" s="1">
        <f t="shared" ref="G1810:K1810" si="1881">G1809</f>
        <v>0</v>
      </c>
      <c r="H1810" s="1">
        <f t="shared" si="1881"/>
        <v>0</v>
      </c>
      <c r="I1810" s="1">
        <f t="shared" si="1881"/>
        <v>0</v>
      </c>
      <c r="J1810" s="1">
        <f t="shared" si="1881"/>
        <v>0</v>
      </c>
      <c r="K1810" s="1">
        <f t="shared" si="1881"/>
        <v>0</v>
      </c>
      <c r="L1810" s="1">
        <f t="shared" ref="L1810" si="1882">L1809</f>
        <v>0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0"/>
        <v>GWe/yr.</v>
      </c>
      <c r="F1811" s="1">
        <f t="shared" ref="F1811:K1811" si="1883">SUM(F1812:F1814)</f>
        <v>0</v>
      </c>
      <c r="G1811" s="1">
        <f t="shared" si="1883"/>
        <v>0</v>
      </c>
      <c r="H1811" s="1">
        <f t="shared" si="1883"/>
        <v>0</v>
      </c>
      <c r="I1811" s="1">
        <f t="shared" si="1883"/>
        <v>2.0528716316637301E-4</v>
      </c>
      <c r="J1811" s="1">
        <f t="shared" si="1883"/>
        <v>8.3631494797155857E-4</v>
      </c>
      <c r="K1811" s="1">
        <f t="shared" si="1883"/>
        <v>1.8718030807038863E-2</v>
      </c>
      <c r="L1811" s="1">
        <f t="shared" ref="L1811" si="1884">SUM(L1812:L1814)</f>
        <v>2.8837231816369931E-2</v>
      </c>
      <c r="N1811" s="1"/>
    </row>
    <row r="1812" spans="2:14" x14ac:dyDescent="0.35">
      <c r="B1812" s="5" t="str">
        <f t="shared" si="1879"/>
        <v>SPS1</v>
      </c>
      <c r="C1812" s="5" t="str">
        <f t="shared" si="1879"/>
        <v>CH</v>
      </c>
      <c r="D1812" t="s">
        <v>1842</v>
      </c>
      <c r="E1812" t="str">
        <f t="shared" si="1860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1.7780795387502098E-2</v>
      </c>
      <c r="L1812" s="1">
        <f>'[2]Electricity and CHPs_CAP'!H$30</f>
        <v>1.7786009567419613E-2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0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6.1295039002998305E-4</v>
      </c>
      <c r="K1813" s="1">
        <f>'[2]Electricity and CHPs_CAP'!G$46</f>
        <v>6.2066843207016198E-4</v>
      </c>
      <c r="L1813" s="1">
        <f>'[2]Electricity and CHPs_CAP'!H$46</f>
        <v>1.0624004840602835E-2</v>
      </c>
      <c r="N1813" s="1"/>
    </row>
    <row r="1814" spans="2:14" x14ac:dyDescent="0.35">
      <c r="B1814" s="5" t="str">
        <f t="shared" si="1879"/>
        <v>SPS1</v>
      </c>
      <c r="C1814" s="5" t="str">
        <f t="shared" si="1879"/>
        <v>CH</v>
      </c>
      <c r="D1814" t="s">
        <v>1844</v>
      </c>
      <c r="E1814" t="str">
        <f t="shared" si="1860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2.0528716316637301E-4</v>
      </c>
      <c r="J1814" s="1">
        <f>'[2]Electricity and CHPs_CAP'!F$57</f>
        <v>2.2336455794157547E-4</v>
      </c>
      <c r="K1814" s="1">
        <f>'[2]Electricity and CHPs_CAP'!G$57</f>
        <v>3.165669874666016E-4</v>
      </c>
      <c r="L1814" s="1">
        <f>'[2]Electricity and CHPs_CAP'!H$57</f>
        <v>4.2721740834748519E-4</v>
      </c>
      <c r="N1814" s="1"/>
    </row>
    <row r="1815" spans="2:14" x14ac:dyDescent="0.35">
      <c r="B1815" s="5" t="str">
        <f t="shared" si="1879"/>
        <v>SPS1</v>
      </c>
      <c r="C1815" s="5" t="str">
        <f t="shared" si="1879"/>
        <v>CH</v>
      </c>
      <c r="D1815" t="s">
        <v>1845</v>
      </c>
      <c r="E1815" t="str">
        <f t="shared" si="1860"/>
        <v>GWe/yr.</v>
      </c>
      <c r="F1815" s="1">
        <f>SUM(F1816:F1822)</f>
        <v>0.10819783596880893</v>
      </c>
      <c r="G1815" s="1">
        <f t="shared" ref="G1815:K1815" si="1885">SUM(G1816:G1822)</f>
        <v>0.1082030953739154</v>
      </c>
      <c r="H1815" s="1">
        <f t="shared" si="1885"/>
        <v>0.47120470277883431</v>
      </c>
      <c r="I1815" s="1">
        <f t="shared" si="1885"/>
        <v>0.49496595429216361</v>
      </c>
      <c r="J1815" s="1">
        <f t="shared" si="1885"/>
        <v>0.6934174596024858</v>
      </c>
      <c r="K1815" s="1">
        <f t="shared" si="1885"/>
        <v>0.81432685654210391</v>
      </c>
      <c r="L1815" s="1">
        <f t="shared" ref="L1815" si="1886">SUM(L1816:L1822)</f>
        <v>1.5054014828305089</v>
      </c>
      <c r="N1815" s="1"/>
    </row>
    <row r="1816" spans="2:14" x14ac:dyDescent="0.35">
      <c r="B1816" s="5" t="str">
        <f t="shared" si="1879"/>
        <v>SPS1</v>
      </c>
      <c r="C1816" s="5" t="str">
        <f t="shared" si="1879"/>
        <v>CH</v>
      </c>
      <c r="D1816" t="s">
        <v>1846</v>
      </c>
      <c r="E1816" t="str">
        <f t="shared" si="1860"/>
        <v>GWe/yr.</v>
      </c>
      <c r="F1816" s="1">
        <f>'[1]Electricity and CHPs_CAP'!B$63</f>
        <v>0.1</v>
      </c>
      <c r="G1816" s="1">
        <f>'[1]Electricity and CHPs_CAP'!C$63</f>
        <v>9.9996637424090234E-2</v>
      </c>
      <c r="H1816" s="1">
        <f>'[1]Electricity and CHPs_CAP'!D$63</f>
        <v>9.9996145710836981E-2</v>
      </c>
      <c r="I1816" s="1">
        <f>'[1]Electricity and CHPs_CAP'!E$63</f>
        <v>9.9995986649413088E-2</v>
      </c>
      <c r="J1816" s="1">
        <f>'[2]Electricity and CHPs_CAP'!F$63</f>
        <v>9.9993500347405534E-2</v>
      </c>
      <c r="K1816" s="1">
        <f>'[2]Electricity and CHPs_CAP'!G$63</f>
        <v>9.9993793719312843E-2</v>
      </c>
      <c r="L1816" s="1">
        <f>'[2]Electricity and CHPs_CAP'!H$63</f>
        <v>9.9994724911291188E-2</v>
      </c>
      <c r="N1816" s="1"/>
    </row>
    <row r="1817" spans="2:14" x14ac:dyDescent="0.35">
      <c r="B1817" s="5" t="str">
        <f t="shared" si="1879"/>
        <v>SPS1</v>
      </c>
      <c r="C1817" s="5" t="str">
        <f t="shared" si="1879"/>
        <v>CH</v>
      </c>
      <c r="D1817" t="s">
        <v>1847</v>
      </c>
      <c r="E1817" t="str">
        <f t="shared" si="1860"/>
        <v>GWe/yr.</v>
      </c>
      <c r="F1817" s="1">
        <f>'[1]Electricity and CHPs_CAP'!B$64</f>
        <v>1.4042473040049501E-3</v>
      </c>
      <c r="G1817" s="1">
        <f>'[1]Electricity and CHPs_CAP'!C$64</f>
        <v>1.4055449580370218E-3</v>
      </c>
      <c r="H1817" s="1">
        <f>'[1]Electricity and CHPs_CAP'!D$64</f>
        <v>6.7320944024097948E-3</v>
      </c>
      <c r="I1817" s="1">
        <f>'[1]Electricity and CHPs_CAP'!E$64</f>
        <v>2.1487111368889041E-2</v>
      </c>
      <c r="J1817" s="1">
        <f>'[2]Electricity and CHPs_CAP'!F$64</f>
        <v>1.1954230230677288E-2</v>
      </c>
      <c r="K1817" s="1">
        <f>'[2]Electricity and CHPs_CAP'!G$64</f>
        <v>1.2611586503716096E-2</v>
      </c>
      <c r="L1817" s="1">
        <f>'[2]Electricity and CHPs_CAP'!H$64</f>
        <v>0.31241736811141785</v>
      </c>
      <c r="N1817" s="1"/>
    </row>
    <row r="1818" spans="2:14" x14ac:dyDescent="0.35">
      <c r="B1818" s="5" t="str">
        <f t="shared" si="1879"/>
        <v>SPS1</v>
      </c>
      <c r="C1818" s="5" t="str">
        <f t="shared" si="1879"/>
        <v>CH</v>
      </c>
      <c r="D1818" t="s">
        <v>1848</v>
      </c>
      <c r="E1818" t="str">
        <f t="shared" si="1860"/>
        <v>GWe/yr.</v>
      </c>
      <c r="F1818" s="1">
        <f>'[1]Electricity and CHPs_CAP'!B$65</f>
        <v>1.0411007081888499E-3</v>
      </c>
      <c r="G1818" s="1">
        <f>'[1]Electricity and CHPs_CAP'!C$65</f>
        <v>1.042215438916965E-3</v>
      </c>
      <c r="H1818" s="1">
        <f>'[1]Electricity and CHPs_CAP'!D$65</f>
        <v>4.2078481813258841E-3</v>
      </c>
      <c r="I1818" s="1">
        <f>'[1]Electricity and CHPs_CAP'!E$65</f>
        <v>1.0168087160850872E-2</v>
      </c>
      <c r="J1818" s="1">
        <f>'[2]Electricity and CHPs_CAP'!F$65</f>
        <v>6.9076027818043475E-3</v>
      </c>
      <c r="K1818" s="1">
        <f>'[2]Electricity and CHPs_CAP'!G$65</f>
        <v>7.0894026132600563E-3</v>
      </c>
      <c r="L1818" s="1">
        <f>'[2]Electricity and CHPs_CAP'!H$65</f>
        <v>2.3402285633168669E-2</v>
      </c>
      <c r="N1818" s="1"/>
    </row>
    <row r="1819" spans="2:14" x14ac:dyDescent="0.35">
      <c r="B1819" s="5" t="str">
        <f t="shared" si="1879"/>
        <v>SPS1</v>
      </c>
      <c r="C1819" s="5" t="str">
        <f t="shared" si="1879"/>
        <v>CH</v>
      </c>
      <c r="D1819" t="s">
        <v>1849</v>
      </c>
      <c r="E1819" t="str">
        <f t="shared" si="1860"/>
        <v>GWe/yr.</v>
      </c>
      <c r="F1819" s="1">
        <f>'[1]Electricity and CHPs_CAP'!B$66</f>
        <v>9.675135389452178E-4</v>
      </c>
      <c r="G1819" s="1">
        <f>'[1]Electricity and CHPs_CAP'!C$66</f>
        <v>9.6859180723921014E-4</v>
      </c>
      <c r="H1819" s="1">
        <f>'[1]Electricity and CHPs_CAP'!D$66</f>
        <v>6.9508735477695871E-2</v>
      </c>
      <c r="I1819" s="1">
        <f>'[1]Electricity and CHPs_CAP'!E$66</f>
        <v>7.0449600889671546E-2</v>
      </c>
      <c r="J1819" s="1">
        <f>'[2]Electricity and CHPs_CAP'!F$66</f>
        <v>0.23321035829173381</v>
      </c>
      <c r="K1819" s="1">
        <f>'[2]Electricity and CHPs_CAP'!G$66</f>
        <v>0.33937609993656753</v>
      </c>
      <c r="L1819" s="1">
        <f>'[2]Electricity and CHPs_CAP'!H$66</f>
        <v>0.63748261532634676</v>
      </c>
      <c r="N1819" s="1"/>
    </row>
    <row r="1820" spans="2:14" x14ac:dyDescent="0.35">
      <c r="B1820" s="5" t="str">
        <f t="shared" si="1879"/>
        <v>SPS1</v>
      </c>
      <c r="C1820" s="5" t="str">
        <f t="shared" si="1879"/>
        <v>CH</v>
      </c>
      <c r="D1820" t="s">
        <v>1855</v>
      </c>
      <c r="E1820" t="str">
        <f t="shared" si="1860"/>
        <v>GWe/yr.</v>
      </c>
      <c r="F1820" s="1">
        <f>'[1]Electricity and CHPs_CAP'!B$67</f>
        <v>1.8913736819967898E-3</v>
      </c>
      <c r="G1820" s="1">
        <f>'[1]Electricity and CHPs_CAP'!C$67</f>
        <v>1.8933776734076503E-3</v>
      </c>
      <c r="H1820" s="1">
        <f>'[1]Electricity and CHPs_CAP'!D$67</f>
        <v>0.1282094865690927</v>
      </c>
      <c r="I1820" s="1">
        <f>'[1]Electricity and CHPs_CAP'!E$67</f>
        <v>0.12870322853009891</v>
      </c>
      <c r="J1820" s="1">
        <f>'[2]Electricity and CHPs_CAP'!F$67</f>
        <v>0.14772585613459144</v>
      </c>
      <c r="K1820" s="1">
        <f>'[2]Electricity and CHPs_CAP'!G$67</f>
        <v>0.15454392823673224</v>
      </c>
      <c r="L1820" s="1">
        <f>'[2]Electricity and CHPs_CAP'!H$67</f>
        <v>0.19128750254036062</v>
      </c>
      <c r="N1820" s="1"/>
    </row>
    <row r="1821" spans="2:14" x14ac:dyDescent="0.35">
      <c r="B1821" s="5" t="str">
        <f t="shared" ref="B1821:C1822" si="1887">B1820</f>
        <v>SPS1</v>
      </c>
      <c r="C1821" s="5" t="str">
        <f t="shared" si="1887"/>
        <v>CH</v>
      </c>
      <c r="D1821" t="s">
        <v>1850</v>
      </c>
      <c r="E1821" t="str">
        <f t="shared" si="1860"/>
        <v>GWe/yr.</v>
      </c>
      <c r="F1821" s="1">
        <f>'[1]Electricity and CHPs_CAP'!B$68</f>
        <v>1.9088953672279207E-3</v>
      </c>
      <c r="G1821" s="1">
        <f>'[1]Electricity and CHPs_CAP'!C$68</f>
        <v>1.9109347759718853E-3</v>
      </c>
      <c r="H1821" s="1">
        <f>'[1]Electricity and CHPs_CAP'!D$68</f>
        <v>3.844757886979288E-2</v>
      </c>
      <c r="I1821" s="1">
        <f>'[1]Electricity and CHPs_CAP'!E$68</f>
        <v>3.9318426967606165E-2</v>
      </c>
      <c r="J1821" s="1">
        <f>'[2]Electricity and CHPs_CAP'!F$68</f>
        <v>5.3125111812723808E-2</v>
      </c>
      <c r="K1821" s="1">
        <f>'[2]Electricity and CHPs_CAP'!G$68</f>
        <v>5.3827286744669023E-2</v>
      </c>
      <c r="L1821" s="1">
        <f>'[2]Electricity and CHPs_CAP'!H$68</f>
        <v>6.2341841720113117E-2</v>
      </c>
      <c r="N1821" s="1"/>
    </row>
    <row r="1822" spans="2:14" x14ac:dyDescent="0.35">
      <c r="B1822" s="5" t="str">
        <f t="shared" si="1887"/>
        <v>SPS1</v>
      </c>
      <c r="C1822" s="5" t="str">
        <f t="shared" si="1887"/>
        <v>CH</v>
      </c>
      <c r="D1822" t="s">
        <v>1851</v>
      </c>
      <c r="E1822" t="str">
        <f t="shared" si="1860"/>
        <v>GWe/yr.</v>
      </c>
      <c r="F1822" s="1">
        <f>'[1]Electricity and CHPs_CAP'!B$69</f>
        <v>9.8470536844521054E-4</v>
      </c>
      <c r="G1822" s="1">
        <f>'[1]Electricity and CHPs_CAP'!C$69</f>
        <v>9.8579329625242645E-4</v>
      </c>
      <c r="H1822" s="1">
        <f>'[1]Electricity and CHPs_CAP'!D$69</f>
        <v>0.12410281356768019</v>
      </c>
      <c r="I1822" s="1">
        <f>'[1]Electricity and CHPs_CAP'!E$69</f>
        <v>0.12484351272563397</v>
      </c>
      <c r="J1822" s="1">
        <f>'[2]Electricity and CHPs_CAP'!F$69</f>
        <v>0.14050080000354961</v>
      </c>
      <c r="K1822" s="1">
        <f>'[2]Electricity and CHPs_CAP'!G$69</f>
        <v>0.14688475878784621</v>
      </c>
      <c r="L1822" s="1">
        <f>'[2]Electricity and CHPs_CAP'!H$69</f>
        <v>0.17847514458781047</v>
      </c>
      <c r="N1822" s="1"/>
    </row>
    <row r="1823" spans="2:14" x14ac:dyDescent="0.35">
      <c r="B1823" s="5" t="str">
        <f t="shared" ref="B1823:C1823" si="1888">B1822</f>
        <v>SPS1</v>
      </c>
      <c r="C1823" s="5" t="str">
        <f t="shared" si="1888"/>
        <v>CH</v>
      </c>
      <c r="D1823" s="2" t="s">
        <v>1860</v>
      </c>
      <c r="E1823" s="2" t="s">
        <v>1858</v>
      </c>
      <c r="F1823" s="3">
        <f>SUM(F1824,F1843)</f>
        <v>11.163798908001077</v>
      </c>
      <c r="G1823" s="3">
        <f t="shared" ref="G1823:K1823" si="1889">SUM(G1824,G1843)</f>
        <v>11.714243708074516</v>
      </c>
      <c r="H1823" s="3">
        <f t="shared" si="1889"/>
        <v>11.24428175727809</v>
      </c>
      <c r="I1823" s="3">
        <f t="shared" si="1889"/>
        <v>12.58909938207702</v>
      </c>
      <c r="J1823" s="3">
        <f t="shared" si="1889"/>
        <v>8.7227380204378164</v>
      </c>
      <c r="K1823" s="3">
        <f t="shared" si="1889"/>
        <v>8.1671497753633844</v>
      </c>
      <c r="L1823" s="3">
        <f t="shared" ref="L1823" si="1890">SUM(L1824,L1843)</f>
        <v>7.233374406917541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9.3027970838131289</v>
      </c>
      <c r="G1824" s="1">
        <f t="shared" ref="G1824:K1824" si="1891">SUM(G1825,G1828,G1830,G1833,G1835,G1837,G1839,G1841)</f>
        <v>9.7128772196946578</v>
      </c>
      <c r="H1824" s="1">
        <f t="shared" si="1891"/>
        <v>9.3724959355985611</v>
      </c>
      <c r="I1824" s="1">
        <f t="shared" si="1891"/>
        <v>10.519350688642499</v>
      </c>
      <c r="J1824" s="1">
        <f t="shared" si="1891"/>
        <v>6.9168289331078849</v>
      </c>
      <c r="K1824" s="1">
        <f t="shared" si="1891"/>
        <v>6.171724125968499</v>
      </c>
      <c r="L1824" s="1">
        <f t="shared" ref="L1824" si="1892">SUM(L1825,L1828,L1830,L1833,L1835,L1837,L1839,L1841)</f>
        <v>5.1255328043381585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2.1116633744010618</v>
      </c>
      <c r="G1825" s="1">
        <f t="shared" ref="G1825:K1825" si="1893">SUM(G1826:G1827)</f>
        <v>2.3830094208097927</v>
      </c>
      <c r="H1825" s="1">
        <f t="shared" si="1893"/>
        <v>2.8119227772975832</v>
      </c>
      <c r="I1825" s="1">
        <f t="shared" si="1893"/>
        <v>3.8762769513932813</v>
      </c>
      <c r="J1825" s="1">
        <f t="shared" si="1893"/>
        <v>4.2792642357941739</v>
      </c>
      <c r="K1825" s="1">
        <f t="shared" si="1893"/>
        <v>4.7724932302388572</v>
      </c>
      <c r="L1825" s="1">
        <f t="shared" ref="L1825" si="1894">SUM(L1826:L1827)</f>
        <v>4.3189660265408429</v>
      </c>
      <c r="N1825" s="1"/>
    </row>
    <row r="1826" spans="2:14" x14ac:dyDescent="0.35">
      <c r="B1826" s="5" t="str">
        <f t="shared" ref="B1826:C1826" si="1895">B1825</f>
        <v>SPS1</v>
      </c>
      <c r="C1826" s="5" t="str">
        <f t="shared" si="1895"/>
        <v>CH</v>
      </c>
      <c r="D1826" t="s">
        <v>1862</v>
      </c>
      <c r="E1826" t="str">
        <f t="shared" ref="E1826:E1889" si="1896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0.67257225145991395</v>
      </c>
      <c r="G1826" s="1" cm="1">
        <f t="array" ref="G1826">SUMPRODUCT(([1]OUT_FinalEnergyCons!$B$4:$B$10000="var_cap")*1,(ISNUMBER(SEARCH("RH*-SHELCBR",[1]OUT_FinalEnergyCons!$A$4:$A$10000)))*1,[1]OUT_FinalEnergyCons!E$4:E$10000)</f>
        <v>0.71938063188432277</v>
      </c>
      <c r="H1826" s="1" cm="1">
        <f t="array" ref="H1826">SUMPRODUCT(([1]OUT_FinalEnergyCons!$B$4:$B$10000="var_cap")*1,(ISNUMBER(SEARCH("RH*-SHELCBR",[1]OUT_FinalEnergyCons!$A$4:$A$10000)))*1,[1]OUT_FinalEnergyCons!F$4:F$10000)</f>
        <v>0.14976048955400273</v>
      </c>
      <c r="I1826" s="1" cm="1">
        <f t="array" ref="I1826">SUMPRODUCT(([1]OUT_FinalEnergyCons!$B$4:$B$10000="var_cap")*1,(ISNUMBER(SEARCH("RH*-SHELCBR",[1]OUT_FinalEnergyCons!$A$4:$A$10000)))*1,[1]OUT_FinalEnergyCons!G$4:G$10000)</f>
        <v>4.9247079833652341E-2</v>
      </c>
      <c r="J1826" s="1" cm="1">
        <f t="array" ref="J1826">SUMPRODUCT(([2]OUT_FinalEnergyCons!$B$4:$B$10000="var_cap")*1,(ISNUMBER(SEARCH("RH*-SHELCBR",[2]OUT_FinalEnergyCons!$A$4:$A$10000)))*1,[2]OUT_FinalEnergyCons!H$4:H$10000)</f>
        <v>2.0388353930275611E-2</v>
      </c>
      <c r="K1826" s="1" cm="1">
        <f t="array" ref="K1826">SUMPRODUCT(([2]OUT_FinalEnergyCons!$B$4:$B$10000="var_cap")*1,(ISNUMBER(SEARCH("RH*-SHELCBR",[2]OUT_FinalEnergyCons!$A$4:$A$10000)))*1,[2]OUT_FinalEnergyCons!I$4:I$10000)</f>
        <v>4.6270779433594273E-3</v>
      </c>
      <c r="L1826" s="1" cm="1">
        <f t="array" ref="L1826">SUMPRODUCT(([2]OUT_FinalEnergyCons!$B$4:$B$10000="var_cap")*1,(ISNUMBER(SEARCH("RH*-SHELCBR",[2]OUT_FinalEnergyCons!$A$4:$A$10000)))*1,[2]OUT_FinalEnergyCons!J$4:J$10000)</f>
        <v>1.9872238470233705E-3</v>
      </c>
      <c r="N1826" s="1"/>
    </row>
    <row r="1827" spans="2:14" x14ac:dyDescent="0.35">
      <c r="B1827" s="5" t="str">
        <f t="shared" ref="B1827:C1827" si="1897">B1826</f>
        <v>SPS1</v>
      </c>
      <c r="C1827" s="5" t="str">
        <f t="shared" si="1897"/>
        <v>CH</v>
      </c>
      <c r="D1827" t="s">
        <v>1863</v>
      </c>
      <c r="E1827" t="str">
        <f t="shared" si="1896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1.4390911229411478</v>
      </c>
      <c r="G1827" s="1" cm="1">
        <f t="array" ref="G1827">SUMPRODUCT(([1]OUT_FinalEnergyCons!$B$4:$B$10000="var_cap")*1,ISNUMBER(SEARCH("RH*-SHELCHP",[1]OUT_FinalEnergyCons!$A$4:$A$10000))*1,[1]OUT_FinalEnergyCons!E$4:E$10000)</f>
        <v>1.6636287889254702</v>
      </c>
      <c r="H1827" s="1" cm="1">
        <f t="array" ref="H1827">SUMPRODUCT(([1]OUT_FinalEnergyCons!$B$4:$B$10000="var_cap")*1,ISNUMBER(SEARCH("RH*-SHELCHP",[1]OUT_FinalEnergyCons!$A$4:$A$10000))*1,[1]OUT_FinalEnergyCons!F$4:F$10000)</f>
        <v>2.6621622877435804</v>
      </c>
      <c r="I1827" s="1" cm="1">
        <f t="array" ref="I1827">SUMPRODUCT(([1]OUT_FinalEnergyCons!$B$4:$B$10000="var_cap")*1,ISNUMBER(SEARCH("RH*-SHELCHP",[1]OUT_FinalEnergyCons!$A$4:$A$10000))*1,[1]OUT_FinalEnergyCons!G$4:G$10000)</f>
        <v>3.8270298715596289</v>
      </c>
      <c r="J1827" s="1" cm="1">
        <f t="array" ref="J1827">SUMPRODUCT(([2]OUT_FinalEnergyCons!$B$4:$B$10000="var_cap")*1,ISNUMBER(SEARCH("RH*-SHELCHP",[2]OUT_FinalEnergyCons!$A$4:$A$10000))*1,[2]OUT_FinalEnergyCons!H$4:H$10000)</f>
        <v>4.2588758818638981</v>
      </c>
      <c r="K1827" s="1" cm="1">
        <f t="array" ref="K1827">SUMPRODUCT(([2]OUT_FinalEnergyCons!$B$4:$B$10000="var_cap")*1,ISNUMBER(SEARCH("RH*-SHELCHP",[2]OUT_FinalEnergyCons!$A$4:$A$10000))*1,[2]OUT_FinalEnergyCons!I$4:I$10000)</f>
        <v>4.7678661522954977</v>
      </c>
      <c r="L1827" s="1" cm="1">
        <f t="array" ref="L1827">SUMPRODUCT(([2]OUT_FinalEnergyCons!$B$4:$B$10000="var_cap")*1,ISNUMBER(SEARCH("RH*-SHELCHP",[2]OUT_FinalEnergyCons!$A$4:$A$10000))*1,[2]OUT_FinalEnergyCons!J$4:J$10000)</f>
        <v>4.3169788026938196</v>
      </c>
      <c r="N1827" s="1"/>
    </row>
    <row r="1828" spans="2:14" x14ac:dyDescent="0.35">
      <c r="B1828" s="5" t="str">
        <f t="shared" ref="B1828:C1828" si="1898">B1827</f>
        <v>SPS1</v>
      </c>
      <c r="C1828" s="5" t="str">
        <f t="shared" si="1898"/>
        <v>CH</v>
      </c>
      <c r="D1828" t="s">
        <v>1864</v>
      </c>
      <c r="E1828" t="str">
        <f t="shared" si="1896"/>
        <v>GWth/yr.</v>
      </c>
      <c r="F1828" s="1">
        <f>F1829</f>
        <v>3.4074053831106799</v>
      </c>
      <c r="G1828" s="1">
        <f t="shared" ref="G1828:L1828" si="1899">G1829</f>
        <v>3.2691972409515806</v>
      </c>
      <c r="H1828" s="1">
        <f t="shared" si="1899"/>
        <v>2.7149370620505398</v>
      </c>
      <c r="I1828" s="1">
        <f t="shared" si="1899"/>
        <v>2.6388039162945049</v>
      </c>
      <c r="J1828" s="1">
        <f t="shared" si="1899"/>
        <v>0.74560016999945855</v>
      </c>
      <c r="K1828" s="1">
        <f t="shared" si="1899"/>
        <v>0.18643116363669032</v>
      </c>
      <c r="L1828" s="1">
        <f t="shared" si="1899"/>
        <v>2.5100252459995608E-2</v>
      </c>
      <c r="N1828" s="1"/>
    </row>
    <row r="1829" spans="2:14" x14ac:dyDescent="0.35">
      <c r="B1829" s="5" t="str">
        <f t="shared" ref="B1829:C1829" si="1900">B1828</f>
        <v>SPS1</v>
      </c>
      <c r="C1829" s="5" t="str">
        <f t="shared" si="1900"/>
        <v>CH</v>
      </c>
      <c r="D1829" t="s">
        <v>1865</v>
      </c>
      <c r="E1829" t="str">
        <f t="shared" si="1896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3.2691972409515806</v>
      </c>
      <c r="H1829" s="1" cm="1">
        <f t="array" ref="H1829">SUMPRODUCT(([1]OUT_FinalEnergyCons!$B$4:$B$10000="var_cap")*1, (ISNUMBER(SEARCH("RH*-SHLFOBR",[1]OUT_FinalEnergyCons!$A$4:$A$10000)))*1,[1]OUT_FinalEnergyCons!F$4:F$10000)</f>
        <v>2.7149370620505398</v>
      </c>
      <c r="I1829" s="1" cm="1">
        <f t="array" ref="I1829">SUMPRODUCT(([1]OUT_FinalEnergyCons!$B$4:$B$10000="var_cap")*1, (ISNUMBER(SEARCH("RH*-SHLFOBR",[1]OUT_FinalEnergyCons!$A$4:$A$10000)))*1,[1]OUT_FinalEnergyCons!G$4:G$10000)</f>
        <v>2.6388039162945049</v>
      </c>
      <c r="J1829" s="1" cm="1">
        <f t="array" ref="J1829">SUMPRODUCT(([2]OUT_FinalEnergyCons!$B$4:$B$10000="var_cap")*1, (ISNUMBER(SEARCH("RH*-SHLFOBR",[2]OUT_FinalEnergyCons!$A$4:$A$10000)))*1,[2]OUT_FinalEnergyCons!H$4:H$10000)</f>
        <v>0.74560016999945855</v>
      </c>
      <c r="K1829" s="1" cm="1">
        <f t="array" ref="K1829">SUMPRODUCT(([2]OUT_FinalEnergyCons!$B$4:$B$10000="var_cap")*1, (ISNUMBER(SEARCH("RH*-SHLFOBR",[2]OUT_FinalEnergyCons!$A$4:$A$10000)))*1,[2]OUT_FinalEnergyCons!I$4:I$10000)</f>
        <v>0.18643116363669032</v>
      </c>
      <c r="L1829" s="1" cm="1">
        <f t="array" ref="L1829">SUMPRODUCT(([2]OUT_FinalEnergyCons!$B$4:$B$10000="var_cap")*1, (ISNUMBER(SEARCH("RH*-SHLFOBR",[2]OUT_FinalEnergyCons!$A$4:$A$10000)))*1,[2]OUT_FinalEnergyCons!J$4:J$10000)</f>
        <v>2.5100252459995608E-2</v>
      </c>
      <c r="N1829" s="1"/>
    </row>
    <row r="1830" spans="2:14" x14ac:dyDescent="0.35">
      <c r="B1830" s="5" t="str">
        <f t="shared" ref="B1830:C1830" si="1901">B1829</f>
        <v>SPS1</v>
      </c>
      <c r="C1830" s="5" t="str">
        <f t="shared" si="1901"/>
        <v>CH</v>
      </c>
      <c r="D1830" t="s">
        <v>1866</v>
      </c>
      <c r="E1830" t="str">
        <f t="shared" si="1896"/>
        <v>GWth/yr.</v>
      </c>
      <c r="F1830" s="1">
        <f>SUM(F1831:F1832)</f>
        <v>2.7687543035215603</v>
      </c>
      <c r="G1830" s="1">
        <f t="shared" ref="G1830:K1830" si="1902">SUM(G1831:G1832)</f>
        <v>2.9422929201264161</v>
      </c>
      <c r="H1830" s="1">
        <f t="shared" si="1902"/>
        <v>2.9606925505967001</v>
      </c>
      <c r="I1830" s="1">
        <f t="shared" si="1902"/>
        <v>3.1225630371996811</v>
      </c>
      <c r="J1830" s="1">
        <f t="shared" si="1902"/>
        <v>1.4047168060319575</v>
      </c>
      <c r="K1830" s="1">
        <f t="shared" si="1902"/>
        <v>0.89734760936188496</v>
      </c>
      <c r="L1830" s="1">
        <f t="shared" ref="L1830" si="1903">SUM(L1831:L1832)</f>
        <v>0.63476057376229744</v>
      </c>
      <c r="N1830" s="1"/>
    </row>
    <row r="1831" spans="2:14" x14ac:dyDescent="0.35">
      <c r="B1831" s="5" t="str">
        <f t="shared" ref="B1831:C1831" si="1904">B1830</f>
        <v>SPS1</v>
      </c>
      <c r="C1831" s="5" t="str">
        <f t="shared" si="1904"/>
        <v>CH</v>
      </c>
      <c r="D1831" t="s">
        <v>1867</v>
      </c>
      <c r="E1831" t="str">
        <f t="shared" si="1896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2.9422874827399661</v>
      </c>
      <c r="H1831" s="1" cm="1">
        <f t="array" ref="H1831">SUMPRODUCT(([1]OUT_FinalEnergyCons!$B$4:$B$10000="var_cap")*1, (ISNUMBER(SEARCH("RH*-SHNGABR",[1]OUT_FinalEnergyCons!$A$4:$A$10000)))*1,[1]OUT_FinalEnergyCons!F$4:F$10000)</f>
        <v>2.6455876629879853</v>
      </c>
      <c r="I1831" s="1" cm="1">
        <f t="array" ref="I1831">SUMPRODUCT(([1]OUT_FinalEnergyCons!$B$4:$B$10000="var_cap")*1, (ISNUMBER(SEARCH("RH*-SHNGABR",[1]OUT_FinalEnergyCons!$A$4:$A$10000)))*1,[1]OUT_FinalEnergyCons!G$4:G$10000)</f>
        <v>2.644221234865062</v>
      </c>
      <c r="J1831" s="1" cm="1">
        <f t="array" ref="J1831">SUMPRODUCT(([2]OUT_FinalEnergyCons!$B$4:$B$10000="var_cap")*1, (ISNUMBER(SEARCH("RH*-SHNGABR",[2]OUT_FinalEnergyCons!$A$4:$A$10000)))*1,[2]OUT_FinalEnergyCons!H$4:H$10000)</f>
        <v>0.84556818521394717</v>
      </c>
      <c r="K1831" s="1" cm="1">
        <f t="array" ref="K1831">SUMPRODUCT(([2]OUT_FinalEnergyCons!$B$4:$B$10000="var_cap")*1, (ISNUMBER(SEARCH("RH*-SHNGABR",[2]OUT_FinalEnergyCons!$A$4:$A$10000)))*1,[2]OUT_FinalEnergyCons!I$4:I$10000)</f>
        <v>0.28607195608718905</v>
      </c>
      <c r="L1831" s="1" cm="1">
        <f t="array" ref="L1831">SUMPRODUCT(([2]OUT_FinalEnergyCons!$B$4:$B$10000="var_cap")*1, (ISNUMBER(SEARCH("RH*-SHNGABR",[2]OUT_FinalEnergyCons!$A$4:$A$10000)))*1,[2]OUT_FinalEnergyCons!J$4:J$10000)</f>
        <v>0.11824696308990273</v>
      </c>
      <c r="N1831" s="1"/>
    </row>
    <row r="1832" spans="2:14" x14ac:dyDescent="0.35">
      <c r="B1832" s="5" t="str">
        <f t="shared" ref="B1832:C1832" si="1905">B1831</f>
        <v>SPS1</v>
      </c>
      <c r="C1832" s="5" t="str">
        <f t="shared" si="1905"/>
        <v>CH</v>
      </c>
      <c r="D1832" t="s">
        <v>1868</v>
      </c>
      <c r="E1832" t="str">
        <f t="shared" si="1896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2.5228321053852198E-7</v>
      </c>
      <c r="G1832" s="1" cm="1">
        <f t="array" ref="G1832">SUMPRODUCT(([1]OUT_FinalEnergyCons!$B$4:$B$10000="var_cap")*1,ISNUMBER(SEARCH("RH*-SHngahp",[1]OUT_FinalEnergyCons!$A$4:$A$10000))*1,[1]OUT_FinalEnergyCons!E$4:E$10000)</f>
        <v>5.4373864498726405E-6</v>
      </c>
      <c r="H1832" s="1" cm="1">
        <f t="array" ref="H1832">SUMPRODUCT(([1]OUT_FinalEnergyCons!$B$4:$B$10000="var_cap")*1,ISNUMBER(SEARCH("RH*-SHngahp",[1]OUT_FinalEnergyCons!$A$4:$A$10000))*1,[1]OUT_FinalEnergyCons!F$4:F$10000)</f>
        <v>0.31510488760871469</v>
      </c>
      <c r="I1832" s="1" cm="1">
        <f t="array" ref="I1832">SUMPRODUCT(([1]OUT_FinalEnergyCons!$B$4:$B$10000="var_cap")*1,ISNUMBER(SEARCH("RH*-SHngahp",[1]OUT_FinalEnergyCons!$A$4:$A$10000))*1,[1]OUT_FinalEnergyCons!G$4:G$10000)</f>
        <v>0.47834180233461904</v>
      </c>
      <c r="J1832" s="1" cm="1">
        <f t="array" ref="J1832">SUMPRODUCT(([2]OUT_FinalEnergyCons!$B$4:$B$10000="var_cap")*1,ISNUMBER(SEARCH("RH*-SHngahp",[2]OUT_FinalEnergyCons!$A$4:$A$10000))*1,[2]OUT_FinalEnergyCons!H$4:H$10000)</f>
        <v>0.55914862081801031</v>
      </c>
      <c r="K1832" s="1" cm="1">
        <f t="array" ref="K1832">SUMPRODUCT(([2]OUT_FinalEnergyCons!$B$4:$B$10000="var_cap")*1,ISNUMBER(SEARCH("RH*-SHngahp",[2]OUT_FinalEnergyCons!$A$4:$A$10000))*1,[2]OUT_FinalEnergyCons!I$4:I$10000)</f>
        <v>0.61127565327469591</v>
      </c>
      <c r="L1832" s="1" cm="1">
        <f t="array" ref="L1832">SUMPRODUCT(([2]OUT_FinalEnergyCons!$B$4:$B$10000="var_cap")*1,ISNUMBER(SEARCH("RH*-SHngahp",[2]OUT_FinalEnergyCons!$A$4:$A$10000))*1,[2]OUT_FinalEnergyCons!J$4:J$10000)</f>
        <v>0.51651361067239465</v>
      </c>
      <c r="N1832" s="1"/>
    </row>
    <row r="1833" spans="2:14" x14ac:dyDescent="0.35">
      <c r="B1833" s="5" t="str">
        <f t="shared" ref="B1833:C1833" si="1906">B1832</f>
        <v>SPS1</v>
      </c>
      <c r="C1833" s="5" t="str">
        <f t="shared" si="1906"/>
        <v>CH</v>
      </c>
      <c r="D1833" t="s">
        <v>1869</v>
      </c>
      <c r="E1833" t="str">
        <f t="shared" si="1896"/>
        <v>GWth/yr.</v>
      </c>
      <c r="F1833" s="1">
        <f>F1834</f>
        <v>7.0000000000000001E-3</v>
      </c>
      <c r="G1833" s="1">
        <f t="shared" ref="G1833:L1833" si="1907">G1834</f>
        <v>6.9784923519878236E-3</v>
      </c>
      <c r="H1833" s="1">
        <f t="shared" si="1907"/>
        <v>2.7613932808527005E-3</v>
      </c>
      <c r="I1833" s="1">
        <f t="shared" si="1907"/>
        <v>3.051148290400367E-6</v>
      </c>
      <c r="J1833" s="1">
        <f t="shared" si="1907"/>
        <v>4.8045740659845987E-8</v>
      </c>
      <c r="K1833" s="1">
        <f t="shared" si="1907"/>
        <v>0</v>
      </c>
      <c r="L1833" s="1">
        <f t="shared" si="1907"/>
        <v>0</v>
      </c>
      <c r="N1833" s="1"/>
    </row>
    <row r="1834" spans="2:14" x14ac:dyDescent="0.35">
      <c r="B1834" s="5" t="str">
        <f t="shared" ref="B1834:C1834" si="1908">B1833</f>
        <v>SPS1</v>
      </c>
      <c r="C1834" s="5" t="str">
        <f t="shared" si="1908"/>
        <v>CH</v>
      </c>
      <c r="D1834" t="s">
        <v>1870</v>
      </c>
      <c r="E1834" t="str">
        <f t="shared" si="1896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6.9784923519878236E-3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2.7613932808527005E-3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3.051148290400367E-6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4.8045740659845987E-8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0.68950124047674066</v>
      </c>
      <c r="G1835" s="1">
        <f t="shared" ref="G1835:L1835" si="1909">G1836</f>
        <v>0.73417465725077935</v>
      </c>
      <c r="H1835" s="1">
        <f t="shared" si="1909"/>
        <v>0.73012203366160056</v>
      </c>
      <c r="I1835" s="1">
        <f t="shared" si="1909"/>
        <v>0.72983536030683682</v>
      </c>
      <c r="J1835" s="1">
        <f t="shared" si="1909"/>
        <v>0.43752431258537972</v>
      </c>
      <c r="K1835" s="1">
        <f t="shared" si="1909"/>
        <v>0.30195940375376656</v>
      </c>
      <c r="L1835" s="1">
        <f t="shared" si="1909"/>
        <v>0.13627907860488492</v>
      </c>
      <c r="N1835" s="1"/>
    </row>
    <row r="1836" spans="2:14" x14ac:dyDescent="0.35">
      <c r="B1836" s="5" t="str">
        <f t="shared" ref="B1836:C1836" si="1910">B1835</f>
        <v>SPS1</v>
      </c>
      <c r="C1836" s="5" t="str">
        <f t="shared" si="1910"/>
        <v>CH</v>
      </c>
      <c r="D1836" t="s">
        <v>1872</v>
      </c>
      <c r="E1836" t="str">
        <f t="shared" si="1896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0.68950124047674066</v>
      </c>
      <c r="G1836" s="1" cm="1">
        <f t="array" ref="G1836">SUMPRODUCT(([1]OUT_FinalEnergyCons!$B$4:$B$10000="var_cap")*1, (ISNUMBER(SEARCH("RH*-SHWODBR",[1]OUT_FinalEnergyCons!$A$4:$A$10000)))*1,[1]OUT_FinalEnergyCons!E$4:E$10000)</f>
        <v>0.73417465725077935</v>
      </c>
      <c r="H1836" s="1" cm="1">
        <f t="array" ref="H1836">SUMPRODUCT(([1]OUT_FinalEnergyCons!$B$4:$B$10000="var_cap")*1, (ISNUMBER(SEARCH("RH*-SHWODBR",[1]OUT_FinalEnergyCons!$A$4:$A$10000)))*1,[1]OUT_FinalEnergyCons!F$4:F$10000)</f>
        <v>0.73012203366160056</v>
      </c>
      <c r="I1836" s="1" cm="1">
        <f t="array" ref="I1836">SUMPRODUCT(([1]OUT_FinalEnergyCons!$B$4:$B$10000="var_cap")*1, (ISNUMBER(SEARCH("RH*-SHWODBR",[1]OUT_FinalEnergyCons!$A$4:$A$10000)))*1,[1]OUT_FinalEnergyCons!G$4:G$10000)</f>
        <v>0.72983536030683682</v>
      </c>
      <c r="J1836" s="1" cm="1">
        <f t="array" ref="J1836">SUMPRODUCT(([2]OUT_FinalEnergyCons!$B$4:$B$10000="var_cap")*1, (ISNUMBER(SEARCH("RH*-SHWODBR",[2]OUT_FinalEnergyCons!$A$4:$A$10000)))*1,[2]OUT_FinalEnergyCons!H$4:H$10000)</f>
        <v>0.43752431258537972</v>
      </c>
      <c r="K1836" s="1" cm="1">
        <f t="array" ref="K1836">SUMPRODUCT(([2]OUT_FinalEnergyCons!$B$4:$B$10000="var_cap")*1, (ISNUMBER(SEARCH("RH*-SHWODBR",[2]OUT_FinalEnergyCons!$A$4:$A$10000)))*1,[2]OUT_FinalEnergyCons!I$4:I$10000)</f>
        <v>0.30195940375376656</v>
      </c>
      <c r="L1836" s="1" cm="1">
        <f t="array" ref="L1836">SUMPRODUCT(([2]OUT_FinalEnergyCons!$B$4:$B$10000="var_cap")*1, (ISNUMBER(SEARCH("RH*-SHWODBR",[2]OUT_FinalEnergyCons!$A$4:$A$10000)))*1,[2]OUT_FinalEnergyCons!J$4:J$10000)</f>
        <v>0.13627907860488492</v>
      </c>
      <c r="N1836" s="1"/>
    </row>
    <row r="1837" spans="2:14" x14ac:dyDescent="0.35">
      <c r="B1837" s="5" t="str">
        <f t="shared" ref="B1837:C1837" si="1911">B1836</f>
        <v>SPS1</v>
      </c>
      <c r="C1837" s="5" t="str">
        <f t="shared" si="1911"/>
        <v>CH</v>
      </c>
      <c r="D1837" t="s">
        <v>1873</v>
      </c>
      <c r="E1837" t="str">
        <f t="shared" si="1896"/>
        <v>GWth/yr.</v>
      </c>
      <c r="F1837" s="1">
        <f>F1838</f>
        <v>0.20439027462555695</v>
      </c>
      <c r="G1837" s="1">
        <f t="shared" ref="G1837:L1837" si="1912">G1838</f>
        <v>0.24033503328768674</v>
      </c>
      <c r="H1837" s="1">
        <f t="shared" si="1912"/>
        <v>1.5713955802544789E-2</v>
      </c>
      <c r="I1837" s="1">
        <f t="shared" si="1912"/>
        <v>1.5475712234937475E-2</v>
      </c>
      <c r="J1837" s="1">
        <f t="shared" si="1912"/>
        <v>8.8087055103801843E-3</v>
      </c>
      <c r="K1837" s="1">
        <f t="shared" si="1912"/>
        <v>5.7848664745143649E-3</v>
      </c>
      <c r="L1837" s="1">
        <f t="shared" si="1912"/>
        <v>3.3081830839175883E-3</v>
      </c>
      <c r="N1837" s="1"/>
    </row>
    <row r="1838" spans="2:14" x14ac:dyDescent="0.35">
      <c r="B1838" s="5" t="str">
        <f t="shared" ref="B1838:C1838" si="1913">B1837</f>
        <v>SPS1</v>
      </c>
      <c r="C1838" s="5" t="str">
        <f t="shared" si="1913"/>
        <v>CH</v>
      </c>
      <c r="D1838" t="s">
        <v>1874</v>
      </c>
      <c r="E1838" t="str">
        <f t="shared" si="1896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0.20439027462555695</v>
      </c>
      <c r="G1838" s="1" cm="1">
        <f t="array" ref="G1838">SUMPRODUCT(([1]OUT_FinalEnergyCons!$B$4:$B$10000="var_cap")*1, (ISNUMBER(SEARCH("RH*-SHPLTBR",[1]OUT_FinalEnergyCons!$A$4:$A$10000)))*1,[1]OUT_FinalEnergyCons!E$4:E$10000)</f>
        <v>0.24033503328768674</v>
      </c>
      <c r="H1838" s="1" cm="1">
        <f t="array" ref="H1838">SUMPRODUCT(([1]OUT_FinalEnergyCons!$B$4:$B$10000="var_cap")*1, (ISNUMBER(SEARCH("RH*-SHPLTBR",[1]OUT_FinalEnergyCons!$A$4:$A$10000)))*1,[1]OUT_FinalEnergyCons!F$4:F$10000)</f>
        <v>1.5713955802544789E-2</v>
      </c>
      <c r="I1838" s="1" cm="1">
        <f t="array" ref="I1838">SUMPRODUCT(([1]OUT_FinalEnergyCons!$B$4:$B$10000="var_cap")*1, (ISNUMBER(SEARCH("RH*-SHPLTBR",[1]OUT_FinalEnergyCons!$A$4:$A$10000)))*1,[1]OUT_FinalEnergyCons!G$4:G$10000)</f>
        <v>1.5475712234937475E-2</v>
      </c>
      <c r="J1838" s="1" cm="1">
        <f t="array" ref="J1838">SUMPRODUCT(([2]OUT_FinalEnergyCons!$B$4:$B$10000="var_cap")*1, (ISNUMBER(SEARCH("RH*-SHPLTBR",[2]OUT_FinalEnergyCons!$A$4:$A$10000)))*1,[2]OUT_FinalEnergyCons!H$4:H$10000)</f>
        <v>8.8087055103801843E-3</v>
      </c>
      <c r="K1838" s="1" cm="1">
        <f t="array" ref="K1838">SUMPRODUCT(([2]OUT_FinalEnergyCons!$B$4:$B$10000="var_cap")*1, (ISNUMBER(SEARCH("RH*-SHPLTBR",[2]OUT_FinalEnergyCons!$A$4:$A$10000)))*1,[2]OUT_FinalEnergyCons!I$4:I$10000)</f>
        <v>5.7848664745143649E-3</v>
      </c>
      <c r="L1838" s="1" cm="1">
        <f t="array" ref="L1838">SUMPRODUCT(([2]OUT_FinalEnergyCons!$B$4:$B$10000="var_cap")*1, (ISNUMBER(SEARCH("RH*-SHPLTBR",[2]OUT_FinalEnergyCons!$A$4:$A$10000)))*1,[2]OUT_FinalEnergyCons!J$4:J$10000)</f>
        <v>3.3081830839175883E-3</v>
      </c>
      <c r="N1838" s="1"/>
    </row>
    <row r="1839" spans="2:14" x14ac:dyDescent="0.35">
      <c r="B1839" s="5" t="str">
        <f t="shared" ref="B1839:C1839" si="1914">B1838</f>
        <v>SPS1</v>
      </c>
      <c r="C1839" s="5" t="str">
        <f t="shared" si="1914"/>
        <v>CH</v>
      </c>
      <c r="D1839" t="s">
        <v>1875</v>
      </c>
      <c r="E1839" t="str">
        <f t="shared" si="1896"/>
        <v>GWth/yr.</v>
      </c>
      <c r="F1839" s="1">
        <f>F1840</f>
        <v>0.11408250767753189</v>
      </c>
      <c r="G1839" s="1">
        <f t="shared" ref="G1839:L1839" si="1915">G1840</f>
        <v>0.13688945491641322</v>
      </c>
      <c r="H1839" s="1">
        <f t="shared" si="1915"/>
        <v>0.13634616290873841</v>
      </c>
      <c r="I1839" s="1">
        <f t="shared" si="1915"/>
        <v>0.13639266006496625</v>
      </c>
      <c r="J1839" s="1">
        <f t="shared" si="1915"/>
        <v>4.0914655140795196E-2</v>
      </c>
      <c r="K1839" s="1">
        <f t="shared" si="1915"/>
        <v>7.7078525027846987E-3</v>
      </c>
      <c r="L1839" s="1">
        <f t="shared" si="1915"/>
        <v>7.1186898862202509E-3</v>
      </c>
      <c r="N1839" s="1"/>
    </row>
    <row r="1840" spans="2:14" x14ac:dyDescent="0.35">
      <c r="B1840" s="5" t="str">
        <f t="shared" ref="B1840:C1840" si="1916">B1839</f>
        <v>SPS1</v>
      </c>
      <c r="C1840" s="5" t="str">
        <f t="shared" si="1916"/>
        <v>CH</v>
      </c>
      <c r="D1840" t="s">
        <v>1876</v>
      </c>
      <c r="E1840" t="str">
        <f t="shared" si="1896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0.11408250767753189</v>
      </c>
      <c r="G1840" s="1" cm="1">
        <f t="array" ref="G1840">SUMPRODUCT(([1]OUT_FinalEnergyCons!$B$4:$B$10000="var_cap")*1, (ISNUMBER(SEARCH("RH*-SHSOLBR",[1]OUT_FinalEnergyCons!$A$4:$A$10000)))*1,[1]OUT_FinalEnergyCons!E$4:E$10000)</f>
        <v>0.13688945491641322</v>
      </c>
      <c r="H1840" s="1" cm="1">
        <f t="array" ref="H1840">SUMPRODUCT(([1]OUT_FinalEnergyCons!$B$4:$B$10000="var_cap")*1, (ISNUMBER(SEARCH("RH*-SHSOLBR",[1]OUT_FinalEnergyCons!$A$4:$A$10000)))*1,[1]OUT_FinalEnergyCons!F$4:F$10000)</f>
        <v>0.13634616290873841</v>
      </c>
      <c r="I1840" s="1" cm="1">
        <f t="array" ref="I1840">SUMPRODUCT(([1]OUT_FinalEnergyCons!$B$4:$B$10000="var_cap")*1, (ISNUMBER(SEARCH("RH*-SHSOLBR",[1]OUT_FinalEnergyCons!$A$4:$A$10000)))*1,[1]OUT_FinalEnergyCons!G$4:G$10000)</f>
        <v>0.13639266006496625</v>
      </c>
      <c r="J1840" s="1" cm="1">
        <f t="array" ref="J1840">SUMPRODUCT(([2]OUT_FinalEnergyCons!$B$4:$B$10000="var_cap")*1, (ISNUMBER(SEARCH("RH*-SHSOLBR",[2]OUT_FinalEnergyCons!$A$4:$A$10000)))*1,[2]OUT_FinalEnergyCons!H$4:H$10000)</f>
        <v>4.0914655140795196E-2</v>
      </c>
      <c r="K1840" s="1" cm="1">
        <f t="array" ref="K1840">SUMPRODUCT(([2]OUT_FinalEnergyCons!$B$4:$B$10000="var_cap")*1, (ISNUMBER(SEARCH("RH*-SHSOLBR",[2]OUT_FinalEnergyCons!$A$4:$A$10000)))*1,[2]OUT_FinalEnergyCons!I$4:I$10000)</f>
        <v>7.7078525027846987E-3</v>
      </c>
      <c r="L1840" s="1" cm="1">
        <f t="array" ref="L1840">SUMPRODUCT(([2]OUT_FinalEnergyCons!$B$4:$B$10000="var_cap")*1, (ISNUMBER(SEARCH("RH*-SHSOLBR",[2]OUT_FinalEnergyCons!$A$4:$A$10000)))*1,[2]OUT_FinalEnergyCons!J$4:J$10000)</f>
        <v>7.1186898862202509E-3</v>
      </c>
      <c r="N1840" s="1"/>
    </row>
    <row r="1841" spans="2:14" x14ac:dyDescent="0.35">
      <c r="B1841" s="5" t="str">
        <f t="shared" ref="B1841:C1841" si="1917">B1840</f>
        <v>SPS1</v>
      </c>
      <c r="C1841" s="5" t="str">
        <f t="shared" si="1917"/>
        <v>CH</v>
      </c>
      <c r="D1841" t="s">
        <v>1877</v>
      </c>
      <c r="E1841" t="str">
        <f t="shared" si="1896"/>
        <v>GWth/yr.</v>
      </c>
      <c r="F1841" s="1">
        <f>F1842</f>
        <v>0</v>
      </c>
      <c r="G1841" s="1">
        <f t="shared" ref="G1841:L1841" si="1918">G1842</f>
        <v>0</v>
      </c>
      <c r="H1841" s="1">
        <f t="shared" si="1918"/>
        <v>0</v>
      </c>
      <c r="I1841" s="1">
        <f t="shared" si="1918"/>
        <v>0</v>
      </c>
      <c r="J1841" s="1">
        <f t="shared" si="1918"/>
        <v>0</v>
      </c>
      <c r="K1841" s="1">
        <f t="shared" si="1918"/>
        <v>0</v>
      </c>
      <c r="L1841" s="1">
        <f t="shared" si="1918"/>
        <v>0</v>
      </c>
      <c r="N1841" s="1"/>
    </row>
    <row r="1842" spans="2:14" x14ac:dyDescent="0.35">
      <c r="B1842" s="5" t="str">
        <f t="shared" ref="B1842:C1842" si="1919">B1841</f>
        <v>SPS1</v>
      </c>
      <c r="C1842" s="5" t="str">
        <f t="shared" si="1919"/>
        <v>CH</v>
      </c>
      <c r="D1842" t="s">
        <v>1878</v>
      </c>
      <c r="E1842" t="str">
        <f t="shared" si="1896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0">B1842</f>
        <v>SPS1</v>
      </c>
      <c r="C1843" s="5" t="str">
        <f t="shared" si="1920"/>
        <v>CH</v>
      </c>
      <c r="D1843" t="s">
        <v>1879</v>
      </c>
      <c r="E1843" t="str">
        <f t="shared" si="1896"/>
        <v>GWth/yr.</v>
      </c>
      <c r="F1843" s="1">
        <f>SUM(F1844,F1847,F1849,F1852,F1854,F1856,F1858,F1860)</f>
        <v>1.8610018241879485</v>
      </c>
      <c r="G1843" s="1">
        <f t="shared" ref="G1843" si="1921">SUM(G1844,G1847,G1849,G1852,G1854,G1856,G1858,G1860)</f>
        <v>2.0013664883798574</v>
      </c>
      <c r="H1843" s="1">
        <f t="shared" ref="H1843" si="1922">SUM(H1844,H1847,H1849,H1852,H1854,H1856,H1858,H1860)</f>
        <v>1.8717858216795284</v>
      </c>
      <c r="I1843" s="1">
        <f t="shared" ref="I1843" si="1923">SUM(I1844,I1847,I1849,I1852,I1854,I1856,I1858,I1860)</f>
        <v>2.0697486934345215</v>
      </c>
      <c r="J1843" s="1">
        <f t="shared" ref="J1843" si="1924">SUM(J1844,J1847,J1849,J1852,J1854,J1856,J1858,J1860)</f>
        <v>1.8059090873299311</v>
      </c>
      <c r="K1843" s="1">
        <f t="shared" ref="K1843:L1843" si="1925">SUM(K1844,K1847,K1849,K1852,K1854,K1856,K1858,K1860)</f>
        <v>1.9954256493948852</v>
      </c>
      <c r="L1843" s="1">
        <f t="shared" si="1925"/>
        <v>2.1078416025793825</v>
      </c>
      <c r="N1843" s="1"/>
    </row>
    <row r="1844" spans="2:14" x14ac:dyDescent="0.35">
      <c r="B1844" s="5" t="str">
        <f t="shared" ref="B1844:C1844" si="1926">B1843</f>
        <v>SPS1</v>
      </c>
      <c r="C1844" s="5" t="str">
        <f t="shared" si="1926"/>
        <v>CH</v>
      </c>
      <c r="D1844" t="s">
        <v>1880</v>
      </c>
      <c r="E1844" t="str">
        <f t="shared" si="1896"/>
        <v>GWth/yr.</v>
      </c>
      <c r="F1844" s="1">
        <f>SUM(F1845:F1846)</f>
        <v>0.65094371566580389</v>
      </c>
      <c r="G1844" s="1">
        <f t="shared" ref="G1844" si="1927">SUM(G1845:G1846)</f>
        <v>0.71793862643853212</v>
      </c>
      <c r="H1844" s="1">
        <f t="shared" ref="H1844" si="1928">SUM(H1845:H1846)</f>
        <v>0.69984371503592857</v>
      </c>
      <c r="I1844" s="1">
        <f t="shared" ref="I1844" si="1929">SUM(I1845:I1846)</f>
        <v>0.85289010599071269</v>
      </c>
      <c r="J1844" s="1">
        <f t="shared" ref="J1844" si="1930">SUM(J1845:J1846)</f>
        <v>0.90115655102707615</v>
      </c>
      <c r="K1844" s="1">
        <f t="shared" ref="K1844:L1844" si="1931">SUM(K1845:K1846)</f>
        <v>1.0834352452456832</v>
      </c>
      <c r="L1844" s="1">
        <f t="shared" si="1931"/>
        <v>1.1694424897609306</v>
      </c>
      <c r="N1844" s="1"/>
    </row>
    <row r="1845" spans="2:14" x14ac:dyDescent="0.35">
      <c r="B1845" s="5" t="str">
        <f t="shared" ref="B1845:C1845" si="1932">B1844</f>
        <v>SPS1</v>
      </c>
      <c r="C1845" s="5" t="str">
        <f t="shared" si="1932"/>
        <v>CH</v>
      </c>
      <c r="D1845" t="s">
        <v>1881</v>
      </c>
      <c r="E1845" t="str">
        <f t="shared" si="1896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0.43758827789100724</v>
      </c>
      <c r="G1845" s="1" cm="1">
        <f t="array" ref="G1845">SUMPRODUCT(([1]OUT_FinalEnergyCons!$B$4:$B$10000="var_cap")*1,(ISNUMBER(SEARCH("RH*-WHELCBR",[1]OUT_FinalEnergyCons!$A$4:$A$10000)))*1,[1]OUT_FinalEnergyCons!E$4:E$10000)</f>
        <v>0.47180622842026776</v>
      </c>
      <c r="H1845" s="1" cm="1">
        <f t="array" ref="H1845">SUMPRODUCT(([1]OUT_FinalEnergyCons!$B$4:$B$10000="var_cap")*1,(ISNUMBER(SEARCH("RH*-WHELCBR",[1]OUT_FinalEnergyCons!$A$4:$A$10000)))*1,[1]OUT_FinalEnergyCons!F$4:F$10000)</f>
        <v>0.34834514663393978</v>
      </c>
      <c r="I1845" s="1" cm="1">
        <f t="array" ref="I1845">SUMPRODUCT(([1]OUT_FinalEnergyCons!$B$4:$B$10000="var_cap")*1,(ISNUMBER(SEARCH("RH*-WHELCBR",[1]OUT_FinalEnergyCons!$A$4:$A$10000)))*1,[1]OUT_FinalEnergyCons!G$4:G$10000)</f>
        <v>0.2382530241250026</v>
      </c>
      <c r="J1845" s="1" cm="1">
        <f t="array" ref="J1845">SUMPRODUCT(([2]OUT_FinalEnergyCons!$B$4:$B$10000="var_cap")*1,(ISNUMBER(SEARCH("RH*-WHELCBR",[2]OUT_FinalEnergyCons!$A$4:$A$10000)))*1,[2]OUT_FinalEnergyCons!H$4:H$10000)</f>
        <v>0.1217002318727852</v>
      </c>
      <c r="K1845" s="1" cm="1">
        <f t="array" ref="K1845">SUMPRODUCT(([2]OUT_FinalEnergyCons!$B$4:$B$10000="var_cap")*1,(ISNUMBER(SEARCH("RH*-WHELCBR",[2]OUT_FinalEnergyCons!$A$4:$A$10000)))*1,[2]OUT_FinalEnergyCons!I$4:I$10000)</f>
        <v>0.11116894373724569</v>
      </c>
      <c r="L1845" s="1" cm="1">
        <f t="array" ref="L1845">SUMPRODUCT(([2]OUT_FinalEnergyCons!$B$4:$B$10000="var_cap")*1,(ISNUMBER(SEARCH("RH*-WHELCBR",[2]OUT_FinalEnergyCons!$A$4:$A$10000)))*1,[2]OUT_FinalEnergyCons!J$4:J$10000)</f>
        <v>9.3497731660660444E-2</v>
      </c>
      <c r="N1845" s="1"/>
    </row>
    <row r="1846" spans="2:14" x14ac:dyDescent="0.35">
      <c r="B1846" s="5" t="str">
        <f t="shared" ref="B1846:C1846" si="1933">B1845</f>
        <v>SPS1</v>
      </c>
      <c r="C1846" s="5" t="str">
        <f t="shared" si="1933"/>
        <v>CH</v>
      </c>
      <c r="D1846" t="s">
        <v>1882</v>
      </c>
      <c r="E1846" t="str">
        <f t="shared" si="1896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0.21335543777479665</v>
      </c>
      <c r="G1846" s="1" cm="1">
        <f t="array" ref="G1846">SUMPRODUCT(([1]OUT_FinalEnergyCons!$B$4:$B$10000="var_cap")*1,ISNUMBER(SEARCH("RH*-WHELCHP",[1]OUT_FinalEnergyCons!$A$4:$A$10000))*1,[1]OUT_FinalEnergyCons!E$4:E$10000)</f>
        <v>0.24613239801826442</v>
      </c>
      <c r="H1846" s="1" cm="1">
        <f t="array" ref="H1846">SUMPRODUCT(([1]OUT_FinalEnergyCons!$B$4:$B$10000="var_cap")*1,ISNUMBER(SEARCH("RH*-WHELCHP",[1]OUT_FinalEnergyCons!$A$4:$A$10000))*1,[1]OUT_FinalEnergyCons!F$4:F$10000)</f>
        <v>0.35149856840198879</v>
      </c>
      <c r="I1846" s="1" cm="1">
        <f t="array" ref="I1846">SUMPRODUCT(([1]OUT_FinalEnergyCons!$B$4:$B$10000="var_cap")*1,ISNUMBER(SEARCH("RH*-WHELCHP",[1]OUT_FinalEnergyCons!$A$4:$A$10000))*1,[1]OUT_FinalEnergyCons!G$4:G$10000)</f>
        <v>0.61463708186571009</v>
      </c>
      <c r="J1846" s="1" cm="1">
        <f t="array" ref="J1846">SUMPRODUCT(([2]OUT_FinalEnergyCons!$B$4:$B$10000="var_cap")*1,ISNUMBER(SEARCH("RH*-WHELCHP",[2]OUT_FinalEnergyCons!$A$4:$A$10000))*1,[2]OUT_FinalEnergyCons!H$4:H$10000)</f>
        <v>0.77945631915429092</v>
      </c>
      <c r="K1846" s="1" cm="1">
        <f t="array" ref="K1846">SUMPRODUCT(([2]OUT_FinalEnergyCons!$B$4:$B$10000="var_cap")*1,ISNUMBER(SEARCH("RH*-WHELCHP",[2]OUT_FinalEnergyCons!$A$4:$A$10000))*1,[2]OUT_FinalEnergyCons!I$4:I$10000)</f>
        <v>0.97226630150843751</v>
      </c>
      <c r="L1846" s="1" cm="1">
        <f t="array" ref="L1846">SUMPRODUCT(([2]OUT_FinalEnergyCons!$B$4:$B$10000="var_cap")*1,ISNUMBER(SEARCH("RH*-WHELCHP",[2]OUT_FinalEnergyCons!$A$4:$A$10000))*1,[2]OUT_FinalEnergyCons!J$4:J$10000)</f>
        <v>1.0759447581002701</v>
      </c>
      <c r="N1846" s="1"/>
    </row>
    <row r="1847" spans="2:14" x14ac:dyDescent="0.35">
      <c r="B1847" s="5" t="str">
        <f t="shared" ref="B1847:C1847" si="1934">B1846</f>
        <v>SPS1</v>
      </c>
      <c r="C1847" s="5" t="str">
        <f t="shared" si="1934"/>
        <v>CH</v>
      </c>
      <c r="D1847" t="s">
        <v>1883</v>
      </c>
      <c r="E1847" t="str">
        <f t="shared" si="1896"/>
        <v>GWth/yr.</v>
      </c>
      <c r="F1847" s="1">
        <f>F1848</f>
        <v>0.47738433216181703</v>
      </c>
      <c r="G1847" s="1">
        <f t="shared" ref="G1847" si="1935">G1848</f>
        <v>0.46812091910172032</v>
      </c>
      <c r="H1847" s="1">
        <f t="shared" ref="H1847" si="1936">H1848</f>
        <v>0.32232637739807479</v>
      </c>
      <c r="I1847" s="1">
        <f t="shared" ref="I1847" si="1937">I1848</f>
        <v>0.2775346453361735</v>
      </c>
      <c r="J1847" s="1">
        <f t="shared" ref="J1847" si="1938">J1848</f>
        <v>8.6218429698332794E-2</v>
      </c>
      <c r="K1847" s="1">
        <f t="shared" ref="K1847:L1847" si="1939">K1848</f>
        <v>3.0931759760389407E-2</v>
      </c>
      <c r="L1847" s="1">
        <f t="shared" si="1939"/>
        <v>2.6707034261117986E-3</v>
      </c>
      <c r="N1847" s="1"/>
    </row>
    <row r="1848" spans="2:14" x14ac:dyDescent="0.35">
      <c r="B1848" s="5" t="str">
        <f t="shared" ref="B1848:C1848" si="1940">B1847</f>
        <v>SPS1</v>
      </c>
      <c r="C1848" s="5" t="str">
        <f t="shared" si="1940"/>
        <v>CH</v>
      </c>
      <c r="D1848" t="s">
        <v>1884</v>
      </c>
      <c r="E1848" t="str">
        <f t="shared" si="1896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0.46812091910172032</v>
      </c>
      <c r="H1848" s="1" cm="1">
        <f t="array" ref="H1848">SUMPRODUCT(([1]OUT_FinalEnergyCons!$B$4:$B$10000="var_cap")*1, (ISNUMBER(SEARCH("RH*-WHLFOBR",[1]OUT_FinalEnergyCons!$A$4:$A$10000)))*1,[1]OUT_FinalEnergyCons!F$4:F$10000)</f>
        <v>0.32232637739807479</v>
      </c>
      <c r="I1848" s="1" cm="1">
        <f t="array" ref="I1848">SUMPRODUCT(([1]OUT_FinalEnergyCons!$B$4:$B$10000="var_cap")*1, (ISNUMBER(SEARCH("RH*-WHLFOBR",[1]OUT_FinalEnergyCons!$A$4:$A$10000)))*1,[1]OUT_FinalEnergyCons!G$4:G$10000)</f>
        <v>0.2775346453361735</v>
      </c>
      <c r="J1848" s="1" cm="1">
        <f t="array" ref="J1848">SUMPRODUCT(([2]OUT_FinalEnergyCons!$B$4:$B$10000="var_cap")*1, (ISNUMBER(SEARCH("RH*-WHLFOBR",[2]OUT_FinalEnergyCons!$A$4:$A$10000)))*1,[2]OUT_FinalEnergyCons!H$4:H$10000)</f>
        <v>8.6218429698332794E-2</v>
      </c>
      <c r="K1848" s="1" cm="1">
        <f t="array" ref="K1848">SUMPRODUCT(([2]OUT_FinalEnergyCons!$B$4:$B$10000="var_cap")*1, (ISNUMBER(SEARCH("RH*-WHLFOBR",[2]OUT_FinalEnergyCons!$A$4:$A$10000)))*1,[2]OUT_FinalEnergyCons!I$4:I$10000)</f>
        <v>3.0931759760389407E-2</v>
      </c>
      <c r="L1848" s="1" cm="1">
        <f t="array" ref="L1848">SUMPRODUCT(([2]OUT_FinalEnergyCons!$B$4:$B$10000="var_cap")*1, (ISNUMBER(SEARCH("RH*-WHLFOBR",[2]OUT_FinalEnergyCons!$A$4:$A$10000)))*1,[2]OUT_FinalEnergyCons!J$4:J$10000)</f>
        <v>2.6707034261117986E-3</v>
      </c>
      <c r="N1848" s="1"/>
    </row>
    <row r="1849" spans="2:14" x14ac:dyDescent="0.35">
      <c r="B1849" s="5" t="str">
        <f t="shared" ref="B1849:C1849" si="1941">B1848</f>
        <v>SPS1</v>
      </c>
      <c r="C1849" s="5" t="str">
        <f t="shared" si="1941"/>
        <v>CH</v>
      </c>
      <c r="D1849" t="s">
        <v>1885</v>
      </c>
      <c r="E1849" t="str">
        <f t="shared" si="1896"/>
        <v>GWth/yr.</v>
      </c>
      <c r="F1849" s="1">
        <f>SUM(F1850:F1851)</f>
        <v>0.43610075806793741</v>
      </c>
      <c r="G1849" s="1">
        <f t="shared" ref="G1849" si="1942">SUM(G1850:G1851)</f>
        <v>0.42754573277753932</v>
      </c>
      <c r="H1849" s="1">
        <f t="shared" ref="H1849" si="1943">SUM(H1850:H1851)</f>
        <v>0.44451032590408729</v>
      </c>
      <c r="I1849" s="1">
        <f t="shared" ref="I1849" si="1944">SUM(I1850:I1851)</f>
        <v>0.49271443632366807</v>
      </c>
      <c r="J1849" s="1">
        <f t="shared" ref="J1849" si="1945">SUM(J1850:J1851)</f>
        <v>0.31024283359100191</v>
      </c>
      <c r="K1849" s="1">
        <f t="shared" ref="K1849:L1849" si="1946">SUM(K1850:K1851)</f>
        <v>0.28998461215548221</v>
      </c>
      <c r="L1849" s="1">
        <f t="shared" si="1946"/>
        <v>0.27786890266610065</v>
      </c>
      <c r="N1849" s="1"/>
    </row>
    <row r="1850" spans="2:14" x14ac:dyDescent="0.35">
      <c r="B1850" s="5" t="str">
        <f t="shared" ref="B1850:C1850" si="1947">B1849</f>
        <v>SPS1</v>
      </c>
      <c r="C1850" s="5" t="str">
        <f t="shared" si="1947"/>
        <v>CH</v>
      </c>
      <c r="D1850" t="s">
        <v>1886</v>
      </c>
      <c r="E1850" t="str">
        <f t="shared" si="1896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0.42754488063423574</v>
      </c>
      <c r="H1850" s="1" cm="1">
        <f t="array" ref="H1850">SUMPRODUCT(([1]OUT_FinalEnergyCons!$B$4:$B$10000="var_cap")*1, (ISNUMBER(SEARCH("RH*-WHNGABR",[1]OUT_FinalEnergyCons!$A$4:$A$10000)))*1,[1]OUT_FinalEnergyCons!F$4:F$10000)</f>
        <v>0.37938298510779145</v>
      </c>
      <c r="I1850" s="1" cm="1">
        <f t="array" ref="I1850">SUMPRODUCT(([1]OUT_FinalEnergyCons!$B$4:$B$10000="var_cap")*1, (ISNUMBER(SEARCH("RH*-WHNGABR",[1]OUT_FinalEnergyCons!$A$4:$A$10000)))*1,[1]OUT_FinalEnergyCons!G$4:G$10000)</f>
        <v>0.35680664071833645</v>
      </c>
      <c r="J1850" s="1" cm="1">
        <f t="array" ref="J1850">SUMPRODUCT(([2]OUT_FinalEnergyCons!$B$4:$B$10000="var_cap")*1, (ISNUMBER(SEARCH("RH*-WHNGABR",[2]OUT_FinalEnergyCons!$A$4:$A$10000)))*1,[2]OUT_FinalEnergyCons!H$4:H$10000)</f>
        <v>0.1214394978288915</v>
      </c>
      <c r="K1850" s="1" cm="1">
        <f t="array" ref="K1850">SUMPRODUCT(([2]OUT_FinalEnergyCons!$B$4:$B$10000="var_cap")*1, (ISNUMBER(SEARCH("RH*-WHNGABR",[2]OUT_FinalEnergyCons!$A$4:$A$10000)))*1,[2]OUT_FinalEnergyCons!I$4:I$10000)</f>
        <v>5.2569935555374654E-2</v>
      </c>
      <c r="L1850" s="1" cm="1">
        <f t="array" ref="L1850">SUMPRODUCT(([2]OUT_FinalEnergyCons!$B$4:$B$10000="var_cap")*1, (ISNUMBER(SEARCH("RH*-WHNGABR",[2]OUT_FinalEnergyCons!$A$4:$A$10000)))*1,[2]OUT_FinalEnergyCons!J$4:J$10000)</f>
        <v>3.0585528130366798E-2</v>
      </c>
      <c r="N1850" s="1"/>
    </row>
    <row r="1851" spans="2:14" x14ac:dyDescent="0.35">
      <c r="B1851" s="5" t="str">
        <f t="shared" ref="B1851:C1851" si="1948">B1850</f>
        <v>SPS1</v>
      </c>
      <c r="C1851" s="5" t="str">
        <f t="shared" si="1948"/>
        <v>CH</v>
      </c>
      <c r="D1851" t="s">
        <v>1887</v>
      </c>
      <c r="E1851" t="str">
        <f t="shared" si="1896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8.5214330359105718E-7</v>
      </c>
      <c r="H1851" s="1" cm="1">
        <f t="array" ref="H1851">SUMPRODUCT(([1]OUT_FinalEnergyCons!$B$4:$B$10000="var_cap")*1,ISNUMBER(SEARCH("RH*-WHngahp",[1]OUT_FinalEnergyCons!$A$4:$A$10000))*1,[1]OUT_FinalEnergyCons!F$4:F$10000)</f>
        <v>6.5127340796295827E-2</v>
      </c>
      <c r="I1851" s="1" cm="1">
        <f t="array" ref="I1851">SUMPRODUCT(([1]OUT_FinalEnergyCons!$B$4:$B$10000="var_cap")*1,ISNUMBER(SEARCH("RH*-WHngahp",[1]OUT_FinalEnergyCons!$A$4:$A$10000))*1,[1]OUT_FinalEnergyCons!G$4:G$10000)</f>
        <v>0.13590779560533162</v>
      </c>
      <c r="J1851" s="1" cm="1">
        <f t="array" ref="J1851">SUMPRODUCT(([2]OUT_FinalEnergyCons!$B$4:$B$10000="var_cap")*1,ISNUMBER(SEARCH("RH*-WHngahp",[2]OUT_FinalEnergyCons!$A$4:$A$10000))*1,[2]OUT_FinalEnergyCons!H$4:H$10000)</f>
        <v>0.18880333576211042</v>
      </c>
      <c r="K1851" s="1" cm="1">
        <f t="array" ref="K1851">SUMPRODUCT(([2]OUT_FinalEnergyCons!$B$4:$B$10000="var_cap")*1,ISNUMBER(SEARCH("RH*-WHngahp",[2]OUT_FinalEnergyCons!$A$4:$A$10000))*1,[2]OUT_FinalEnergyCons!I$4:I$10000)</f>
        <v>0.23741467660010754</v>
      </c>
      <c r="L1851" s="1" cm="1">
        <f t="array" ref="L1851">SUMPRODUCT(([2]OUT_FinalEnergyCons!$B$4:$B$10000="var_cap")*1,ISNUMBER(SEARCH("RH*-WHngahp",[2]OUT_FinalEnergyCons!$A$4:$A$10000))*1,[2]OUT_FinalEnergyCons!J$4:J$10000)</f>
        <v>0.24728337453573385</v>
      </c>
      <c r="N1851" s="1"/>
    </row>
    <row r="1852" spans="2:14" x14ac:dyDescent="0.35">
      <c r="B1852" s="5" t="str">
        <f t="shared" ref="B1852:C1852" si="1949">B1851</f>
        <v>SPS1</v>
      </c>
      <c r="C1852" s="5" t="str">
        <f t="shared" si="1949"/>
        <v>CH</v>
      </c>
      <c r="D1852" t="s">
        <v>1888</v>
      </c>
      <c r="E1852" t="str">
        <f t="shared" si="1896"/>
        <v>GWth/yr.</v>
      </c>
      <c r="F1852" s="1">
        <f>F1853</f>
        <v>0</v>
      </c>
      <c r="G1852" s="1">
        <f t="shared" ref="G1852" si="1950">G1853</f>
        <v>0</v>
      </c>
      <c r="H1852" s="1">
        <f t="shared" ref="H1852" si="1951">H1853</f>
        <v>0</v>
      </c>
      <c r="I1852" s="1">
        <f t="shared" ref="I1852" si="1952">I1853</f>
        <v>0</v>
      </c>
      <c r="J1852" s="1">
        <f t="shared" ref="J1852" si="1953">J1853</f>
        <v>0</v>
      </c>
      <c r="K1852" s="1">
        <f t="shared" ref="K1852:L1852" si="1954">K1853</f>
        <v>0</v>
      </c>
      <c r="L1852" s="1">
        <f t="shared" si="1954"/>
        <v>0</v>
      </c>
      <c r="N1852" s="1"/>
    </row>
    <row r="1853" spans="2:14" x14ac:dyDescent="0.35">
      <c r="B1853" s="5" t="str">
        <f t="shared" ref="B1853:C1853" si="1955">B1852</f>
        <v>SPS1</v>
      </c>
      <c r="C1853" s="5" t="str">
        <f t="shared" si="1955"/>
        <v>CH</v>
      </c>
      <c r="D1853" t="s">
        <v>1889</v>
      </c>
      <c r="E1853" t="str">
        <f t="shared" si="1896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56">B1853</f>
        <v>SPS1</v>
      </c>
      <c r="C1854" s="5" t="str">
        <f t="shared" si="1956"/>
        <v>CH</v>
      </c>
      <c r="D1854" t="s">
        <v>1890</v>
      </c>
      <c r="E1854" t="str">
        <f t="shared" si="1896"/>
        <v>GWth/yr.</v>
      </c>
      <c r="F1854" s="1">
        <f>F1855</f>
        <v>3.5322010722483803E-2</v>
      </c>
      <c r="G1854" s="1">
        <f t="shared" ref="G1854" si="1957">G1855</f>
        <v>4.0458476663416551E-2</v>
      </c>
      <c r="H1854" s="1">
        <f t="shared" ref="H1854" si="1958">H1855</f>
        <v>6.7259928834266222E-2</v>
      </c>
      <c r="I1854" s="1">
        <f t="shared" ref="I1854" si="1959">I1855</f>
        <v>6.6036571218456699E-2</v>
      </c>
      <c r="J1854" s="1">
        <f t="shared" ref="J1854" si="1960">J1855</f>
        <v>4.8646278008545082E-2</v>
      </c>
      <c r="K1854" s="1">
        <f t="shared" ref="K1854:L1854" si="1961">K1855</f>
        <v>3.7480304914315296E-2</v>
      </c>
      <c r="L1854" s="1">
        <f t="shared" si="1961"/>
        <v>2.0702613758390869E-2</v>
      </c>
      <c r="N1854" s="1"/>
    </row>
    <row r="1855" spans="2:14" x14ac:dyDescent="0.35">
      <c r="B1855" s="5" t="str">
        <f t="shared" ref="B1855:C1855" si="1962">B1854</f>
        <v>SPS1</v>
      </c>
      <c r="C1855" s="5" t="str">
        <f t="shared" si="1962"/>
        <v>CH</v>
      </c>
      <c r="D1855" t="s">
        <v>1891</v>
      </c>
      <c r="E1855" t="str">
        <f t="shared" si="1896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4.0458476663416551E-2</v>
      </c>
      <c r="H1855" s="1" cm="1">
        <f t="array" ref="H1855">SUMPRODUCT(([1]OUT_FinalEnergyCons!$B$4:$B$10000="var_cap")*1, (ISNUMBER(SEARCH("RH*-WHWODBR",[1]OUT_FinalEnergyCons!$A$4:$A$10000)))*1,[1]OUT_FinalEnergyCons!F$4:F$10000)</f>
        <v>6.7259928834266222E-2</v>
      </c>
      <c r="I1855" s="1" cm="1">
        <f t="array" ref="I1855">SUMPRODUCT(([1]OUT_FinalEnergyCons!$B$4:$B$10000="var_cap")*1, (ISNUMBER(SEARCH("RH*-WHWODBR",[1]OUT_FinalEnergyCons!$A$4:$A$10000)))*1,[1]OUT_FinalEnergyCons!G$4:G$10000)</f>
        <v>6.6036571218456699E-2</v>
      </c>
      <c r="J1855" s="1" cm="1">
        <f t="array" ref="J1855">SUMPRODUCT(([2]OUT_FinalEnergyCons!$B$4:$B$10000="var_cap")*1, (ISNUMBER(SEARCH("RH*-WHWODBR",[2]OUT_FinalEnergyCons!$A$4:$A$10000)))*1,[2]OUT_FinalEnergyCons!H$4:H$10000)</f>
        <v>4.8646278008545082E-2</v>
      </c>
      <c r="K1855" s="1" cm="1">
        <f t="array" ref="K1855">SUMPRODUCT(([2]OUT_FinalEnergyCons!$B$4:$B$10000="var_cap")*1, (ISNUMBER(SEARCH("RH*-WHWODBR",[2]OUT_FinalEnergyCons!$A$4:$A$10000)))*1,[2]OUT_FinalEnergyCons!I$4:I$10000)</f>
        <v>3.7480304914315296E-2</v>
      </c>
      <c r="L1855" s="1" cm="1">
        <f t="array" ref="L1855">SUMPRODUCT(([2]OUT_FinalEnergyCons!$B$4:$B$10000="var_cap")*1, (ISNUMBER(SEARCH("RH*-WHWODBR",[2]OUT_FinalEnergyCons!$A$4:$A$10000)))*1,[2]OUT_FinalEnergyCons!J$4:J$10000)</f>
        <v>2.0702613758390869E-2</v>
      </c>
      <c r="N1855" s="1"/>
    </row>
    <row r="1856" spans="2:14" x14ac:dyDescent="0.35">
      <c r="B1856" s="5" t="str">
        <f t="shared" ref="B1856:C1856" si="1963">B1855</f>
        <v>SPS1</v>
      </c>
      <c r="C1856" s="5" t="str">
        <f t="shared" si="1963"/>
        <v>CH</v>
      </c>
      <c r="D1856" t="s">
        <v>1892</v>
      </c>
      <c r="E1856" t="str">
        <f t="shared" si="1896"/>
        <v>GWth/yr.</v>
      </c>
      <c r="F1856" s="1">
        <f>F1857</f>
        <v>1.12410901121583E-2</v>
      </c>
      <c r="G1856" s="1">
        <f t="shared" ref="G1856" si="1964">G1857</f>
        <v>1.3196809744555737E-2</v>
      </c>
      <c r="H1856" s="1">
        <f t="shared" ref="H1856" si="1965">H1857</f>
        <v>3.7385966462187489E-3</v>
      </c>
      <c r="I1856" s="1">
        <f t="shared" ref="I1856" si="1966">I1857</f>
        <v>3.2057460304129193E-3</v>
      </c>
      <c r="J1856" s="1">
        <f t="shared" ref="J1856" si="1967">J1857</f>
        <v>2.0163411781135092E-3</v>
      </c>
      <c r="K1856" s="1">
        <f t="shared" ref="K1856:L1856" si="1968">K1857</f>
        <v>1.4994427983843061E-3</v>
      </c>
      <c r="L1856" s="1">
        <f t="shared" si="1968"/>
        <v>8.5046486872482124E-4</v>
      </c>
      <c r="N1856" s="1"/>
    </row>
    <row r="1857" spans="2:14" x14ac:dyDescent="0.35">
      <c r="B1857" s="5" t="str">
        <f t="shared" ref="B1857:C1857" si="1969">B1856</f>
        <v>SPS1</v>
      </c>
      <c r="C1857" s="5" t="str">
        <f t="shared" si="1969"/>
        <v>CH</v>
      </c>
      <c r="D1857" t="s">
        <v>1893</v>
      </c>
      <c r="E1857" t="str">
        <f t="shared" si="1896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1.3196809744555737E-2</v>
      </c>
      <c r="H1857" s="1" cm="1">
        <f t="array" ref="H1857">SUMPRODUCT(([1]OUT_FinalEnergyCons!$B$4:$B$10000="var_cap")*1, (ISNUMBER(SEARCH("RH*-WHPLTBR",[1]OUT_FinalEnergyCons!$A$4:$A$10000)))*1,[1]OUT_FinalEnergyCons!F$4:F$10000)</f>
        <v>3.7385966462187489E-3</v>
      </c>
      <c r="I1857" s="1" cm="1">
        <f t="array" ref="I1857">SUMPRODUCT(([1]OUT_FinalEnergyCons!$B$4:$B$10000="var_cap")*1, (ISNUMBER(SEARCH("RH*-WHPLTBR",[1]OUT_FinalEnergyCons!$A$4:$A$10000)))*1,[1]OUT_FinalEnergyCons!G$4:G$10000)</f>
        <v>3.2057460304129193E-3</v>
      </c>
      <c r="J1857" s="1" cm="1">
        <f t="array" ref="J1857">SUMPRODUCT(([2]OUT_FinalEnergyCons!$B$4:$B$10000="var_cap")*1, (ISNUMBER(SEARCH("RH*-WHPLTBR",[2]OUT_FinalEnergyCons!$A$4:$A$10000)))*1,[2]OUT_FinalEnergyCons!H$4:H$10000)</f>
        <v>2.0163411781135092E-3</v>
      </c>
      <c r="K1857" s="1" cm="1">
        <f t="array" ref="K1857">SUMPRODUCT(([2]OUT_FinalEnergyCons!$B$4:$B$10000="var_cap")*1, (ISNUMBER(SEARCH("RH*-WHPLTBR",[2]OUT_FinalEnergyCons!$A$4:$A$10000)))*1,[2]OUT_FinalEnergyCons!I$4:I$10000)</f>
        <v>1.4994427983843061E-3</v>
      </c>
      <c r="L1857" s="1" cm="1">
        <f t="array" ref="L1857">SUMPRODUCT(([2]OUT_FinalEnergyCons!$B$4:$B$10000="var_cap")*1, (ISNUMBER(SEARCH("RH*-WHPLTBR",[2]OUT_FinalEnergyCons!$A$4:$A$10000)))*1,[2]OUT_FinalEnergyCons!J$4:J$10000)</f>
        <v>8.5046486872482124E-4</v>
      </c>
      <c r="N1857" s="1"/>
    </row>
    <row r="1858" spans="2:14" x14ac:dyDescent="0.35">
      <c r="B1858" s="5" t="str">
        <f t="shared" ref="B1858:C1858" si="1970">B1857</f>
        <v>SPS1</v>
      </c>
      <c r="C1858" s="5" t="str">
        <f t="shared" si="1970"/>
        <v>CH</v>
      </c>
      <c r="D1858" t="s">
        <v>1894</v>
      </c>
      <c r="E1858" t="str">
        <f t="shared" si="1896"/>
        <v>GWth/yr.</v>
      </c>
      <c r="F1858" s="1">
        <f>F1859</f>
        <v>0.25000991745774798</v>
      </c>
      <c r="G1858" s="1">
        <f t="shared" ref="G1858" si="1971">G1859</f>
        <v>0.33410592365409292</v>
      </c>
      <c r="H1858" s="1">
        <f t="shared" ref="H1858" si="1972">H1859</f>
        <v>0.334106877860953</v>
      </c>
      <c r="I1858" s="1">
        <f t="shared" ref="I1858" si="1973">I1859</f>
        <v>0.3773671885350976</v>
      </c>
      <c r="J1858" s="1">
        <f t="shared" ref="J1858" si="1974">J1859</f>
        <v>0.45762865382686146</v>
      </c>
      <c r="K1858" s="1">
        <f t="shared" ref="K1858:L1858" si="1975">K1859</f>
        <v>0.5520942845206307</v>
      </c>
      <c r="L1858" s="1">
        <f t="shared" si="1975"/>
        <v>0.63630642809912363</v>
      </c>
      <c r="N1858" s="1"/>
    </row>
    <row r="1859" spans="2:14" x14ac:dyDescent="0.35">
      <c r="B1859" s="5" t="str">
        <f t="shared" ref="B1859:C1859" si="1976">B1858</f>
        <v>SPS1</v>
      </c>
      <c r="C1859" s="5" t="str">
        <f t="shared" si="1976"/>
        <v>CH</v>
      </c>
      <c r="D1859" t="s">
        <v>1895</v>
      </c>
      <c r="E1859" t="str">
        <f t="shared" si="1896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0.33410592365409292</v>
      </c>
      <c r="H1859" s="1" cm="1">
        <f t="array" ref="H1859">SUMPRODUCT(([1]OUT_FinalEnergyCons!$B$4:$B$10000="var_cap")*1, (ISNUMBER(SEARCH("RH*-WHSOLBR",[1]OUT_FinalEnergyCons!$A$4:$A$10000)))*1,[1]OUT_FinalEnergyCons!F$4:F$10000)</f>
        <v>0.334106877860953</v>
      </c>
      <c r="I1859" s="1" cm="1">
        <f t="array" ref="I1859">SUMPRODUCT(([1]OUT_FinalEnergyCons!$B$4:$B$10000="var_cap")*1, (ISNUMBER(SEARCH("RH*-WHSOLBR",[1]OUT_FinalEnergyCons!$A$4:$A$10000)))*1,[1]OUT_FinalEnergyCons!G$4:G$10000)</f>
        <v>0.3773671885350976</v>
      </c>
      <c r="J1859" s="1" cm="1">
        <f t="array" ref="J1859">SUMPRODUCT(([2]OUT_FinalEnergyCons!$B$4:$B$10000="var_cap")*1, (ISNUMBER(SEARCH("RH*-WHSOLBR",[2]OUT_FinalEnergyCons!$A$4:$A$10000)))*1,[2]OUT_FinalEnergyCons!H$4:H$10000)</f>
        <v>0.45762865382686146</v>
      </c>
      <c r="K1859" s="1" cm="1">
        <f t="array" ref="K1859">SUMPRODUCT(([2]OUT_FinalEnergyCons!$B$4:$B$10000="var_cap")*1, (ISNUMBER(SEARCH("RH*-WHSOLBR",[2]OUT_FinalEnergyCons!$A$4:$A$10000)))*1,[2]OUT_FinalEnergyCons!I$4:I$10000)</f>
        <v>0.5520942845206307</v>
      </c>
      <c r="L1859" s="1" cm="1">
        <f t="array" ref="L1859">SUMPRODUCT(([2]OUT_FinalEnergyCons!$B$4:$B$10000="var_cap")*1, (ISNUMBER(SEARCH("RH*-WHSOLBR",[2]OUT_FinalEnergyCons!$A$4:$A$10000)))*1,[2]OUT_FinalEnergyCons!J$4:J$10000)</f>
        <v>0.63630642809912363</v>
      </c>
      <c r="N1859" s="1"/>
    </row>
    <row r="1860" spans="2:14" x14ac:dyDescent="0.35">
      <c r="B1860" s="5" t="str">
        <f t="shared" ref="B1860:C1860" si="1977">B1859</f>
        <v>SPS1</v>
      </c>
      <c r="C1860" s="5" t="str">
        <f t="shared" si="1977"/>
        <v>CH</v>
      </c>
      <c r="D1860" t="s">
        <v>1896</v>
      </c>
      <c r="E1860" t="str">
        <f t="shared" si="1896"/>
        <v>GWth/yr.</v>
      </c>
      <c r="F1860" s="1">
        <f>F1861</f>
        <v>0</v>
      </c>
      <c r="G1860" s="1">
        <f t="shared" ref="G1860" si="1978">G1861</f>
        <v>0</v>
      </c>
      <c r="H1860" s="1">
        <f t="shared" ref="H1860" si="1979">H1861</f>
        <v>0</v>
      </c>
      <c r="I1860" s="1">
        <f t="shared" ref="I1860" si="1980">I1861</f>
        <v>0</v>
      </c>
      <c r="J1860" s="1">
        <f t="shared" ref="J1860" si="1981">J1861</f>
        <v>0</v>
      </c>
      <c r="K1860" s="1">
        <f t="shared" ref="K1860:L1860" si="1982">K1861</f>
        <v>0</v>
      </c>
      <c r="L1860" s="1">
        <f t="shared" si="1982"/>
        <v>0</v>
      </c>
      <c r="N1860" s="1"/>
    </row>
    <row r="1861" spans="2:14" x14ac:dyDescent="0.35">
      <c r="B1861" s="5" t="str">
        <f t="shared" ref="B1861:C1865" si="1983">B1860</f>
        <v>SPS1</v>
      </c>
      <c r="C1861" s="5" t="str">
        <f t="shared" si="1983"/>
        <v>CH</v>
      </c>
      <c r="D1861" t="s">
        <v>1897</v>
      </c>
      <c r="E1861" t="str">
        <f t="shared" si="1896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3"/>
        <v>SPS1</v>
      </c>
      <c r="C1862" s="9" t="str">
        <f t="shared" si="1983"/>
        <v>CH</v>
      </c>
      <c r="D1862" s="2" t="s">
        <v>1899</v>
      </c>
      <c r="E1862" s="9" t="str">
        <f t="shared" si="1896"/>
        <v>GWth/yr.</v>
      </c>
      <c r="F1862" s="17">
        <f>SUM(F1863,F1866,F1869,F1873,F1875,F1877,F1879,F1881,F1883)</f>
        <v>3.6022039323296173</v>
      </c>
      <c r="G1862" s="17">
        <f t="shared" ref="G1862:K1862" si="1984">SUM(G1863,G1866,G1869,G1873,G1875,G1877,G1879,G1881,G1883)</f>
        <v>3.8316344976775234</v>
      </c>
      <c r="H1862" s="17">
        <f t="shared" si="1984"/>
        <v>3.6566072949549806</v>
      </c>
      <c r="I1862" s="17">
        <f t="shared" si="1984"/>
        <v>3.6909841948815152</v>
      </c>
      <c r="J1862" s="17">
        <f t="shared" si="1984"/>
        <v>3.2164707887593647</v>
      </c>
      <c r="K1862" s="17">
        <f t="shared" si="1984"/>
        <v>3.3225726773599207</v>
      </c>
      <c r="L1862" s="17">
        <f t="shared" ref="L1862" si="1985">SUM(L1863,L1866,L1869,L1873,L1875,L1877,L1879,L1881,L1883)</f>
        <v>3.2042986749154676</v>
      </c>
      <c r="N1862" s="1"/>
    </row>
    <row r="1863" spans="2:14" x14ac:dyDescent="0.35">
      <c r="B1863" s="5" t="str">
        <f>B1862</f>
        <v>SPS1</v>
      </c>
      <c r="C1863" s="5" t="str">
        <f t="shared" si="1983"/>
        <v>CH</v>
      </c>
      <c r="D1863" t="s">
        <v>2093</v>
      </c>
      <c r="E1863" t="str">
        <f t="shared" si="1896"/>
        <v>GWth/yr.</v>
      </c>
      <c r="F1863" s="18">
        <f>SUM(F1864:F1865)</f>
        <v>0.61671309762324311</v>
      </c>
      <c r="G1863" s="18">
        <f t="shared" ref="G1863:K1863" si="1986">SUM(G1864:G1865)</f>
        <v>0.83156231510858136</v>
      </c>
      <c r="H1863" s="18">
        <f t="shared" si="1986"/>
        <v>0.83251386016649154</v>
      </c>
      <c r="I1863" s="18">
        <f t="shared" si="1986"/>
        <v>0.95046077636702531</v>
      </c>
      <c r="J1863" s="18">
        <f t="shared" si="1986"/>
        <v>1.4444820290477973</v>
      </c>
      <c r="K1863" s="18">
        <f t="shared" si="1986"/>
        <v>1.5635012596205482</v>
      </c>
      <c r="L1863" s="18">
        <f t="shared" ref="L1863" si="1987">SUM(L1864:L1865)</f>
        <v>1.7112317184055414</v>
      </c>
      <c r="N1863" s="1"/>
    </row>
    <row r="1864" spans="2:14" x14ac:dyDescent="0.35">
      <c r="B1864" s="5" t="str">
        <f t="shared" ref="B1864:B1865" si="1988">B1863</f>
        <v>SPS1</v>
      </c>
      <c r="C1864" s="5" t="str">
        <f t="shared" si="1983"/>
        <v>CH</v>
      </c>
      <c r="D1864" t="s">
        <v>2094</v>
      </c>
      <c r="E1864" t="str">
        <f t="shared" si="1896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0.7550896977193895</v>
      </c>
      <c r="H1864" s="1" cm="1">
        <f t="array" ref="H1864">SUMPRODUCT(([1]OUT_FinalEnergyCons!$B$4:$B$10000="Var_cap")*1,  (ISNUMBER(SEARCH("ITOT-SWHELCBR",[1]OUT_FinalEnergyCons!$A$4:$A$10000)))*1,[1]OUT_FinalEnergyCons!F$4:F$10000)</f>
        <v>0.7553883693263802</v>
      </c>
      <c r="I1864" s="1" cm="1">
        <f t="array" ref="I1864">SUMPRODUCT(([1]OUT_FinalEnergyCons!$B$4:$B$10000="Var_cap")*1,  (ISNUMBER(SEARCH("ITOT-SWHELCBR",[1]OUT_FinalEnergyCons!$A$4:$A$10000)))*1,[1]OUT_FinalEnergyCons!G$4:G$10000)</f>
        <v>0.75567571006213663</v>
      </c>
      <c r="J1864" s="1" cm="1">
        <f t="array" ref="J1864">SUMPRODUCT(([2]OUT_FinalEnergyCons!$B$4:$B$10000="Var_cap")*1,  (ISNUMBER(SEARCH("ITOT-SWHELCBR",[2]OUT_FinalEnergyCons!$A$4:$A$10000)))*1,[2]OUT_FinalEnergyCons!H$4:H$10000)</f>
        <v>1.0308194670153352</v>
      </c>
      <c r="K1864" s="1" cm="1">
        <f t="array" ref="K1864">SUMPRODUCT(([2]OUT_FinalEnergyCons!$B$4:$B$10000="Var_cap")*1,  (ISNUMBER(SEARCH("ITOT-SWHELCBR",[2]OUT_FinalEnergyCons!$A$4:$A$10000)))*1,[2]OUT_FinalEnergyCons!I$4:I$10000)</f>
        <v>1.032824869945872</v>
      </c>
      <c r="L1864" s="1" cm="1">
        <f t="array" ref="L1864">SUMPRODUCT(([2]OUT_FinalEnergyCons!$B$4:$B$10000="Var_cap")*1,  (ISNUMBER(SEARCH("ITOT-SWHELCBR",[2]OUT_FinalEnergyCons!$A$4:$A$10000)))*1,[2]OUT_FinalEnergyCons!J$4:J$10000)</f>
        <v>1.0923604905956041</v>
      </c>
      <c r="N1864" s="1"/>
    </row>
    <row r="1865" spans="2:14" x14ac:dyDescent="0.35">
      <c r="B1865" s="5" t="str">
        <f t="shared" si="1988"/>
        <v>SPS1</v>
      </c>
      <c r="C1865" s="5" t="str">
        <f t="shared" si="1983"/>
        <v>CH</v>
      </c>
      <c r="D1865" t="s">
        <v>2095</v>
      </c>
      <c r="E1865" t="str">
        <f t="shared" si="1896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7.6472617389191921E-2</v>
      </c>
      <c r="H1865" s="1" cm="1">
        <f t="array" ref="H1865">SUMPRODUCT(([1]OUT_FinalEnergyCons!$B$4:$B$10000="Var_cap")*1,  (ISNUMBER(SEARCH("ITOT-SWHELCHP",[1]OUT_FinalEnergyCons!$A$4:$A$10000)))*1,[1]OUT_FinalEnergyCons!F$4:F$10000)</f>
        <v>7.7125490840111291E-2</v>
      </c>
      <c r="I1865" s="1" cm="1">
        <f t="array" ref="I1865">SUMPRODUCT(([1]OUT_FinalEnergyCons!$B$4:$B$10000="Var_cap")*1,  (ISNUMBER(SEARCH("ITOT-SWHELCHP",[1]OUT_FinalEnergyCons!$A$4:$A$10000)))*1,[1]OUT_FinalEnergyCons!G$4:G$10000)</f>
        <v>0.19478506630488868</v>
      </c>
      <c r="J1865" s="1" cm="1">
        <f t="array" ref="J1865">SUMPRODUCT(([2]OUT_FinalEnergyCons!$B$4:$B$10000="Var_cap")*1,  (ISNUMBER(SEARCH("ITOT-SWHELCHP",[2]OUT_FinalEnergyCons!$A$4:$A$10000)))*1,[2]OUT_FinalEnergyCons!H$4:H$10000)</f>
        <v>0.41366256203246216</v>
      </c>
      <c r="K1865" s="1" cm="1">
        <f t="array" ref="K1865">SUMPRODUCT(([2]OUT_FinalEnergyCons!$B$4:$B$10000="Var_cap")*1,  (ISNUMBER(SEARCH("ITOT-SWHELCHP",[2]OUT_FinalEnergyCons!$A$4:$A$10000)))*1,[2]OUT_FinalEnergyCons!I$4:I$10000)</f>
        <v>0.53067638967467612</v>
      </c>
      <c r="L1865" s="1" cm="1">
        <f t="array" ref="L1865">SUMPRODUCT(([2]OUT_FinalEnergyCons!$B$4:$B$10000="Var_cap")*1,  (ISNUMBER(SEARCH("ITOT-SWHELCHP",[2]OUT_FinalEnergyCons!$A$4:$A$10000)))*1,[2]OUT_FinalEnergyCons!J$4:J$10000)</f>
        <v>0.61887122780993731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96"/>
        <v>GWth/yr.</v>
      </c>
      <c r="F1866" s="18">
        <f>SUM(F1867:F1868)</f>
        <v>0.47912462638024783</v>
      </c>
      <c r="G1866" s="18">
        <f t="shared" ref="G1866:K1866" si="1989">SUM(G1867:G1868)</f>
        <v>0.49159687745562064</v>
      </c>
      <c r="H1866" s="18">
        <f t="shared" si="1989"/>
        <v>0.38911132380376556</v>
      </c>
      <c r="I1866" s="18">
        <f t="shared" si="1989"/>
        <v>0.38763170861114504</v>
      </c>
      <c r="J1866" s="18">
        <f t="shared" si="1989"/>
        <v>0.24213815230867014</v>
      </c>
      <c r="K1866" s="18">
        <f t="shared" si="1989"/>
        <v>0.14465446085953618</v>
      </c>
      <c r="L1866" s="18">
        <f t="shared" ref="L1866" si="1990">SUM(L1867:L1868)</f>
        <v>5.8386046477412391E-2</v>
      </c>
      <c r="N1866" s="1"/>
    </row>
    <row r="1867" spans="2:14" x14ac:dyDescent="0.35">
      <c r="B1867" s="5" t="str">
        <f t="shared" ref="B1867:B1884" si="1991">B1866</f>
        <v>SPS1</v>
      </c>
      <c r="C1867" s="5" t="str">
        <f t="shared" ref="C1867:C1884" si="1992">C1866</f>
        <v>CH</v>
      </c>
      <c r="D1867" t="s">
        <v>2097</v>
      </c>
      <c r="E1867" t="str">
        <f t="shared" si="1896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0.38876232007934369</v>
      </c>
      <c r="H1867" s="1" cm="1">
        <f t="array" ref="H1867">SUMPRODUCT(([1]OUT_FinalEnergyCons!$B$4:$B$10000="Var_cap")*1,  (ISNUMBER(SEARCH("ITOT-SWHLFOBR",[1]OUT_FinalEnergyCons!$A$4:$A$10000)))*1,[1]OUT_FinalEnergyCons!F$4:F$10000)</f>
        <v>0.38872224767158253</v>
      </c>
      <c r="I1867" s="1" cm="1">
        <f t="array" ref="I1867">SUMPRODUCT(([1]OUT_FinalEnergyCons!$B$4:$B$10000="Var_cap")*1,  (ISNUMBER(SEARCH("ITOT-SWHLFOBR",[1]OUT_FinalEnergyCons!$A$4:$A$10000)))*1,[1]OUT_FinalEnergyCons!G$4:G$10000)</f>
        <v>0.38759475298430413</v>
      </c>
      <c r="J1867" s="1" cm="1">
        <f t="array" ref="J1867">SUMPRODUCT(([2]OUT_FinalEnergyCons!$B$4:$B$10000="Var_cap")*1,  (ISNUMBER(SEARCH("ITOT-SWHLFOBR",[2]OUT_FinalEnergyCons!$A$4:$A$10000)))*1,[2]OUT_FinalEnergyCons!H$4:H$10000)</f>
        <v>0.24204779513075347</v>
      </c>
      <c r="K1867" s="1" cm="1">
        <f t="array" ref="K1867">SUMPRODUCT(([2]OUT_FinalEnergyCons!$B$4:$B$10000="Var_cap")*1,  (ISNUMBER(SEARCH("ITOT-SWHLFOBR",[2]OUT_FinalEnergyCons!$A$4:$A$10000)))*1,[2]OUT_FinalEnergyCons!I$4:I$10000)</f>
        <v>0.14464992692823614</v>
      </c>
      <c r="L1867" s="1" cm="1">
        <f t="array" ref="L1867">SUMPRODUCT(([2]OUT_FinalEnergyCons!$B$4:$B$10000="Var_cap")*1,  (ISNUMBER(SEARCH("ITOT-SWHLFOBR",[2]OUT_FinalEnergyCons!$A$4:$A$10000)))*1,[2]OUT_FinalEnergyCons!J$4:J$10000)</f>
        <v>5.8386046477412391E-2</v>
      </c>
      <c r="N1867" s="1"/>
    </row>
    <row r="1868" spans="2:14" x14ac:dyDescent="0.35">
      <c r="B1868" s="5" t="str">
        <f t="shared" si="1991"/>
        <v>SPS1</v>
      </c>
      <c r="C1868" s="5" t="str">
        <f t="shared" si="1992"/>
        <v>CH</v>
      </c>
      <c r="D1868" t="s">
        <v>2098</v>
      </c>
      <c r="E1868" t="str">
        <f t="shared" si="1896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0.10278918674941583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0.10283455737627692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3.8907613218305825E-4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3.695562684090381E-5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9.0357177916666753E-5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4.533931300031903E-6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1"/>
        <v>SPS1</v>
      </c>
      <c r="C1869" s="5" t="str">
        <f t="shared" si="1992"/>
        <v>CH</v>
      </c>
      <c r="D1869" t="s">
        <v>2099</v>
      </c>
      <c r="E1869" t="str">
        <f t="shared" si="1896"/>
        <v>GWth/yr.</v>
      </c>
      <c r="F1869" s="18">
        <f>SUM(F1870:F1871)</f>
        <v>1.556581895256</v>
      </c>
      <c r="G1869" s="18">
        <f t="shared" ref="G1869:K1869" si="1993">SUM(G1870:G1871)</f>
        <v>1.5566706159375132</v>
      </c>
      <c r="H1869" s="18">
        <f t="shared" si="1993"/>
        <v>1.5572549797601978</v>
      </c>
      <c r="I1869" s="18">
        <f t="shared" si="1993"/>
        <v>1.5481835185181825</v>
      </c>
      <c r="J1869" s="18">
        <f t="shared" si="1993"/>
        <v>0.54985024545307382</v>
      </c>
      <c r="K1869" s="18">
        <f t="shared" si="1993"/>
        <v>0.20732596700345324</v>
      </c>
      <c r="L1869" s="18">
        <f t="shared" ref="L1869" si="1994">SUM(L1870:L1871)</f>
        <v>0.10781951244385872</v>
      </c>
      <c r="N1869" s="1"/>
    </row>
    <row r="1870" spans="2:14" x14ac:dyDescent="0.35">
      <c r="B1870" s="5" t="str">
        <f t="shared" si="1991"/>
        <v>SPS1</v>
      </c>
      <c r="C1870" s="5" t="str">
        <f t="shared" si="1992"/>
        <v>CH</v>
      </c>
      <c r="D1870" t="s">
        <v>2100</v>
      </c>
      <c r="E1870" t="str">
        <f t="shared" si="1896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1.5565902775612379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1.5566294532708074</v>
      </c>
      <c r="I1870" s="1" cm="1">
        <f t="array" ref="I1870">SUMPRODUCT(([1]OUT_FinalEnergyCons!$B$4:$B$10000="Var_cap")*1,  (ISNUMBER(SEARCH("ITOT-SWHNGA*BR",[1]OUT_FinalEnergyCons!$A$4:$A$10000)))*1,[1]OUT_FinalEnergyCons!G$4:G$10000)</f>
        <v>1.5475550439044423</v>
      </c>
      <c r="J1870" s="1" cm="1">
        <f t="array" ref="J1870">SUMPRODUCT(([2]OUT_FinalEnergyCons!$B$4:$B$10000="Var_cap")*1,  (ISNUMBER(SEARCH("ITOT-SWHNGA*BR",[2]OUT_FinalEnergyCons!$A$4:$A$10000)))*1,[2]OUT_FinalEnergyCons!H$4:H$10000)</f>
        <v>0.54924525161271798</v>
      </c>
      <c r="K1870" s="1" cm="1">
        <f t="array" ref="K1870">SUMPRODUCT(([2]OUT_FinalEnergyCons!$B$4:$B$10000="Var_cap")*1,  (ISNUMBER(SEARCH("ITOT-SWHNGA*BR",[2]OUT_FinalEnergyCons!$A$4:$A$10000)))*1,[2]OUT_FinalEnergyCons!I$4:I$10000)</f>
        <v>0.20710074904419412</v>
      </c>
      <c r="L1870" s="1" cm="1">
        <f t="array" ref="L1870">SUMPRODUCT(([2]OUT_FinalEnergyCons!$B$4:$B$10000="Var_cap")*1,  (ISNUMBER(SEARCH("ITOT-SWHNGA*BR",[2]OUT_FinalEnergyCons!$A$4:$A$10000)))*1,[2]OUT_FinalEnergyCons!J$4:J$10000)</f>
        <v>0.1072434756805402</v>
      </c>
      <c r="N1870" s="1"/>
    </row>
    <row r="1871" spans="2:14" x14ac:dyDescent="0.35">
      <c r="B1871" s="5" t="str">
        <f t="shared" si="1991"/>
        <v>SPS1</v>
      </c>
      <c r="C1871" s="5" t="str">
        <f t="shared" si="1992"/>
        <v>CH</v>
      </c>
      <c r="D1871" t="s">
        <v>2101</v>
      </c>
      <c r="E1871" t="str">
        <f t="shared" si="1896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8.0338376275369697E-5</v>
      </c>
      <c r="H1871" s="1" cm="1">
        <f t="array" ref="H1871">SUMPRODUCT(([1]OUT_FinalEnergyCons!$B$4:$B$10000="Var_cap")*1,  (ISNUMBER(SEARCH("ITOT-SWHNGAHP",[1]OUT_FinalEnergyCons!$A$4:$A$10000)))*1,[1]OUT_FinalEnergyCons!F$4:F$10000)</f>
        <v>6.2552648939029505E-4</v>
      </c>
      <c r="I1871" s="1" cm="1">
        <f t="array" ref="I1871">SUMPRODUCT(([1]OUT_FinalEnergyCons!$B$4:$B$10000="Var_cap")*1,  (ISNUMBER(SEARCH("ITOT-SWHNGAHP",[1]OUT_FinalEnergyCons!$A$4:$A$10000)))*1,[1]OUT_FinalEnergyCons!G$4:G$10000)</f>
        <v>6.2847461374013875E-4</v>
      </c>
      <c r="J1871" s="1" cm="1">
        <f t="array" ref="J1871">SUMPRODUCT(([2]OUT_FinalEnergyCons!$B$4:$B$10000="Var_cap")*1,  (ISNUMBER(SEARCH("ITOT-SWHNGAHP",[2]OUT_FinalEnergyCons!$A$4:$A$10000)))*1,[2]OUT_FinalEnergyCons!H$4:H$10000)</f>
        <v>6.0499384035588889E-4</v>
      </c>
      <c r="K1871" s="1" cm="1">
        <f t="array" ref="K1871">SUMPRODUCT(([2]OUT_FinalEnergyCons!$B$4:$B$10000="Var_cap")*1,  (ISNUMBER(SEARCH("ITOT-SWHNGAHP",[2]OUT_FinalEnergyCons!$A$4:$A$10000)))*1,[2]OUT_FinalEnergyCons!I$4:I$10000)</f>
        <v>2.2521795925911503E-4</v>
      </c>
      <c r="L1871" s="1" cm="1">
        <f t="array" ref="L1871">SUMPRODUCT(([2]OUT_FinalEnergyCons!$B$4:$B$10000="Var_cap")*1,  (ISNUMBER(SEARCH("ITOT-SWHNGAHP",[2]OUT_FinalEnergyCons!$A$4:$A$10000)))*1,[2]OUT_FinalEnergyCons!J$4:J$10000)</f>
        <v>5.76036763318528E-4</v>
      </c>
      <c r="N1871" s="1"/>
    </row>
    <row r="1872" spans="2:14" x14ac:dyDescent="0.35">
      <c r="B1872" s="5" t="str">
        <f t="shared" si="1991"/>
        <v>SPS1</v>
      </c>
      <c r="C1872" s="5" t="str">
        <f t="shared" si="1992"/>
        <v>CH</v>
      </c>
      <c r="D1872" t="s">
        <v>2102</v>
      </c>
      <c r="E1872" t="str">
        <f t="shared" si="1896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3.298371173059788E-2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5.9828044647177621E-2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5.9896299855054326E-2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0.13547924410441275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0.15308452570033385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0.1351286464321893</v>
      </c>
      <c r="N1872" s="1"/>
    </row>
    <row r="1873" spans="2:14" x14ac:dyDescent="0.35">
      <c r="B1873" s="5" t="str">
        <f t="shared" si="1991"/>
        <v>SPS1</v>
      </c>
      <c r="C1873" s="5" t="str">
        <f t="shared" si="1992"/>
        <v>CH</v>
      </c>
      <c r="D1873" t="s">
        <v>2103</v>
      </c>
      <c r="E1873" t="str">
        <f t="shared" si="1896"/>
        <v>GWth/yr.</v>
      </c>
      <c r="F1873" s="1">
        <f>F1874</f>
        <v>0.26172155007150499</v>
      </c>
      <c r="G1873" s="1">
        <f t="shared" ref="G1873:L1873" si="1995">G1874</f>
        <v>0.14703309164784678</v>
      </c>
      <c r="H1873" s="1">
        <f t="shared" si="1995"/>
        <v>7.2903208906085898E-2</v>
      </c>
      <c r="I1873" s="1">
        <f t="shared" si="1995"/>
        <v>2.8088873838594264E-5</v>
      </c>
      <c r="J1873" s="1">
        <f t="shared" si="1995"/>
        <v>6.820615164275512E-5</v>
      </c>
      <c r="K1873" s="1">
        <f t="shared" si="1995"/>
        <v>3.5730016686425067E-6</v>
      </c>
      <c r="L1873" s="1">
        <f t="shared" si="1995"/>
        <v>3.3912403560256105E-5</v>
      </c>
      <c r="N1873" s="1"/>
    </row>
    <row r="1874" spans="2:14" x14ac:dyDescent="0.35">
      <c r="B1874" s="5" t="str">
        <f t="shared" si="1991"/>
        <v>SPS1</v>
      </c>
      <c r="C1874" s="5" t="str">
        <f t="shared" si="1992"/>
        <v>CH</v>
      </c>
      <c r="D1874" t="s">
        <v>2104</v>
      </c>
      <c r="E1874" t="str">
        <f t="shared" si="1896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0.14703309164784678</v>
      </c>
      <c r="H1874" s="1" cm="1">
        <f t="array" ref="H1874">SUMPRODUCT(([1]OUT_FinalEnergyCons!$B$4:$B$10000="Var_cap")*1,  (ISNUMBER(SEARCH("ITOT-SWHCOA*BR",[1]OUT_FinalEnergyCons!$A$4:$A$10000)))*1,[1]OUT_FinalEnergyCons!F$4:F$10000)</f>
        <v>7.2903208906085898E-2</v>
      </c>
      <c r="I1874" s="1" cm="1">
        <f t="array" ref="I1874">SUMPRODUCT(([1]OUT_FinalEnergyCons!$B$4:$B$10000="Var_cap")*1,  (ISNUMBER(SEARCH("ITOT-SWHCOA*BR",[1]OUT_FinalEnergyCons!$A$4:$A$10000)))*1,[1]OUT_FinalEnergyCons!G$4:G$10000)</f>
        <v>2.8088873838594264E-5</v>
      </c>
      <c r="J1874" s="1" cm="1">
        <f t="array" ref="J1874">SUMPRODUCT(([2]OUT_FinalEnergyCons!$B$4:$B$10000="Var_cap")*1,  (ISNUMBER(SEARCH("ITOT-SWHCOA*BR",[2]OUT_FinalEnergyCons!$A$4:$A$10000)))*1,[2]OUT_FinalEnergyCons!H$4:H$10000)</f>
        <v>6.820615164275512E-5</v>
      </c>
      <c r="K1874" s="1" cm="1">
        <f t="array" ref="K1874">SUMPRODUCT(([2]OUT_FinalEnergyCons!$B$4:$B$10000="Var_cap")*1,  (ISNUMBER(SEARCH("ITOT-SWHCOA*BR",[2]OUT_FinalEnergyCons!$A$4:$A$10000)))*1,[2]OUT_FinalEnergyCons!I$4:I$10000)</f>
        <v>3.5730016686425067E-6</v>
      </c>
      <c r="L1874" s="1" cm="1">
        <f t="array" ref="L1874">SUMPRODUCT(([2]OUT_FinalEnergyCons!$B$4:$B$10000="Var_cap")*1,  (ISNUMBER(SEARCH("ITOT-SWHCOA*BR",[2]OUT_FinalEnergyCons!$A$4:$A$10000)))*1,[2]OUT_FinalEnergyCons!J$4:J$10000)</f>
        <v>3.3912403560256105E-5</v>
      </c>
      <c r="N1874" s="1"/>
    </row>
    <row r="1875" spans="2:14" x14ac:dyDescent="0.35">
      <c r="B1875" s="5" t="str">
        <f t="shared" si="1991"/>
        <v>SPS1</v>
      </c>
      <c r="C1875" s="5" t="str">
        <f t="shared" si="1992"/>
        <v>CH</v>
      </c>
      <c r="D1875" t="s">
        <v>2105</v>
      </c>
      <c r="E1875" t="str">
        <f t="shared" si="1896"/>
        <v>GWth/yr.</v>
      </c>
      <c r="F1875" s="1">
        <f>F1876</f>
        <v>0.28883369534761499</v>
      </c>
      <c r="G1875" s="1">
        <f t="shared" ref="G1875:L1875" si="1996">G1876</f>
        <v>0.3414854681706227</v>
      </c>
      <c r="H1875" s="1">
        <f t="shared" si="1996"/>
        <v>0.34148869623416606</v>
      </c>
      <c r="I1875" s="1">
        <f t="shared" si="1996"/>
        <v>0.34140854971334128</v>
      </c>
      <c r="J1875" s="1">
        <f t="shared" si="1996"/>
        <v>0.37474189143189057</v>
      </c>
      <c r="K1875" s="1">
        <f t="shared" si="1996"/>
        <v>0.41670598564261002</v>
      </c>
      <c r="L1875" s="1">
        <f t="shared" si="1996"/>
        <v>0.48839312377197525</v>
      </c>
      <c r="N1875" s="1"/>
    </row>
    <row r="1876" spans="2:14" x14ac:dyDescent="0.35">
      <c r="B1876" s="5" t="str">
        <f t="shared" si="1991"/>
        <v>SPS1</v>
      </c>
      <c r="C1876" s="5" t="str">
        <f t="shared" si="1992"/>
        <v>CH</v>
      </c>
      <c r="D1876" t="s">
        <v>2106</v>
      </c>
      <c r="E1876" t="str">
        <f t="shared" si="1896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0.3414854681706227</v>
      </c>
      <c r="H1876" s="1" cm="1">
        <f t="array" ref="H1876">SUMPRODUCT(([1]OUT_FinalEnergyCons!$B$4:$B$10000="Var_cap")*1,  (ISNUMBER(SEARCH("ITOT-SWHWOD*BR",[1]OUT_FinalEnergyCons!$A$4:$A$10000)))*1,[1]OUT_FinalEnergyCons!F$4:F$10000)</f>
        <v>0.34148869623416606</v>
      </c>
      <c r="I1876" s="1" cm="1">
        <f t="array" ref="I1876">SUMPRODUCT(([1]OUT_FinalEnergyCons!$B$4:$B$10000="Var_cap")*1,  (ISNUMBER(SEARCH("ITOT-SWHWOD*BR",[1]OUT_FinalEnergyCons!$A$4:$A$10000)))*1,[1]OUT_FinalEnergyCons!G$4:G$10000)</f>
        <v>0.34140854971334128</v>
      </c>
      <c r="J1876" s="1" cm="1">
        <f t="array" ref="J1876">SUMPRODUCT(([2]OUT_FinalEnergyCons!$B$4:$B$10000="Var_cap")*1,  (ISNUMBER(SEARCH("ITOT-SWHWOD*BR",[2]OUT_FinalEnergyCons!$A$4:$A$10000)))*1,[2]OUT_FinalEnergyCons!H$4:H$10000)</f>
        <v>0.37474189143189057</v>
      </c>
      <c r="K1876" s="1" cm="1">
        <f t="array" ref="K1876">SUMPRODUCT(([2]OUT_FinalEnergyCons!$B$4:$B$10000="Var_cap")*1,  (ISNUMBER(SEARCH("ITOT-SWHWOD*BR",[2]OUT_FinalEnergyCons!$A$4:$A$10000)))*1,[2]OUT_FinalEnergyCons!I$4:I$10000)</f>
        <v>0.41670598564261002</v>
      </c>
      <c r="L1876" s="1" cm="1">
        <f t="array" ref="L1876">SUMPRODUCT(([2]OUT_FinalEnergyCons!$B$4:$B$10000="Var_cap")*1,  (ISNUMBER(SEARCH("ITOT-SWHWOD*BR",[2]OUT_FinalEnergyCons!$A$4:$A$10000)))*1,[2]OUT_FinalEnergyCons!J$4:J$10000)</f>
        <v>0.48839312377197525</v>
      </c>
      <c r="N1876" s="1"/>
    </row>
    <row r="1877" spans="2:14" x14ac:dyDescent="0.35">
      <c r="B1877" s="5" t="str">
        <f t="shared" si="1991"/>
        <v>SPS1</v>
      </c>
      <c r="C1877" s="5" t="str">
        <f t="shared" si="1992"/>
        <v>CH</v>
      </c>
      <c r="D1877" t="s">
        <v>2107</v>
      </c>
      <c r="E1877" t="str">
        <f t="shared" si="1896"/>
        <v>GWth/yr.</v>
      </c>
      <c r="F1877" s="1">
        <f>F1878</f>
        <v>2.9860759506449799E-2</v>
      </c>
      <c r="G1877" s="1">
        <f t="shared" ref="G1877:L1877" si="1997">G1878</f>
        <v>3.8038457207903387E-2</v>
      </c>
      <c r="H1877" s="1">
        <f t="shared" si="1997"/>
        <v>3.8071170053019805E-2</v>
      </c>
      <c r="I1877" s="1">
        <f t="shared" si="1997"/>
        <v>3.8050179719926282E-2</v>
      </c>
      <c r="J1877" s="1">
        <f t="shared" si="1997"/>
        <v>3.1458495478360882E-2</v>
      </c>
      <c r="K1877" s="1">
        <f t="shared" si="1997"/>
        <v>3.7580460063589942E-2</v>
      </c>
      <c r="L1877" s="1">
        <f t="shared" si="1997"/>
        <v>3.3424285268301906E-2</v>
      </c>
      <c r="N1877" s="1"/>
    </row>
    <row r="1878" spans="2:14" x14ac:dyDescent="0.35">
      <c r="B1878" s="5" t="str">
        <f t="shared" si="1991"/>
        <v>SPS1</v>
      </c>
      <c r="C1878" s="5" t="str">
        <f t="shared" si="1992"/>
        <v>CH</v>
      </c>
      <c r="D1878" t="s">
        <v>2108</v>
      </c>
      <c r="E1878" t="str">
        <f t="shared" si="1896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3.8038457207903387E-2</v>
      </c>
      <c r="H1878" s="1" cm="1">
        <f t="array" ref="H1878">SUMPRODUCT(([1]OUT_FinalEnergyCons!$B$4:$B$10000="Var_cap")*1,  (ISNUMBER(SEARCH("ITOT-SWHPLT*BR",[1]OUT_FinalEnergyCons!$A$4:$A$10000)))*1,[1]OUT_FinalEnergyCons!F$4:F$10000)</f>
        <v>3.8071170053019805E-2</v>
      </c>
      <c r="I1878" s="1" cm="1">
        <f t="array" ref="I1878">SUMPRODUCT(([1]OUT_FinalEnergyCons!$B$4:$B$10000="Var_cap")*1,  (ISNUMBER(SEARCH("ITOT-SWHPLT*BR",[1]OUT_FinalEnergyCons!$A$4:$A$10000)))*1,[1]OUT_FinalEnergyCons!G$4:G$10000)</f>
        <v>3.8050179719926282E-2</v>
      </c>
      <c r="J1878" s="1" cm="1">
        <f t="array" ref="J1878">SUMPRODUCT(([2]OUT_FinalEnergyCons!$B$4:$B$10000="Var_cap")*1,  (ISNUMBER(SEARCH("ITOT-SWHPLT*BR",[2]OUT_FinalEnergyCons!$A$4:$A$10000)))*1,[2]OUT_FinalEnergyCons!H$4:H$10000)</f>
        <v>3.1458495478360882E-2</v>
      </c>
      <c r="K1878" s="1" cm="1">
        <f t="array" ref="K1878">SUMPRODUCT(([2]OUT_FinalEnergyCons!$B$4:$B$10000="Var_cap")*1,  (ISNUMBER(SEARCH("ITOT-SWHPLT*BR",[2]OUT_FinalEnergyCons!$A$4:$A$10000)))*1,[2]OUT_FinalEnergyCons!I$4:I$10000)</f>
        <v>3.7580460063589942E-2</v>
      </c>
      <c r="L1878" s="1" cm="1">
        <f t="array" ref="L1878">SUMPRODUCT(([2]OUT_FinalEnergyCons!$B$4:$B$10000="Var_cap")*1,  (ISNUMBER(SEARCH("ITOT-SWHPLT*BR",[2]OUT_FinalEnergyCons!$A$4:$A$10000)))*1,[2]OUT_FinalEnergyCons!J$4:J$10000)</f>
        <v>3.3424285268301906E-2</v>
      </c>
      <c r="N1878" s="1"/>
    </row>
    <row r="1879" spans="2:14" x14ac:dyDescent="0.35">
      <c r="B1879" s="5" t="str">
        <f t="shared" si="1991"/>
        <v>SPS1</v>
      </c>
      <c r="C1879" s="5" t="str">
        <f t="shared" si="1992"/>
        <v>CH</v>
      </c>
      <c r="D1879" t="s">
        <v>2109</v>
      </c>
      <c r="E1879" t="str">
        <f t="shared" si="1896"/>
        <v>GWth/yr.</v>
      </c>
      <c r="F1879" s="1">
        <f>F1880</f>
        <v>0.35954682816669398</v>
      </c>
      <c r="G1879" s="1">
        <f t="shared" ref="G1879:L1879" si="1998">G1880</f>
        <v>0.35953171187081651</v>
      </c>
      <c r="H1879" s="1">
        <f t="shared" si="1998"/>
        <v>0.35954795364291314</v>
      </c>
      <c r="I1879" s="1">
        <f t="shared" si="1998"/>
        <v>0.35950507365335432</v>
      </c>
      <c r="J1879" s="1">
        <f t="shared" si="1998"/>
        <v>0.33182522387004115</v>
      </c>
      <c r="K1879" s="1">
        <f t="shared" si="1998"/>
        <v>0.35112518214746846</v>
      </c>
      <c r="L1879" s="1">
        <f t="shared" si="1998"/>
        <v>0.20779744223084121</v>
      </c>
      <c r="N1879" s="1"/>
    </row>
    <row r="1880" spans="2:14" x14ac:dyDescent="0.35">
      <c r="B1880" s="5" t="str">
        <f t="shared" si="1991"/>
        <v>SPS1</v>
      </c>
      <c r="C1880" s="5" t="str">
        <f t="shared" si="1992"/>
        <v>CH</v>
      </c>
      <c r="D1880" t="s">
        <v>2110</v>
      </c>
      <c r="E1880" t="str">
        <f t="shared" si="1896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0.35953171187081651</v>
      </c>
      <c r="H1880" s="1" cm="1">
        <f t="array" ref="H1880">SUMPRODUCT(([1]OUT_FinalEnergyCons!$B$4:$B$10000="Var_cap")*1,  (ISNUMBER(SEARCH("ITOT-SWHWST*BR",[1]OUT_FinalEnergyCons!$A$4:$A$10000)))*1,[1]OUT_FinalEnergyCons!F$4:F$10000)</f>
        <v>0.35954795364291314</v>
      </c>
      <c r="I1880" s="1" cm="1">
        <f t="array" ref="I1880">SUMPRODUCT(([1]OUT_FinalEnergyCons!$B$4:$B$10000="Var_cap")*1,  (ISNUMBER(SEARCH("ITOT-SWHWST*BR",[1]OUT_FinalEnergyCons!$A$4:$A$10000)))*1,[1]OUT_FinalEnergyCons!G$4:G$10000)</f>
        <v>0.35950507365335432</v>
      </c>
      <c r="J1880" s="1" cm="1">
        <f t="array" ref="J1880">SUMPRODUCT(([2]OUT_FinalEnergyCons!$B$4:$B$10000="Var_cap")*1,  (ISNUMBER(SEARCH("ITOT-SWHWST*BR",[2]OUT_FinalEnergyCons!$A$4:$A$10000)))*1,[2]OUT_FinalEnergyCons!H$4:H$10000)</f>
        <v>0.33182522387004115</v>
      </c>
      <c r="K1880" s="1" cm="1">
        <f t="array" ref="K1880">SUMPRODUCT(([2]OUT_FinalEnergyCons!$B$4:$B$10000="Var_cap")*1,  (ISNUMBER(SEARCH("ITOT-SWHWST*BR",[2]OUT_FinalEnergyCons!$A$4:$A$10000)))*1,[2]OUT_FinalEnergyCons!I$4:I$10000)</f>
        <v>0.35112518214746846</v>
      </c>
      <c r="L1880" s="1" cm="1">
        <f t="array" ref="L1880">SUMPRODUCT(([2]OUT_FinalEnergyCons!$B$4:$B$10000="Var_cap")*1,  (ISNUMBER(SEARCH("ITOT-SWHWST*BR",[2]OUT_FinalEnergyCons!$A$4:$A$10000)))*1,[2]OUT_FinalEnergyCons!J$4:J$10000)</f>
        <v>0.20779744223084121</v>
      </c>
      <c r="N1880" s="1"/>
    </row>
    <row r="1881" spans="2:14" x14ac:dyDescent="0.35">
      <c r="B1881" s="5" t="str">
        <f t="shared" si="1991"/>
        <v>SPS1</v>
      </c>
      <c r="C1881" s="5" t="str">
        <f t="shared" si="1992"/>
        <v>CH</v>
      </c>
      <c r="D1881" t="s">
        <v>2111</v>
      </c>
      <c r="E1881" t="str">
        <f t="shared" si="1896"/>
        <v>GWth/yr.</v>
      </c>
      <c r="F1881" s="1">
        <f>F1882</f>
        <v>9.8214799778629808E-3</v>
      </c>
      <c r="G1881" s="1">
        <f t="shared" ref="G1881:L1881" si="1999">G1882</f>
        <v>6.5715960278618687E-2</v>
      </c>
      <c r="H1881" s="1">
        <f t="shared" si="1999"/>
        <v>6.571610238834108E-2</v>
      </c>
      <c r="I1881" s="1">
        <f t="shared" si="1999"/>
        <v>6.571629942470178E-2</v>
      </c>
      <c r="J1881" s="1">
        <f t="shared" si="1999"/>
        <v>2.8380804975112382E-2</v>
      </c>
      <c r="K1881" s="1">
        <f t="shared" si="1999"/>
        <v>2.8379881147098399E-2</v>
      </c>
      <c r="L1881" s="1">
        <f t="shared" si="1999"/>
        <v>2.8379390207984901E-2</v>
      </c>
      <c r="N1881" s="1"/>
    </row>
    <row r="1882" spans="2:14" x14ac:dyDescent="0.35">
      <c r="B1882" s="5" t="str">
        <f t="shared" si="1991"/>
        <v>SPS1</v>
      </c>
      <c r="C1882" s="5" t="str">
        <f t="shared" si="1992"/>
        <v>CH</v>
      </c>
      <c r="D1882" t="s">
        <v>2112</v>
      </c>
      <c r="E1882" t="str">
        <f t="shared" si="1896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6.5715960278618687E-2</v>
      </c>
      <c r="H1882" s="1" cm="1">
        <f t="array" ref="H1882">SUMPRODUCT(([1]OUT_FinalEnergyCons!$B$4:$B$10000="Var_cap")*1, (ISNUMBER(SEARCH("ITOT-SWHSOLBR",[1]OUT_FinalEnergyCons!$A$4:$A$10000)))*1,[1]OUT_FinalEnergyCons!F$4:F$10000)</f>
        <v>6.571610238834108E-2</v>
      </c>
      <c r="I1882" s="1" cm="1">
        <f t="array" ref="I1882">SUMPRODUCT(([1]OUT_FinalEnergyCons!$B$4:$B$10000="Var_cap")*1, (ISNUMBER(SEARCH("ITOT-SWHSOLBR",[1]OUT_FinalEnergyCons!$A$4:$A$10000)))*1,[1]OUT_FinalEnergyCons!G$4:G$10000)</f>
        <v>6.571629942470178E-2</v>
      </c>
      <c r="J1882" s="1" cm="1">
        <f t="array" ref="J1882">SUMPRODUCT(([2]OUT_FinalEnergyCons!$B$4:$B$10000="Var_cap")*1, (ISNUMBER(SEARCH("ITOT-SWHSOLBR",[2]OUT_FinalEnergyCons!$A$4:$A$10000)))*1,[2]OUT_FinalEnergyCons!H$4:H$10000)</f>
        <v>2.8380804975112382E-2</v>
      </c>
      <c r="K1882" s="1" cm="1">
        <f t="array" ref="K1882">SUMPRODUCT(([2]OUT_FinalEnergyCons!$B$4:$B$10000="Var_cap")*1, (ISNUMBER(SEARCH("ITOT-SWHSOLBR",[2]OUT_FinalEnergyCons!$A$4:$A$10000)))*1,[2]OUT_FinalEnergyCons!I$4:I$10000)</f>
        <v>2.8379881147098399E-2</v>
      </c>
      <c r="L1882" s="1" cm="1">
        <f t="array" ref="L1882">SUMPRODUCT(([2]OUT_FinalEnergyCons!$B$4:$B$10000="Var_cap")*1, (ISNUMBER(SEARCH("ITOT-SWHSOLBR",[2]OUT_FinalEnergyCons!$A$4:$A$10000)))*1,[2]OUT_FinalEnergyCons!J$4:J$10000)</f>
        <v>2.8379390207984901E-2</v>
      </c>
      <c r="N1882" s="1"/>
    </row>
    <row r="1883" spans="2:14" x14ac:dyDescent="0.35">
      <c r="B1883" s="5" t="str">
        <f t="shared" si="1991"/>
        <v>SPS1</v>
      </c>
      <c r="C1883" s="5" t="str">
        <f t="shared" si="1992"/>
        <v>CH</v>
      </c>
      <c r="D1883" t="s">
        <v>2113</v>
      </c>
      <c r="E1883" t="str">
        <f t="shared" si="1896"/>
        <v>GWth/yr.</v>
      </c>
      <c r="F1883" s="1">
        <f>F1884</f>
        <v>0</v>
      </c>
      <c r="G1883" s="1">
        <f t="shared" ref="G1883:L1883" si="2000">G1884</f>
        <v>0</v>
      </c>
      <c r="H1883" s="1">
        <f t="shared" si="2000"/>
        <v>0</v>
      </c>
      <c r="I1883" s="1">
        <f t="shared" si="2000"/>
        <v>0</v>
      </c>
      <c r="J1883" s="1">
        <f t="shared" si="2000"/>
        <v>0.213525740042776</v>
      </c>
      <c r="K1883" s="1">
        <f t="shared" si="2000"/>
        <v>0.57329590787394746</v>
      </c>
      <c r="L1883" s="1">
        <f t="shared" si="2000"/>
        <v>0.56883324370599142</v>
      </c>
      <c r="N1883" s="1"/>
    </row>
    <row r="1884" spans="2:14" x14ac:dyDescent="0.35">
      <c r="B1884" s="5" t="str">
        <f t="shared" si="1991"/>
        <v>SPS1</v>
      </c>
      <c r="C1884" s="5" t="str">
        <f t="shared" si="1992"/>
        <v>CH</v>
      </c>
      <c r="D1884" t="s">
        <v>2114</v>
      </c>
      <c r="E1884" t="str">
        <f t="shared" si="1896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0.213525740042776</v>
      </c>
      <c r="K1884" s="1" cm="1">
        <f t="array" ref="K1884">SUMPRODUCT(([2]OUT_FinalEnergyCons!$B$4:$B$10000="Var_cap")*1, (ISNUMBER(SEARCH("ITOT-SWHH2BR",[2]OUT_FinalEnergyCons!$A$4:$A$10000)))*1,[2]OUT_FinalEnergyCons!I$4:I$10000)</f>
        <v>0.57329590787394746</v>
      </c>
      <c r="L1884" s="1" cm="1">
        <f t="array" ref="L1884">SUMPRODUCT(([2]OUT_FinalEnergyCons!$B$4:$B$10000="Var_cap")*1, (ISNUMBER(SEARCH("ITOT-SWHH2BR",[2]OUT_FinalEnergyCons!$A$4:$A$10000)))*1,[2]OUT_FinalEnergyCons!J$4:J$10000)</f>
        <v>0.56883324370599142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96"/>
        <v>GWth/yr.</v>
      </c>
      <c r="F1885" s="17">
        <f>SUM(F1886,F1889,F1891,F1895,F1897,F1899,F1901)</f>
        <v>6.1442638695108061</v>
      </c>
      <c r="G1885" s="17">
        <f t="shared" ref="G1885:K1885" si="2001">SUM(G1886,G1889,G1891,G1895,G1897,G1899,G1901)</f>
        <v>5.883241163999708</v>
      </c>
      <c r="H1885" s="17">
        <f t="shared" si="2001"/>
        <v>5.0032208327663916</v>
      </c>
      <c r="I1885" s="17">
        <f t="shared" si="2001"/>
        <v>5.7125061014515008</v>
      </c>
      <c r="J1885" s="17">
        <f t="shared" si="2001"/>
        <v>4.6633284427012986</v>
      </c>
      <c r="K1885" s="17">
        <f t="shared" si="2001"/>
        <v>4.7151823984867551</v>
      </c>
      <c r="L1885" s="17">
        <f t="shared" ref="L1885" si="2002">SUM(L1886,L1889,L1891,L1895,L1897,L1899,L1901)</f>
        <v>4.0560830389809848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96"/>
        <v>GWth/yr.</v>
      </c>
      <c r="F1886" s="1">
        <f>SUM(F1887:F1888)</f>
        <v>0.61560958944906208</v>
      </c>
      <c r="G1886" s="1">
        <f t="shared" ref="G1886:K1886" si="2003">SUM(G1887:G1888)</f>
        <v>0.50546784680340928</v>
      </c>
      <c r="H1886" s="1">
        <f t="shared" si="2003"/>
        <v>0.57332147542342238</v>
      </c>
      <c r="I1886" s="1">
        <f t="shared" si="2003"/>
        <v>1.1340569534571969</v>
      </c>
      <c r="J1886" s="1">
        <f t="shared" si="2003"/>
        <v>1.4204396427935242</v>
      </c>
      <c r="K1886" s="1">
        <f t="shared" si="2003"/>
        <v>1.8374770346809</v>
      </c>
      <c r="L1886" s="1">
        <f t="shared" ref="L1886" si="2004">SUM(L1887:L1888)</f>
        <v>1.7671238635429263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96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0.18499187982774637</v>
      </c>
      <c r="G1887" s="1" cm="1">
        <f t="array" ref="G1887">SUMPRODUCT(([1]OUT_FinalEnergyCons!$B$4:$B$10000="Var_cap")*1, (ISNUMBER(SEARCH("SCOM-SHELCBR",[1]OUT_FinalEnergyCons!$A$4:$A$10000)))*1,[1]OUT_FinalEnergyCons!E$4:E$10000)</f>
        <v>7.4850316466534839E-2</v>
      </c>
      <c r="H1887" s="1" cm="1">
        <f t="array" ref="H1887">SUMPRODUCT(([1]OUT_FinalEnergyCons!$B$4:$B$10000="Var_cap")*1, (ISNUMBER(SEARCH("SCOM-SHELCBR",[1]OUT_FinalEnergyCons!$A$4:$A$10000)))*1,[1]OUT_FinalEnergyCons!F$4:F$10000)</f>
        <v>7.277430475187846E-2</v>
      </c>
      <c r="I1887" s="1" cm="1">
        <f t="array" ref="I1887">SUMPRODUCT(([1]OUT_FinalEnergyCons!$B$4:$B$10000="Var_cap")*1, (ISNUMBER(SEARCH("SCOM-SHELCBR",[1]OUT_FinalEnergyCons!$A$4:$A$10000)))*1,[1]OUT_FinalEnergyCons!G$4:G$10000)</f>
        <v>4.1568785682431886E-2</v>
      </c>
      <c r="J1887" s="1" cm="1">
        <f t="array" ref="J1887">SUMPRODUCT(([2]OUT_FinalEnergyCons!$B$4:$B$10000="Var_cap")*1, (ISNUMBER(SEARCH("SCOM-SHELCBR",[2]OUT_FinalEnergyCons!$A$4:$A$10000)))*1,[2]OUT_FinalEnergyCons!H$4:H$10000)</f>
        <v>2.2518635320800298E-2</v>
      </c>
      <c r="K1887" s="1" cm="1">
        <f t="array" ref="K1887">SUMPRODUCT(([2]OUT_FinalEnergyCons!$B$4:$B$10000="Var_cap")*1, (ISNUMBER(SEARCH("SCOM-SHELCBR",[2]OUT_FinalEnergyCons!$A$4:$A$10000)))*1,[2]OUT_FinalEnergyCons!I$4:I$10000)</f>
        <v>2.3860066408102145E-2</v>
      </c>
      <c r="L1887" s="1" cm="1">
        <f t="array" ref="L1887">SUMPRODUCT(([2]OUT_FinalEnergyCons!$B$4:$B$10000="Var_cap")*1, (ISNUMBER(SEARCH("SCOM-SHELCBR",[2]OUT_FinalEnergyCons!$A$4:$A$10000)))*1,[2]OUT_FinalEnergyCons!J$4:J$10000)</f>
        <v>1.4057038598509885E-2</v>
      </c>
      <c r="N1887" s="1"/>
    </row>
    <row r="1888" spans="2:14" x14ac:dyDescent="0.35">
      <c r="B1888" s="5" t="str">
        <f t="shared" ref="B1888:C1888" si="2005">B1887</f>
        <v>SPS1</v>
      </c>
      <c r="C1888" s="5" t="str">
        <f t="shared" si="2005"/>
        <v>CH</v>
      </c>
      <c r="D1888" t="s">
        <v>1903</v>
      </c>
      <c r="E1888" t="str">
        <f t="shared" si="1896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0.43061770962131574</v>
      </c>
      <c r="G1888" s="1" cm="1">
        <f t="array" ref="G1888">SUMPRODUCT(([1]OUT_FinalEnergyCons!$B$4:$B$10000="Var_cap")*1, (ISNUMBER(SEARCH("SCOM-SHELCHP",[1]OUT_FinalEnergyCons!$A$4:$A$10000)))*1,[1]OUT_FinalEnergyCons!E$4:E$10000)</f>
        <v>0.4306175303368745</v>
      </c>
      <c r="H1888" s="1" cm="1">
        <f t="array" ref="H1888">SUMPRODUCT(([1]OUT_FinalEnergyCons!$B$4:$B$10000="Var_cap")*1, (ISNUMBER(SEARCH("SCOM-SHELCHP",[1]OUT_FinalEnergyCons!$A$4:$A$10000)))*1,[1]OUT_FinalEnergyCons!F$4:F$10000)</f>
        <v>0.50054717067154397</v>
      </c>
      <c r="I1888" s="1" cm="1">
        <f t="array" ref="I1888">SUMPRODUCT(([1]OUT_FinalEnergyCons!$B$4:$B$10000="Var_cap")*1, (ISNUMBER(SEARCH("SCOM-SHELCHP",[1]OUT_FinalEnergyCons!$A$4:$A$10000)))*1,[1]OUT_FinalEnergyCons!G$4:G$10000)</f>
        <v>1.0924881677747651</v>
      </c>
      <c r="J1888" s="1" cm="1">
        <f t="array" ref="J1888">SUMPRODUCT(([2]OUT_FinalEnergyCons!$B$4:$B$10000="Var_cap")*1, (ISNUMBER(SEARCH("SCOM-SHELCHP",[2]OUT_FinalEnergyCons!$A$4:$A$10000)))*1,[2]OUT_FinalEnergyCons!H$4:H$10000)</f>
        <v>1.397921007472724</v>
      </c>
      <c r="K1888" s="1" cm="1">
        <f t="array" ref="K1888">SUMPRODUCT(([2]OUT_FinalEnergyCons!$B$4:$B$10000="Var_cap")*1, (ISNUMBER(SEARCH("SCOM-SHELCHP",[2]OUT_FinalEnergyCons!$A$4:$A$10000)))*1,[2]OUT_FinalEnergyCons!I$4:I$10000)</f>
        <v>1.8136169682727978</v>
      </c>
      <c r="L1888" s="1" cm="1">
        <f t="array" ref="L1888">SUMPRODUCT(([2]OUT_FinalEnergyCons!$B$4:$B$10000="Var_cap")*1, (ISNUMBER(SEARCH("SCOM-SHELCHP",[2]OUT_FinalEnergyCons!$A$4:$A$10000)))*1,[2]OUT_FinalEnergyCons!J$4:J$10000)</f>
        <v>1.7530668249444163</v>
      </c>
      <c r="N1888" s="1"/>
    </row>
    <row r="1889" spans="2:14" x14ac:dyDescent="0.35">
      <c r="B1889" s="5" t="str">
        <f t="shared" ref="B1889:C1889" si="2006">B1888</f>
        <v>SPS1</v>
      </c>
      <c r="C1889" s="5" t="str">
        <f t="shared" si="2006"/>
        <v>CH</v>
      </c>
      <c r="D1889" t="s">
        <v>1904</v>
      </c>
      <c r="E1889" t="str">
        <f t="shared" si="1896"/>
        <v>GWth/yr.</v>
      </c>
      <c r="F1889" s="1">
        <f>F1890</f>
        <v>1.9285759813647012</v>
      </c>
      <c r="G1889" s="1">
        <f t="shared" ref="G1889:L1889" si="2007">G1890</f>
        <v>1.6677321677131136</v>
      </c>
      <c r="H1889" s="1">
        <f t="shared" si="2007"/>
        <v>1.5781049545347885</v>
      </c>
      <c r="I1889" s="1">
        <f t="shared" si="2007"/>
        <v>1.5778741926932058</v>
      </c>
      <c r="J1889" s="1">
        <f t="shared" si="2007"/>
        <v>0.59940668324022872</v>
      </c>
      <c r="K1889" s="1">
        <f t="shared" si="2007"/>
        <v>0.18857604711550832</v>
      </c>
      <c r="L1889" s="1">
        <f t="shared" si="2007"/>
        <v>2.4369521245094797E-2</v>
      </c>
      <c r="N1889" s="1"/>
    </row>
    <row r="1890" spans="2:14" x14ac:dyDescent="0.35">
      <c r="B1890" s="5" t="str">
        <f t="shared" ref="B1890:C1890" si="2008">B1889</f>
        <v>SPS1</v>
      </c>
      <c r="C1890" s="5" t="str">
        <f t="shared" si="2008"/>
        <v>CH</v>
      </c>
      <c r="D1890" t="s">
        <v>1905</v>
      </c>
      <c r="E1890" t="str">
        <f t="shared" ref="E1890:E1902" si="2009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1.9285759813647012</v>
      </c>
      <c r="G1890" s="1" cm="1">
        <f t="array" ref="G1890">SUMPRODUCT(([1]OUT_FinalEnergyCons!$B$4:$B$10000="Var_cap")*1,(ISNUMBER(SEARCH("SCOM-SHLFOBR",[1]OUT_FinalEnergyCons!$A$4:$A$10000)))*1,[1]OUT_FinalEnergyCons!E$4:E$10000)</f>
        <v>1.6677321677131136</v>
      </c>
      <c r="H1890" s="1" cm="1">
        <f t="array" ref="H1890">SUMPRODUCT(([1]OUT_FinalEnergyCons!$B$4:$B$10000="Var_cap")*1,(ISNUMBER(SEARCH("SCOM-SHLFOBR",[1]OUT_FinalEnergyCons!$A$4:$A$10000)))*1,[1]OUT_FinalEnergyCons!F$4:F$10000)</f>
        <v>1.5781049545347885</v>
      </c>
      <c r="I1890" s="1" cm="1">
        <f t="array" ref="I1890">SUMPRODUCT(([1]OUT_FinalEnergyCons!$B$4:$B$10000="Var_cap")*1,(ISNUMBER(SEARCH("SCOM-SHLFOBR",[1]OUT_FinalEnergyCons!$A$4:$A$10000)))*1,[1]OUT_FinalEnergyCons!G$4:G$10000)</f>
        <v>1.5778741926932058</v>
      </c>
      <c r="J1890" s="1" cm="1">
        <f t="array" ref="J1890">SUMPRODUCT(([2]OUT_FinalEnergyCons!$B$4:$B$10000="Var_cap")*1,(ISNUMBER(SEARCH("SCOM-SHLFOBR",[2]OUT_FinalEnergyCons!$A$4:$A$10000)))*1,[2]OUT_FinalEnergyCons!H$4:H$10000)</f>
        <v>0.59940668324022872</v>
      </c>
      <c r="K1890" s="1" cm="1">
        <f t="array" ref="K1890">SUMPRODUCT(([2]OUT_FinalEnergyCons!$B$4:$B$10000="Var_cap")*1,(ISNUMBER(SEARCH("SCOM-SHLFOBR",[2]OUT_FinalEnergyCons!$A$4:$A$10000)))*1,[2]OUT_FinalEnergyCons!I$4:I$10000)</f>
        <v>0.18857604711550832</v>
      </c>
      <c r="L1890" s="1" cm="1">
        <f t="array" ref="L1890">SUMPRODUCT(([2]OUT_FinalEnergyCons!$B$4:$B$10000="Var_cap")*1,(ISNUMBER(SEARCH("SCOM-SHLFOBR",[2]OUT_FinalEnergyCons!$A$4:$A$10000)))*1,[2]OUT_FinalEnergyCons!J$4:J$10000)</f>
        <v>2.4369521245094797E-2</v>
      </c>
      <c r="N1890" s="1"/>
    </row>
    <row r="1891" spans="2:14" x14ac:dyDescent="0.35">
      <c r="B1891" s="5" t="str">
        <f t="shared" ref="B1891:C1891" si="2010">B1890</f>
        <v>SPS1</v>
      </c>
      <c r="C1891" s="5" t="str">
        <f t="shared" si="2010"/>
        <v>CH</v>
      </c>
      <c r="D1891" t="s">
        <v>1906</v>
      </c>
      <c r="E1891" t="str">
        <f t="shared" si="2009"/>
        <v>GWth/yr.</v>
      </c>
      <c r="F1891" s="1">
        <f>SUM(F1892:F1894)</f>
        <v>2.8800247530935192</v>
      </c>
      <c r="G1891" s="1">
        <f t="shared" ref="G1891:K1891" si="2011">SUM(G1892:G1894)</f>
        <v>2.8797078466566326</v>
      </c>
      <c r="H1891" s="1">
        <f t="shared" si="2011"/>
        <v>2.2338518732550723</v>
      </c>
      <c r="I1891" s="1">
        <f t="shared" si="2011"/>
        <v>2.3640898500047589</v>
      </c>
      <c r="J1891" s="1">
        <f t="shared" si="2011"/>
        <v>1.175771644545327</v>
      </c>
      <c r="K1891" s="1">
        <f t="shared" si="2011"/>
        <v>0.71930404003191006</v>
      </c>
      <c r="L1891" s="1">
        <f t="shared" ref="L1891" si="2012">SUM(L1892:L1894)</f>
        <v>0.50980705379635383</v>
      </c>
      <c r="N1891" s="1"/>
    </row>
    <row r="1892" spans="2:14" x14ac:dyDescent="0.35">
      <c r="B1892" s="5" t="str">
        <f t="shared" ref="B1892:C1892" si="2013">B1891</f>
        <v>SPS1</v>
      </c>
      <c r="C1892" s="5" t="str">
        <f t="shared" si="2013"/>
        <v>CH</v>
      </c>
      <c r="D1892" t="s">
        <v>1907</v>
      </c>
      <c r="E1892" t="str">
        <f t="shared" si="2009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2.7746818140478657</v>
      </c>
      <c r="G1892" s="1" cm="1">
        <f t="array" ref="G1892">SUMPRODUCT(([1]OUT_FinalEnergyCons!$B$4:$B$10000="Var_cap")*1, (ISNUMBER(SEARCH("SCOM-SHNGABR",[1]OUT_FinalEnergyCons!$A$4:$A$10000)))*1,[1]OUT_FinalEnergyCons!E$4:E$10000)</f>
        <v>2.774263796548194</v>
      </c>
      <c r="H1892" s="1" cm="1">
        <f t="array" ref="H1892">SUMPRODUCT(([1]OUT_FinalEnergyCons!$B$4:$B$10000="Var_cap")*1, (ISNUMBER(SEARCH("SCOM-SHNGABR",[1]OUT_FinalEnergyCons!$A$4:$A$10000)))*1,[1]OUT_FinalEnergyCons!F$4:F$10000)</f>
        <v>1.9526431191153266</v>
      </c>
      <c r="I1892" s="1" cm="1">
        <f t="array" ref="I1892">SUMPRODUCT(([1]OUT_FinalEnergyCons!$B$4:$B$10000="Var_cap")*1, (ISNUMBER(SEARCH("SCOM-SHNGABR",[1]OUT_FinalEnergyCons!$A$4:$A$10000)))*1,[1]OUT_FinalEnergyCons!G$4:G$10000)</f>
        <v>1.9524980270232954</v>
      </c>
      <c r="J1892" s="1" cm="1">
        <f t="array" ref="J1892">SUMPRODUCT(([2]OUT_FinalEnergyCons!$B$4:$B$10000="Var_cap")*1, (ISNUMBER(SEARCH("SCOM-SHNGABR",[2]OUT_FinalEnergyCons!$A$4:$A$10000)))*1,[2]OUT_FinalEnergyCons!H$4:H$10000)</f>
        <v>0.76939845014429797</v>
      </c>
      <c r="K1892" s="1" cm="1">
        <f t="array" ref="K1892">SUMPRODUCT(([2]OUT_FinalEnergyCons!$B$4:$B$10000="Var_cap")*1, (ISNUMBER(SEARCH("SCOM-SHNGABR",[2]OUT_FinalEnergyCons!$A$4:$A$10000)))*1,[2]OUT_FinalEnergyCons!I$4:I$10000)</f>
        <v>0.26282501140674269</v>
      </c>
      <c r="L1892" s="1" cm="1">
        <f t="array" ref="L1892">SUMPRODUCT(([2]OUT_FinalEnergyCons!$B$4:$B$10000="Var_cap")*1, (ISNUMBER(SEARCH("SCOM-SHNGABR",[2]OUT_FinalEnergyCons!$A$4:$A$10000)))*1,[2]OUT_FinalEnergyCons!J$4:J$10000)</f>
        <v>0.11117876161735064</v>
      </c>
      <c r="N1892" s="1"/>
    </row>
    <row r="1893" spans="2:14" x14ac:dyDescent="0.35">
      <c r="B1893" s="5" t="str">
        <f t="shared" ref="B1893:C1893" si="2014">B1892</f>
        <v>SPS1</v>
      </c>
      <c r="C1893" s="5" t="str">
        <f t="shared" si="2014"/>
        <v>CH</v>
      </c>
      <c r="D1893" t="s">
        <v>1908</v>
      </c>
      <c r="E1893" t="str">
        <f t="shared" si="2009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8.4581462926904301E-7</v>
      </c>
      <c r="G1893" s="1" cm="1">
        <f t="array" ref="G1893">SUMPRODUCT(([1]OUT_FinalEnergyCons!$B$4:$B$10000="Var_cap")*1, (ISNUMBER(SEARCH("SCOM-SHngahp",[1]OUT_FinalEnergyCons!$A$4:$A$10000)))*1,[1]OUT_FinalEnergyCons!E$4:E$10000)</f>
        <v>9.3517901470614511E-5</v>
      </c>
      <c r="H1893" s="1" cm="1">
        <f t="array" ref="H1893">SUMPRODUCT(([1]OUT_FinalEnergyCons!$B$4:$B$10000="Var_cap")*1, (ISNUMBER(SEARCH("SCOM-SHngahp",[1]OUT_FinalEnergyCons!$A$4:$A$10000)))*1,[1]OUT_FinalEnergyCons!F$4:F$10000)</f>
        <v>0.17592292456999564</v>
      </c>
      <c r="I1893" s="1" cm="1">
        <f t="array" ref="I1893">SUMPRODUCT(([1]OUT_FinalEnergyCons!$B$4:$B$10000="Var_cap")*1, (ISNUMBER(SEARCH("SCOM-SHngahp",[1]OUT_FinalEnergyCons!$A$4:$A$10000)))*1,[1]OUT_FinalEnergyCons!G$4:G$10000)</f>
        <v>0.30632242851423686</v>
      </c>
      <c r="J1893" s="1" cm="1">
        <f t="array" ref="J1893">SUMPRODUCT(([2]OUT_FinalEnergyCons!$B$4:$B$10000="Var_cap")*1, (ISNUMBER(SEARCH("SCOM-SHngahp",[2]OUT_FinalEnergyCons!$A$4:$A$10000)))*1,[2]OUT_FinalEnergyCons!H$4:H$10000)</f>
        <v>0.37900937639772497</v>
      </c>
      <c r="K1893" s="1" cm="1">
        <f t="array" ref="K1893">SUMPRODUCT(([2]OUT_FinalEnergyCons!$B$4:$B$10000="Var_cap")*1, (ISNUMBER(SEARCH("SCOM-SHngahp",[2]OUT_FinalEnergyCons!$A$4:$A$10000)))*1,[2]OUT_FinalEnergyCons!I$4:I$10000)</f>
        <v>0.45634973882737301</v>
      </c>
      <c r="L1893" s="1" cm="1">
        <f t="array" ref="L1893">SUMPRODUCT(([2]OUT_FinalEnergyCons!$B$4:$B$10000="Var_cap")*1, (ISNUMBER(SEARCH("SCOM-SHngahp",[2]OUT_FinalEnergyCons!$A$4:$A$10000)))*1,[2]OUT_FinalEnergyCons!J$4:J$10000)</f>
        <v>0.39852047483220304</v>
      </c>
      <c r="N1893" s="1"/>
    </row>
    <row r="1894" spans="2:14" x14ac:dyDescent="0.35">
      <c r="B1894" s="5" t="str">
        <f t="shared" ref="B1894:C1894" si="2015">B1893</f>
        <v>SPS1</v>
      </c>
      <c r="C1894" s="5" t="str">
        <f t="shared" si="2015"/>
        <v>CH</v>
      </c>
      <c r="D1894" t="s">
        <v>1909</v>
      </c>
      <c r="E1894" t="str">
        <f t="shared" si="2009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0.10534209323102404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0.10535053220696793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0.10528582956975024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0.10526939446722683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2.7363818003304119E-2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1.2928979779440485E-4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1.0781734680005105E-4</v>
      </c>
      <c r="N1894" s="1"/>
    </row>
    <row r="1895" spans="2:14" x14ac:dyDescent="0.35">
      <c r="B1895" s="5" t="str">
        <f t="shared" ref="B1895:C1895" si="2016">B1894</f>
        <v>SPS1</v>
      </c>
      <c r="C1895" s="5" t="str">
        <f t="shared" si="2016"/>
        <v>CH</v>
      </c>
      <c r="D1895" t="s">
        <v>1910</v>
      </c>
      <c r="E1895" t="str">
        <f t="shared" si="2009"/>
        <v>GWth/yr.</v>
      </c>
      <c r="F1895" s="1">
        <f>F1896</f>
        <v>0.47844632982986174</v>
      </c>
      <c r="G1895" s="1">
        <f t="shared" ref="G1895:L1895" si="2017">G1896</f>
        <v>0.55558380824055642</v>
      </c>
      <c r="H1895" s="1">
        <f t="shared" si="2017"/>
        <v>0.4952321508968866</v>
      </c>
      <c r="I1895" s="1">
        <f t="shared" si="2017"/>
        <v>0.49517426367652456</v>
      </c>
      <c r="J1895" s="1">
        <f t="shared" si="2017"/>
        <v>0.32550054449977722</v>
      </c>
      <c r="K1895" s="1">
        <f t="shared" si="2017"/>
        <v>0.21461087817694022</v>
      </c>
      <c r="L1895" s="1">
        <f t="shared" si="2017"/>
        <v>0.10210969855485112</v>
      </c>
      <c r="N1895" s="1"/>
    </row>
    <row r="1896" spans="2:14" x14ac:dyDescent="0.35">
      <c r="B1896" s="5" t="str">
        <f t="shared" ref="B1896:C1896" si="2018">B1895</f>
        <v>SPS1</v>
      </c>
      <c r="C1896" s="5" t="str">
        <f t="shared" si="2018"/>
        <v>CH</v>
      </c>
      <c r="D1896" t="s">
        <v>1911</v>
      </c>
      <c r="E1896" t="str">
        <f t="shared" si="2009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0.47844632982986174</v>
      </c>
      <c r="G1896" s="1" cm="1">
        <f t="array" ref="G1896">SUMPRODUCT(([1]OUT_FinalEnergyCons!$B$4:$B$10000="Var_cap")*1, (ISNUMBER(SEARCH("SCOM-SHWODBR",[1]OUT_FinalEnergyCons!$A$4:$A$10000)))*1,[1]OUT_FinalEnergyCons!E$4:E$10000)</f>
        <v>0.55558380824055642</v>
      </c>
      <c r="H1896" s="1" cm="1">
        <f t="array" ref="H1896">SUMPRODUCT(([1]OUT_FinalEnergyCons!$B$4:$B$10000="Var_cap")*1, (ISNUMBER(SEARCH("SCOM-SHWODBR",[1]OUT_FinalEnergyCons!$A$4:$A$10000)))*1,[1]OUT_FinalEnergyCons!F$4:F$10000)</f>
        <v>0.4952321508968866</v>
      </c>
      <c r="I1896" s="1" cm="1">
        <f t="array" ref="I1896">SUMPRODUCT(([1]OUT_FinalEnergyCons!$B$4:$B$10000="Var_cap")*1, (ISNUMBER(SEARCH("SCOM-SHWODBR",[1]OUT_FinalEnergyCons!$A$4:$A$10000)))*1,[1]OUT_FinalEnergyCons!G$4:G$10000)</f>
        <v>0.49517426367652456</v>
      </c>
      <c r="J1896" s="1" cm="1">
        <f t="array" ref="J1896">SUMPRODUCT(([2]OUT_FinalEnergyCons!$B$4:$B$10000="Var_cap")*1, (ISNUMBER(SEARCH("SCOM-SHWODBR",[2]OUT_FinalEnergyCons!$A$4:$A$10000)))*1,[2]OUT_FinalEnergyCons!H$4:H$10000)</f>
        <v>0.32550054449977722</v>
      </c>
      <c r="K1896" s="1" cm="1">
        <f t="array" ref="K1896">SUMPRODUCT(([2]OUT_FinalEnergyCons!$B$4:$B$10000="Var_cap")*1, (ISNUMBER(SEARCH("SCOM-SHWODBR",[2]OUT_FinalEnergyCons!$A$4:$A$10000)))*1,[2]OUT_FinalEnergyCons!I$4:I$10000)</f>
        <v>0.21461087817694022</v>
      </c>
      <c r="L1896" s="1" cm="1">
        <f t="array" ref="L1896">SUMPRODUCT(([2]OUT_FinalEnergyCons!$B$4:$B$10000="Var_cap")*1, (ISNUMBER(SEARCH("SCOM-SHWODBR",[2]OUT_FinalEnergyCons!$A$4:$A$10000)))*1,[2]OUT_FinalEnergyCons!J$4:J$10000)</f>
        <v>0.10210969855485112</v>
      </c>
      <c r="N1896" s="1"/>
    </row>
    <row r="1897" spans="2:14" x14ac:dyDescent="0.35">
      <c r="B1897" s="5" t="str">
        <f t="shared" ref="B1897:C1897" si="2019">B1896</f>
        <v>SPS1</v>
      </c>
      <c r="C1897" s="5" t="str">
        <f t="shared" si="2019"/>
        <v>CH</v>
      </c>
      <c r="D1897" t="s">
        <v>1912</v>
      </c>
      <c r="E1897" t="str">
        <f t="shared" si="2009"/>
        <v>GWth/yr.</v>
      </c>
      <c r="F1897" s="1">
        <f>F1898</f>
        <v>0.15051554597503466</v>
      </c>
      <c r="G1897" s="1">
        <f t="shared" ref="G1897:L1897" si="2020">G1898</f>
        <v>0.17488244747131049</v>
      </c>
      <c r="H1897" s="1">
        <f t="shared" si="2020"/>
        <v>2.2841993253634618E-2</v>
      </c>
      <c r="I1897" s="1">
        <f t="shared" si="2020"/>
        <v>2.2771598572656732E-2</v>
      </c>
      <c r="J1897" s="1">
        <f t="shared" si="2020"/>
        <v>1.4875214842683206E-2</v>
      </c>
      <c r="K1897" s="1">
        <f t="shared" si="2020"/>
        <v>6.5209956947142175E-3</v>
      </c>
      <c r="L1897" s="1">
        <f t="shared" si="2020"/>
        <v>3.8284028449724261E-3</v>
      </c>
      <c r="N1897" s="1"/>
    </row>
    <row r="1898" spans="2:14" x14ac:dyDescent="0.35">
      <c r="B1898" s="5" t="str">
        <f t="shared" ref="B1898:C1898" si="2021">B1897</f>
        <v>SPS1</v>
      </c>
      <c r="C1898" s="5" t="str">
        <f t="shared" si="2021"/>
        <v>CH</v>
      </c>
      <c r="D1898" t="s">
        <v>1913</v>
      </c>
      <c r="E1898" t="str">
        <f t="shared" si="2009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0.15051554597503466</v>
      </c>
      <c r="G1898" s="1" cm="1">
        <f t="array" ref="G1898">SUMPRODUCT(([1]OUT_FinalEnergyCons!$B$4:$B$10000="Var_cap")*1,(ISNUMBER(SEARCH("SCOM-SHPLTBR",[1]OUT_FinalEnergyCons!$A$4:$A$10000)))*1,[1]OUT_FinalEnergyCons!E$4:E$10000)</f>
        <v>0.17488244747131049</v>
      </c>
      <c r="H1898" s="1" cm="1">
        <f t="array" ref="H1898">SUMPRODUCT(([1]OUT_FinalEnergyCons!$B$4:$B$10000="Var_cap")*1,(ISNUMBER(SEARCH("SCOM-SHPLTBR",[1]OUT_FinalEnergyCons!$A$4:$A$10000)))*1,[1]OUT_FinalEnergyCons!F$4:F$10000)</f>
        <v>2.2841993253634618E-2</v>
      </c>
      <c r="I1898" s="1" cm="1">
        <f t="array" ref="I1898">SUMPRODUCT(([1]OUT_FinalEnergyCons!$B$4:$B$10000="Var_cap")*1,(ISNUMBER(SEARCH("SCOM-SHPLTBR",[1]OUT_FinalEnergyCons!$A$4:$A$10000)))*1,[1]OUT_FinalEnergyCons!G$4:G$10000)</f>
        <v>2.2771598572656732E-2</v>
      </c>
      <c r="J1898" s="1" cm="1">
        <f t="array" ref="J1898">SUMPRODUCT(([2]OUT_FinalEnergyCons!$B$4:$B$10000="Var_cap")*1,(ISNUMBER(SEARCH("SCOM-SHPLTBR",[2]OUT_FinalEnergyCons!$A$4:$A$10000)))*1,[2]OUT_FinalEnergyCons!H$4:H$10000)</f>
        <v>1.4875214842683206E-2</v>
      </c>
      <c r="K1898" s="1" cm="1">
        <f t="array" ref="K1898">SUMPRODUCT(([2]OUT_FinalEnergyCons!$B$4:$B$10000="Var_cap")*1,(ISNUMBER(SEARCH("SCOM-SHPLTBR",[2]OUT_FinalEnergyCons!$A$4:$A$10000)))*1,[2]OUT_FinalEnergyCons!I$4:I$10000)</f>
        <v>6.5209956947142175E-3</v>
      </c>
      <c r="L1898" s="1" cm="1">
        <f t="array" ref="L1898">SUMPRODUCT(([2]OUT_FinalEnergyCons!$B$4:$B$10000="Var_cap")*1,(ISNUMBER(SEARCH("SCOM-SHPLTBR",[2]OUT_FinalEnergyCons!$A$4:$A$10000)))*1,[2]OUT_FinalEnergyCons!J$4:J$10000)</f>
        <v>3.8284028449724261E-3</v>
      </c>
      <c r="N1898" s="1"/>
    </row>
    <row r="1899" spans="2:14" x14ac:dyDescent="0.35">
      <c r="B1899" s="5" t="str">
        <f t="shared" ref="B1899:C1899" si="2022">B1898</f>
        <v>SPS1</v>
      </c>
      <c r="C1899" s="5" t="str">
        <f t="shared" si="2022"/>
        <v>CH</v>
      </c>
      <c r="D1899" t="s">
        <v>1914</v>
      </c>
      <c r="E1899" t="str">
        <f t="shared" si="2009"/>
        <v>GWth/yr.</v>
      </c>
      <c r="F1899" s="1">
        <f>F1900</f>
        <v>9.1091669798627831E-2</v>
      </c>
      <c r="G1899" s="1">
        <f t="shared" ref="G1899:L1899" si="2023">G1900</f>
        <v>9.9867047114685276E-2</v>
      </c>
      <c r="H1899" s="1">
        <f t="shared" si="2023"/>
        <v>9.9868385402586954E-2</v>
      </c>
      <c r="I1899" s="1">
        <f t="shared" si="2023"/>
        <v>0.118537612023297</v>
      </c>
      <c r="J1899" s="1">
        <f t="shared" si="2023"/>
        <v>0.13907709151225697</v>
      </c>
      <c r="K1899" s="1">
        <f t="shared" si="2023"/>
        <v>0.16537920303294118</v>
      </c>
      <c r="L1899" s="1">
        <f t="shared" si="2023"/>
        <v>0.18611150821829242</v>
      </c>
      <c r="N1899" s="1"/>
    </row>
    <row r="1900" spans="2:14" x14ac:dyDescent="0.35">
      <c r="B1900" s="5" t="str">
        <f t="shared" ref="B1900:C1900" si="2024">B1899</f>
        <v>SPS1</v>
      </c>
      <c r="C1900" s="5" t="str">
        <f t="shared" si="2024"/>
        <v>CH</v>
      </c>
      <c r="D1900" t="s">
        <v>1915</v>
      </c>
      <c r="E1900" t="str">
        <f t="shared" si="2009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9.1091669798627831E-2</v>
      </c>
      <c r="G1900" s="1" cm="1">
        <f t="array" ref="G1900">SUMPRODUCT(([1]OUT_FinalEnergyCons!$B$4:$B$10000="Var_cap")*1, (ISNUMBER(SEARCH("SCOM-SHSOLBR",[1]OUT_FinalEnergyCons!$A$4:$A$10000)))*1,[1]OUT_FinalEnergyCons!E$4:E$10000)</f>
        <v>9.9867047114685276E-2</v>
      </c>
      <c r="H1900" s="1" cm="1">
        <f t="array" ref="H1900">SUMPRODUCT(([1]OUT_FinalEnergyCons!$B$4:$B$10000="Var_cap")*1, (ISNUMBER(SEARCH("SCOM-SHSOLBR",[1]OUT_FinalEnergyCons!$A$4:$A$10000)))*1,[1]OUT_FinalEnergyCons!F$4:F$10000)</f>
        <v>9.9868385402586954E-2</v>
      </c>
      <c r="I1900" s="1" cm="1">
        <f t="array" ref="I1900">SUMPRODUCT(([1]OUT_FinalEnergyCons!$B$4:$B$10000="Var_cap")*1, (ISNUMBER(SEARCH("SCOM-SHSOLBR",[1]OUT_FinalEnergyCons!$A$4:$A$10000)))*1,[1]OUT_FinalEnergyCons!G$4:G$10000)</f>
        <v>0.118537612023297</v>
      </c>
      <c r="J1900" s="1" cm="1">
        <f t="array" ref="J1900">SUMPRODUCT(([2]OUT_FinalEnergyCons!$B$4:$B$10000="Var_cap")*1, (ISNUMBER(SEARCH("SCOM-SHSOLBR",[2]OUT_FinalEnergyCons!$A$4:$A$10000)))*1,[2]OUT_FinalEnergyCons!H$4:H$10000)</f>
        <v>0.13907709151225697</v>
      </c>
      <c r="K1900" s="1" cm="1">
        <f t="array" ref="K1900">SUMPRODUCT(([2]OUT_FinalEnergyCons!$B$4:$B$10000="Var_cap")*1, (ISNUMBER(SEARCH("SCOM-SHSOLBR",[2]OUT_FinalEnergyCons!$A$4:$A$10000)))*1,[2]OUT_FinalEnergyCons!I$4:I$10000)</f>
        <v>0.16537920303294118</v>
      </c>
      <c r="L1900" s="1" cm="1">
        <f t="array" ref="L1900">SUMPRODUCT(([2]OUT_FinalEnergyCons!$B$4:$B$10000="Var_cap")*1, (ISNUMBER(SEARCH("SCOM-SHSOLBR",[2]OUT_FinalEnergyCons!$A$4:$A$10000)))*1,[2]OUT_FinalEnergyCons!J$4:J$10000)</f>
        <v>0.18611150821829242</v>
      </c>
      <c r="N1900" s="1"/>
    </row>
    <row r="1901" spans="2:14" x14ac:dyDescent="0.35">
      <c r="B1901" s="5" t="str">
        <f t="shared" ref="B1901:C1901" si="2025">B1900</f>
        <v>SPS1</v>
      </c>
      <c r="C1901" s="5" t="str">
        <f t="shared" si="2025"/>
        <v>CH</v>
      </c>
      <c r="D1901" t="s">
        <v>1916</v>
      </c>
      <c r="E1901" t="str">
        <f t="shared" si="2009"/>
        <v>GWth/yr.</v>
      </c>
      <c r="F1901" s="1">
        <f>F1902</f>
        <v>0</v>
      </c>
      <c r="G1901" s="1">
        <f t="shared" ref="G1901:L1901" si="2026">G1902</f>
        <v>0</v>
      </c>
      <c r="H1901" s="1">
        <f t="shared" si="2026"/>
        <v>0</v>
      </c>
      <c r="I1901" s="1">
        <f t="shared" si="2026"/>
        <v>1.6310238609986699E-6</v>
      </c>
      <c r="J1901" s="1">
        <f t="shared" si="2026"/>
        <v>0.98825762126750105</v>
      </c>
      <c r="K1901" s="1">
        <f t="shared" si="2026"/>
        <v>1.5833141997538411</v>
      </c>
      <c r="L1901" s="1">
        <f t="shared" si="2026"/>
        <v>1.4627329907784934</v>
      </c>
      <c r="N1901" s="1"/>
    </row>
    <row r="1902" spans="2:14" x14ac:dyDescent="0.35">
      <c r="B1902" s="5" t="str">
        <f t="shared" ref="B1902:C1902" si="2027">B1901</f>
        <v>SPS1</v>
      </c>
      <c r="C1902" s="5" t="str">
        <f t="shared" si="2027"/>
        <v>CH</v>
      </c>
      <c r="D1902" t="s">
        <v>1917</v>
      </c>
      <c r="E1902" t="str">
        <f t="shared" si="2009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1.6310238609986699E-6</v>
      </c>
      <c r="J1902" s="1" cm="1">
        <f t="array" ref="J1902">SUMPRODUCT(([2]OUT_FinalEnergyCons!$B$4:$B$10000="Var_cap")*1, (ISNUMBER(SEARCH("SCOM-SHH2BR",[2]OUT_FinalEnergyCons!$A$4:$A$10000)))*1,[2]OUT_FinalEnergyCons!H$4:H$10000)</f>
        <v>0.98825762126750105</v>
      </c>
      <c r="K1902" s="1" cm="1">
        <f t="array" ref="K1902">SUMPRODUCT(([2]OUT_FinalEnergyCons!$B$4:$B$10000="Var_cap")*1, (ISNUMBER(SEARCH("SCOM-SHH2BR",[2]OUT_FinalEnergyCons!$A$4:$A$10000)))*1,[2]OUT_FinalEnergyCons!I$4:I$10000)</f>
        <v>1.5833141997538411</v>
      </c>
      <c r="L1902" s="1" cm="1">
        <f t="array" ref="L1902">SUMPRODUCT(([2]OUT_FinalEnergyCons!$B$4:$B$10000="Var_cap")*1, (ISNUMBER(SEARCH("SCOM-SHH2BR",[2]OUT_FinalEnergyCons!$A$4:$A$10000)))*1,[2]OUT_FinalEnergyCons!J$4:J$10000)</f>
        <v>1.4627329907784934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4.6765643966046859</v>
      </c>
      <c r="G1903" s="3">
        <f t="shared" ref="G1903:K1903" si="2028">SUM(G1904:G1953)</f>
        <v>4.8295957595849099</v>
      </c>
      <c r="H1903" s="3">
        <f t="shared" si="2028"/>
        <v>4.9059135052493863</v>
      </c>
      <c r="I1903" s="3">
        <f t="shared" si="2028"/>
        <v>5.2132781066790113</v>
      </c>
      <c r="J1903" s="3">
        <f t="shared" si="2028"/>
        <v>5.3802585289925604</v>
      </c>
      <c r="K1903" s="3">
        <f t="shared" si="2028"/>
        <v>5.5467208939303694</v>
      </c>
      <c r="L1903" s="3">
        <f t="shared" ref="L1903" si="2029">SUM(L1904:L1953)</f>
        <v>5.754145004769236</v>
      </c>
      <c r="N1903" s="1"/>
    </row>
    <row r="1904" spans="2:14" x14ac:dyDescent="0.35">
      <c r="B1904" s="5" t="str">
        <f t="shared" ref="B1904:B1953" si="2030">B1903</f>
        <v>SPS1</v>
      </c>
      <c r="C1904" s="5" t="str">
        <f t="shared" ref="C1904:C1953" si="2031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2.802538351141463E-2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1.4013312292387623E-2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0"/>
        <v>SPS1</v>
      </c>
      <c r="C1905" s="5" t="str">
        <f t="shared" si="2031"/>
        <v>CH</v>
      </c>
      <c r="D1905" t="s">
        <v>1922</v>
      </c>
      <c r="E1905" t="str">
        <f t="shared" ref="E1905:E1953" si="2032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1.5584877081077963E-3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2.4110888804706964E-3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2.837664327402276E-3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2.8445719015519014E-3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1.8004985029219916E-3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5.9967394600760873E-4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0.37196462927286483</v>
      </c>
      <c r="N1905" s="1"/>
    </row>
    <row r="1906" spans="2:14" x14ac:dyDescent="0.35">
      <c r="B1906" s="5" t="str">
        <f t="shared" si="2030"/>
        <v>SPS1</v>
      </c>
      <c r="C1906" s="5" t="str">
        <f t="shared" si="2031"/>
        <v>CH</v>
      </c>
      <c r="D1906" t="s">
        <v>1923</v>
      </c>
      <c r="E1906" t="str">
        <f t="shared" si="2032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7.3747216466735601E-3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1.1587858354353876E-2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1.4529996894762556E-2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0.32464754096029291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0.99217369345018258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1.6880327700022211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1.9035107667397753</v>
      </c>
      <c r="N1906" s="1"/>
    </row>
    <row r="1907" spans="2:14" x14ac:dyDescent="0.35">
      <c r="B1907" s="5" t="str">
        <f t="shared" si="2030"/>
        <v>SPS1</v>
      </c>
      <c r="C1907" s="5" t="str">
        <f t="shared" si="2031"/>
        <v>CH</v>
      </c>
      <c r="D1907" t="s">
        <v>1924</v>
      </c>
      <c r="E1907" t="str">
        <f t="shared" si="2032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4.3042279631249651E-3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8.9889087584240097E-3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1.1256655092246225E-2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0.28959174409126187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1.0707098833645647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1.2181929735543013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1.1741846791476565</v>
      </c>
      <c r="N1907" s="1"/>
    </row>
    <row r="1908" spans="2:14" x14ac:dyDescent="0.35">
      <c r="B1908" s="5" t="str">
        <f t="shared" si="2030"/>
        <v>SPS1</v>
      </c>
      <c r="C1908" s="5" t="str">
        <f t="shared" si="2031"/>
        <v>CH</v>
      </c>
      <c r="D1908" t="s">
        <v>1925</v>
      </c>
      <c r="E1908" t="str">
        <f t="shared" si="2032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1.5383995263677834E-2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0.11068478520880499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0.36449850096893904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0.33805415065953315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1.1782630577450592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1.5530806240755746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2.3044725823805483</v>
      </c>
      <c r="N1908" s="1"/>
    </row>
    <row r="1909" spans="2:14" x14ac:dyDescent="0.35">
      <c r="B1909" s="5" t="str">
        <f t="shared" si="2030"/>
        <v>SPS1</v>
      </c>
      <c r="C1909" s="5" t="str">
        <f t="shared" si="2031"/>
        <v>CH</v>
      </c>
      <c r="D1909" t="s">
        <v>1926</v>
      </c>
      <c r="E1909" t="str">
        <f t="shared" si="2032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2.5775279083192963E-5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1.3755872810623684E-4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2.6592069502587632E-4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3.1497302346925586E-4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3.441870273582046E-4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2.1538849283823629E-4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0</v>
      </c>
      <c r="N1909" s="1"/>
    </row>
    <row r="1910" spans="2:14" x14ac:dyDescent="0.35">
      <c r="B1910" s="5" t="str">
        <f t="shared" si="2030"/>
        <v>SPS1</v>
      </c>
      <c r="C1910" s="5" t="str">
        <f t="shared" si="2031"/>
        <v>CH</v>
      </c>
      <c r="D1910" t="s">
        <v>1927</v>
      </c>
      <c r="E1910" t="str">
        <f t="shared" si="2032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4.8845136217774863E-3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7.5315268928838452E-3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7.3963584674646412E-3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6.1490522880747328E-3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1.9899175613793574E-3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8.5313605772942096E-4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0</v>
      </c>
      <c r="N1910" s="1"/>
    </row>
    <row r="1911" spans="2:14" x14ac:dyDescent="0.35">
      <c r="B1911" s="5" t="str">
        <f t="shared" si="2030"/>
        <v>SPS1</v>
      </c>
      <c r="C1911" s="5" t="str">
        <f t="shared" si="2031"/>
        <v>CH</v>
      </c>
      <c r="D1911" t="s">
        <v>1928</v>
      </c>
      <c r="E1911" t="str">
        <f t="shared" si="2032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4.0673209264510193E-3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4.6155038307998081E-2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8.1274438154987291E-2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6.885383190988173E-2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1.3476865443884154E-2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9.0655819099070027E-4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</v>
      </c>
      <c r="N1911" s="1"/>
    </row>
    <row r="1912" spans="2:14" x14ac:dyDescent="0.35">
      <c r="B1912" s="5" t="str">
        <f t="shared" si="2030"/>
        <v>SPS1</v>
      </c>
      <c r="C1912" s="5" t="str">
        <f t="shared" si="2031"/>
        <v>CH</v>
      </c>
      <c r="D1912" t="s">
        <v>1929</v>
      </c>
      <c r="E1912" t="str">
        <f t="shared" si="2032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7.2612843356532446E-3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1.2999230718611766E-2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1.2777952481636231E-2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1.0462188622261835E-2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2.5925563953770464E-3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3.6640101999819053E-4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0</v>
      </c>
      <c r="N1912" s="1"/>
    </row>
    <row r="1913" spans="2:14" x14ac:dyDescent="0.35">
      <c r="B1913" s="5" t="str">
        <f t="shared" si="2030"/>
        <v>SPS1</v>
      </c>
      <c r="C1913" s="5" t="str">
        <f t="shared" si="2031"/>
        <v>CH</v>
      </c>
      <c r="D1913" t="s">
        <v>1930</v>
      </c>
      <c r="E1913" t="str">
        <f t="shared" si="2032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1.1714563873657199E-4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2.4381825298442806E-4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2.9532370788650381E-4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3.6053892099620582E-4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2.2993504634355208E-4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0</v>
      </c>
      <c r="N1913" s="1"/>
    </row>
    <row r="1914" spans="2:14" x14ac:dyDescent="0.35">
      <c r="B1914" s="5" t="str">
        <f t="shared" si="2030"/>
        <v>SPS1</v>
      </c>
      <c r="C1914" s="5" t="str">
        <f t="shared" si="2031"/>
        <v>CH</v>
      </c>
      <c r="D1914" t="s">
        <v>1931</v>
      </c>
      <c r="E1914" t="str">
        <f t="shared" si="2032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8.4871177529376963E-5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2.5004920073513003E-4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3.7204133028861225E-4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2.7037446511527239E-3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2.2482652180613638E-3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0</v>
      </c>
      <c r="N1914" s="1"/>
    </row>
    <row r="1915" spans="2:14" x14ac:dyDescent="0.35">
      <c r="B1915" s="5" t="str">
        <f t="shared" si="2030"/>
        <v>SPS1</v>
      </c>
      <c r="C1915" s="5" t="str">
        <f t="shared" si="2031"/>
        <v>CH</v>
      </c>
      <c r="D1915" t="s">
        <v>1932</v>
      </c>
      <c r="E1915" t="str">
        <f t="shared" si="2032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8.4806646636474291E-4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6.7501646764020554E-2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0.26881778353303298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0.15840046527482923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6.1676704719646959E-2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</v>
      </c>
      <c r="N1915" s="1"/>
    </row>
    <row r="1916" spans="2:14" x14ac:dyDescent="0.35">
      <c r="B1916" s="5" t="str">
        <f t="shared" si="2030"/>
        <v>SPS1</v>
      </c>
      <c r="C1916" s="5" t="str">
        <f t="shared" si="2031"/>
        <v>CH</v>
      </c>
      <c r="D1916" t="s">
        <v>1933</v>
      </c>
      <c r="E1916" t="str">
        <f t="shared" si="2032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2.5906920390551108E-4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1.1038919800417969E-3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1.4262030455438044E-3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1.4355194741145349E-3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1.0867099579560926E-3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4.5068099726010426E-4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0</v>
      </c>
      <c r="N1916" s="1"/>
    </row>
    <row r="1917" spans="2:14" x14ac:dyDescent="0.35">
      <c r="B1917" s="5" t="str">
        <f t="shared" si="2030"/>
        <v>SPS1</v>
      </c>
      <c r="C1917" s="5" t="str">
        <f t="shared" si="2031"/>
        <v>CH</v>
      </c>
      <c r="D1917" t="s">
        <v>1934</v>
      </c>
      <c r="E1917" t="str">
        <f t="shared" si="2032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7.7158329577680995E-6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1.12834790444831E-5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4.9260222967300809E-6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4.0499099549325598E-6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1.3564459323309089E-6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1.0484284814995606E-6</v>
      </c>
      <c r="N1917" s="1"/>
    </row>
    <row r="1918" spans="2:14" x14ac:dyDescent="0.35">
      <c r="B1918" s="5" t="str">
        <f t="shared" si="2030"/>
        <v>SPS1</v>
      </c>
      <c r="C1918" s="5" t="str">
        <f t="shared" si="2031"/>
        <v>CH</v>
      </c>
      <c r="D1918" t="s">
        <v>1935</v>
      </c>
      <c r="E1918" t="str">
        <f t="shared" si="2032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1.017028643017164E-5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1.215751380827414E-5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-5.9222662384827187E-7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1.6098644780560233E-8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1.059783814287384E-6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1.0664090594173101E-6</v>
      </c>
      <c r="N1918" s="1"/>
    </row>
    <row r="1919" spans="2:14" x14ac:dyDescent="0.35">
      <c r="B1919" s="5" t="str">
        <f t="shared" si="2030"/>
        <v>SPS1</v>
      </c>
      <c r="C1919" s="5" t="str">
        <f t="shared" si="2031"/>
        <v>CH</v>
      </c>
      <c r="D1919" t="s">
        <v>1936</v>
      </c>
      <c r="E1919" t="str">
        <f t="shared" si="2032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5.3619480963606388E-5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1.1113146502007605E-4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1.0749413171959528E-4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-6.4612911484769955E-7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-5.7018719396560282E-7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9.1118514444795714E-7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1.01524883309591E-6</v>
      </c>
      <c r="N1919" s="1"/>
    </row>
    <row r="1920" spans="2:14" x14ac:dyDescent="0.35">
      <c r="B1920" s="5" t="str">
        <f t="shared" si="2030"/>
        <v>SPS1</v>
      </c>
      <c r="C1920" s="5" t="str">
        <f t="shared" si="2031"/>
        <v>CH</v>
      </c>
      <c r="D1920" t="s">
        <v>1937</v>
      </c>
      <c r="E1920" t="str">
        <f t="shared" si="2032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4.2611639183086501E-6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6.16132863701055E-6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-1.8435793619189973E-7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-1.1630892672683985E-7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9.9846215327601086E-7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1.094381140178E-6</v>
      </c>
      <c r="N1920" s="1"/>
    </row>
    <row r="1921" spans="2:14" x14ac:dyDescent="0.35">
      <c r="B1921" s="5" t="str">
        <f t="shared" si="2030"/>
        <v>SPS1</v>
      </c>
      <c r="C1921" s="5" t="str">
        <f t="shared" si="2031"/>
        <v>CH</v>
      </c>
      <c r="D1921" t="s">
        <v>1938</v>
      </c>
      <c r="E1921" t="str">
        <f t="shared" si="2032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4.3894653354302877E-2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0"/>
        <v>SPS1</v>
      </c>
      <c r="C1922" s="5" t="str">
        <f t="shared" si="2031"/>
        <v>CH</v>
      </c>
      <c r="D1922" t="s">
        <v>1939</v>
      </c>
      <c r="E1922" t="str">
        <f t="shared" si="2032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5.6678559817761034E-3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7.0405326947928591E-3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7.1902985360329293E-3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0.14605954556473169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0.11635691656230848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5.931077327292212E-2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0"/>
        <v>SPS1</v>
      </c>
      <c r="C1923" s="5" t="str">
        <f t="shared" si="2031"/>
        <v>CH</v>
      </c>
      <c r="D1923" t="s">
        <v>1940</v>
      </c>
      <c r="E1923" t="str">
        <f t="shared" si="2032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1.7225874481017284E-2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6.9382112851310115E-2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0.19079490180928046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0.18877783119267655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0.31183976785131839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0.12074778278962726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0"/>
        <v>SPS1</v>
      </c>
      <c r="C1924" s="5" t="str">
        <f t="shared" si="2031"/>
        <v>CH</v>
      </c>
      <c r="D1924" t="s">
        <v>1941</v>
      </c>
      <c r="E1924" t="str">
        <f t="shared" si="2032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1.4248002078796786E-2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0.133050022567406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0.12600631230717943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0.10176479978205499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3.3685275519834107E-2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1.2376374801329723E-4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0"/>
        <v>SPS1</v>
      </c>
      <c r="C1925" s="5" t="str">
        <f t="shared" si="2031"/>
        <v>CH</v>
      </c>
      <c r="D1925" t="s">
        <v>1942</v>
      </c>
      <c r="E1925" t="str">
        <f t="shared" si="2032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8.3194523982251384E-3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1.4509504406563184E-2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1.4080107075312851E-2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1.204774495569386E-2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2.4232318851476272E-3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1.7969282669911489E-4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0"/>
        <v>SPS1</v>
      </c>
      <c r="C1926" s="5" t="str">
        <f t="shared" si="2031"/>
        <v>CH</v>
      </c>
      <c r="D1926" t="s">
        <v>1943</v>
      </c>
      <c r="E1926" t="str">
        <f t="shared" si="2032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0"/>
        <v>SPS1</v>
      </c>
      <c r="C1927" s="5" t="str">
        <f t="shared" si="2031"/>
        <v>CH</v>
      </c>
      <c r="D1927" t="s">
        <v>1944</v>
      </c>
      <c r="E1927" t="str">
        <f t="shared" si="2032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3.6540516620772484E-2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4.0837481659303392E-2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0.11685898613372506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9.8607900323495298E-2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0.12372803040260161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7.2790132842289759E-2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0"/>
        <v>SPS1</v>
      </c>
      <c r="C1928" s="5" t="str">
        <f t="shared" si="2031"/>
        <v>CH</v>
      </c>
      <c r="D1928" t="s">
        <v>1945</v>
      </c>
      <c r="E1928" t="str">
        <f t="shared" si="2032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0.21742779103339094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0.2434744217791176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0.240605779697219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0.19036847074317659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1.0874118557772339E-2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3.6558247241016663E-4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0"/>
        <v>SPS1</v>
      </c>
      <c r="C1929" s="5" t="str">
        <f t="shared" si="2031"/>
        <v>CH</v>
      </c>
      <c r="D1929" t="s">
        <v>1946</v>
      </c>
      <c r="E1929" t="str">
        <f t="shared" si="2032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0.18201057875775811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0.26853360642548157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0.31131734039924513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0.25582858299258038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7.799430715712205E-2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7.4377713474923579E-3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0"/>
        <v>SPS1</v>
      </c>
      <c r="C1930" s="5" t="str">
        <f t="shared" si="2031"/>
        <v>CH</v>
      </c>
      <c r="D1930" t="s">
        <v>1947</v>
      </c>
      <c r="E1930" t="str">
        <f t="shared" si="2032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0.15707318028406389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0.17987966282673484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0.28457820289076025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0.98338032201209158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0.81889807761709732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0.40288249099844003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0"/>
        <v>SPS1</v>
      </c>
      <c r="C1931" s="5" t="str">
        <f t="shared" si="2031"/>
        <v>CH</v>
      </c>
      <c r="D1931" t="s">
        <v>1948</v>
      </c>
      <c r="E1931" t="str">
        <f t="shared" si="2032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6.9512330060132404E-5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1.57273711099684E-4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3.5541834942674701E-4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1.92818084673859E-4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6.4826655316978707E-5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0"/>
        <v>SPS1</v>
      </c>
      <c r="C1932" s="5" t="str">
        <f t="shared" si="2031"/>
        <v>CH</v>
      </c>
      <c r="D1932" t="s">
        <v>1949</v>
      </c>
      <c r="E1932" t="str">
        <f t="shared" si="2032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3.0018111857388199E-5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8.5326873177123206E-5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1.8999270087861301E-4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1.0809022234296501E-4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3.78149517831033E-5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0"/>
        <v>SPS1</v>
      </c>
      <c r="C1933" s="5" t="str">
        <f t="shared" si="2031"/>
        <v>CH</v>
      </c>
      <c r="D1933" t="s">
        <v>1950</v>
      </c>
      <c r="E1933" t="str">
        <f t="shared" si="2032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3.5942815792817003E-5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8.9725770012570103E-5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1.78455938543595E-4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1.15204399445769E-4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3.9597622822559599E-5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0"/>
        <v>SPS1</v>
      </c>
      <c r="C1934" s="5" t="str">
        <f t="shared" si="2031"/>
        <v>CH</v>
      </c>
      <c r="D1934" t="s">
        <v>1951</v>
      </c>
      <c r="E1934" t="str">
        <f t="shared" si="2032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5.6968521898561098E-5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1.3782191039585801E-4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3.3165632640171598E-4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2.0661533245992401E-4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7.5943233797531602E-5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0"/>
        <v>SPS1</v>
      </c>
      <c r="C1935" s="5" t="str">
        <f t="shared" si="2031"/>
        <v>CH</v>
      </c>
      <c r="D1935" t="s">
        <v>1952</v>
      </c>
      <c r="E1935" t="str">
        <f t="shared" si="2032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0"/>
        <v>SPS1</v>
      </c>
      <c r="C1936" s="5" t="str">
        <f t="shared" si="2031"/>
        <v>CH</v>
      </c>
      <c r="D1936" t="s">
        <v>1953</v>
      </c>
      <c r="E1936" t="str">
        <f t="shared" si="2032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4.358401047027282E-2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4.1405932782535494E-2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3.4196201824006324E-2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0.10954752330185759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0.22691470316279272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0"/>
        <v>SPS1</v>
      </c>
      <c r="C1937" s="5" t="str">
        <f t="shared" si="2031"/>
        <v>CH</v>
      </c>
      <c r="D1937" t="s">
        <v>1954</v>
      </c>
      <c r="E1937" t="str">
        <f t="shared" si="2032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2.5974201225883987E-4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9.072684102372057E-2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0.20874792249645741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0.39357347075094978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0.33560955883937521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0.12813766561469619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30"/>
        <v>SPS1</v>
      </c>
      <c r="C1938" s="5" t="str">
        <f t="shared" si="2031"/>
        <v>CH</v>
      </c>
      <c r="D1938" t="s">
        <v>1955</v>
      </c>
      <c r="E1938" t="str">
        <f t="shared" si="2032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1.8562105366881499E-3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3.8842876208247459E-3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3.823059805289946E-3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3.2091844250810571E-3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9.1130314762619016E-4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1.2207690727978747E-4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0"/>
        <v>SPS1</v>
      </c>
      <c r="C1939" s="5" t="str">
        <f t="shared" si="2031"/>
        <v>CH</v>
      </c>
      <c r="D1939" t="s">
        <v>1956</v>
      </c>
      <c r="E1939" t="str">
        <f t="shared" si="2032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3.7729168984078376E-3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9.1747935226693406E-3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8.8635913168151909E-3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7.5220881655991244E-3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1.8365062390228743E-3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1.2269812536673511E-4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0"/>
        <v>SPS1</v>
      </c>
      <c r="C1940" s="5" t="str">
        <f t="shared" si="2031"/>
        <v>CH</v>
      </c>
      <c r="D1940" t="s">
        <v>1957</v>
      </c>
      <c r="E1940" t="str">
        <f t="shared" si="2032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0.70637198309357752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0.35318595138596875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0"/>
        <v>SPS1</v>
      </c>
      <c r="C1941" s="5" t="str">
        <f t="shared" si="2031"/>
        <v>CH</v>
      </c>
      <c r="D1941" t="s">
        <v>1958</v>
      </c>
      <c r="E1941" t="str">
        <f t="shared" si="2032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4.4467241012579001E-4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7.2103219535278595E-4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8.8591112943153935E-4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7.6975077480186951E-4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3.963816119335936E-4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1.5278055436615396E-4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0"/>
        <v>SPS1</v>
      </c>
      <c r="C1942" s="5" t="str">
        <f t="shared" si="2031"/>
        <v>CH</v>
      </c>
      <c r="D1942" t="s">
        <v>1959</v>
      </c>
      <c r="E1942" t="str">
        <f t="shared" si="2032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6.4569028714848181E-2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6.8568509666209823E-2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6.8045071776686936E-2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5.1665734818615805E-2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1.9432788831586097E-3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8.1812721571954824E-5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0"/>
        <v>SPS1</v>
      </c>
      <c r="C1943" s="5" t="str">
        <f t="shared" si="2031"/>
        <v>CH</v>
      </c>
      <c r="D1943" t="s">
        <v>1960</v>
      </c>
      <c r="E1943" t="str">
        <f t="shared" si="2032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0.18324107559745853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0.19506926192522128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0.1931102410684537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0.15010292523123853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5.7653087094735218E-3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5.9383556097827797E-5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0"/>
        <v>SPS1</v>
      </c>
      <c r="C1944" s="5" t="str">
        <f t="shared" si="2031"/>
        <v>CH</v>
      </c>
      <c r="D1944" t="s">
        <v>1961</v>
      </c>
      <c r="E1944" t="str">
        <f t="shared" si="2032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7.1262355417002946E-2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7.9362616824036322E-2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7.8259411345619354E-2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6.1130064436627017E-2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3.4425156458926499E-3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3.7766324843451391E-5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0"/>
        <v>SPS1</v>
      </c>
      <c r="C1945" s="5" t="str">
        <f t="shared" si="2031"/>
        <v>CH</v>
      </c>
      <c r="D1945" t="s">
        <v>1962</v>
      </c>
      <c r="E1945" t="str">
        <f t="shared" si="2032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5.9018129249226498E-5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1.3444404651266701E-4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2.91306086771341E-4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1.65487425356626E-4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5.5648380112469E-5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0"/>
        <v>SPS1</v>
      </c>
      <c r="C1946" s="5" t="str">
        <f t="shared" si="2031"/>
        <v>CH</v>
      </c>
      <c r="D1946" t="s">
        <v>1963</v>
      </c>
      <c r="E1946" t="str">
        <f t="shared" si="2032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2.6950994202510199E-5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7.6123028590787198E-5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1.8822991391147001E-4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9.8970341828361294E-5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3.5027850453959597E-5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0"/>
        <v>SPS1</v>
      </c>
      <c r="C1947" s="5" t="str">
        <f t="shared" si="2031"/>
        <v>CH</v>
      </c>
      <c r="D1947" t="s">
        <v>1964</v>
      </c>
      <c r="E1947" t="str">
        <f t="shared" si="2032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3.0234903339021999E-5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7.5907963189640896E-5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1.6691030938251601E-4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1.10243337027814E-4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3.9707977356240601E-5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0"/>
        <v>SPS1</v>
      </c>
      <c r="C1948" s="5" t="str">
        <f t="shared" si="2031"/>
        <v>CH</v>
      </c>
      <c r="D1948" t="s">
        <v>1965</v>
      </c>
      <c r="E1948" t="str">
        <f t="shared" si="2032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2.3835133659843601E-5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5.3842409451986602E-5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8.4615918567692005E-5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5.44593995182393E-5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1.7065853472831101E-5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0"/>
        <v>SPS1</v>
      </c>
      <c r="C1949" s="5" t="str">
        <f t="shared" si="2031"/>
        <v>CH</v>
      </c>
      <c r="D1949" t="s">
        <v>1966</v>
      </c>
      <c r="E1949" t="str">
        <f t="shared" si="2032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0"/>
        <v>SPS1</v>
      </c>
      <c r="C1950" s="5" t="str">
        <f t="shared" si="2031"/>
        <v>CH</v>
      </c>
      <c r="D1950" t="s">
        <v>1967</v>
      </c>
      <c r="E1950" t="str">
        <f t="shared" si="2032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2.5618848872116962E-4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1.9045107338235245E-4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1.9497264363916049E-4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1.6777012490137416E-5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1.0461674506773509E-5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5.8021946997280439E-6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1.47661571391362E-6</v>
      </c>
      <c r="N1950" s="1"/>
    </row>
    <row r="1951" spans="2:14" x14ac:dyDescent="0.35">
      <c r="B1951" s="5" t="str">
        <f t="shared" si="2030"/>
        <v>SPS1</v>
      </c>
      <c r="C1951" s="5" t="str">
        <f t="shared" si="2031"/>
        <v>CH</v>
      </c>
      <c r="D1951" t="s">
        <v>1968</v>
      </c>
      <c r="E1951" t="str">
        <f t="shared" si="2032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2.6767837958367072E-3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2.2758632497466907E-3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2.2495739879108264E-3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1.1384638392319176E-5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1.1190354719751896E-5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7.3460666886631202E-6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1.9219570992638701E-6</v>
      </c>
      <c r="N1951" s="1"/>
    </row>
    <row r="1952" spans="2:14" x14ac:dyDescent="0.35">
      <c r="B1952" s="5" t="str">
        <f t="shared" si="2030"/>
        <v>SPS1</v>
      </c>
      <c r="C1952" s="5" t="str">
        <f t="shared" si="2031"/>
        <v>CH</v>
      </c>
      <c r="D1952" t="s">
        <v>1969</v>
      </c>
      <c r="E1952" t="str">
        <f t="shared" si="2032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1.5092645474859844E-4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1.4643690173076976E-4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1.4843660078270979E-4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2.1040772987564719E-5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1.4466461091162791E-5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8.7545318746132112E-6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2.3199570659071001E-6</v>
      </c>
      <c r="N1952" s="1"/>
    </row>
    <row r="1953" spans="2:14" x14ac:dyDescent="0.35">
      <c r="B1953" s="5" t="str">
        <f t="shared" si="2030"/>
        <v>SPS1</v>
      </c>
      <c r="C1953" s="5" t="str">
        <f t="shared" si="2031"/>
        <v>CH</v>
      </c>
      <c r="D1953" t="s">
        <v>1970</v>
      </c>
      <c r="E1953" t="str">
        <f t="shared" si="2032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2.5371791003187187E-3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2.3639983096575734E-3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6.5455625397913865E-6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1.2922219901731708E-5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9.0441490636009505E-6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2.40423099636551E-6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5.7188791275178694</v>
      </c>
      <c r="G1954" s="3">
        <f t="shared" ref="G1954:K1954" si="2033">SUM(G1955:G1977)</f>
        <v>5.6868068259520754</v>
      </c>
      <c r="H1954" s="3">
        <f t="shared" si="2033"/>
        <v>5.8334957567006951</v>
      </c>
      <c r="I1954" s="3">
        <f t="shared" si="2033"/>
        <v>6.569150323663834</v>
      </c>
      <c r="J1954" s="3">
        <f t="shared" si="2033"/>
        <v>6.8149629018280313</v>
      </c>
      <c r="K1954" s="3">
        <f t="shared" si="2033"/>
        <v>7.0606878056709981</v>
      </c>
      <c r="L1954" s="3">
        <f t="shared" ref="L1954" si="2034">SUM(L1955:L1977)</f>
        <v>7.8516457309443606</v>
      </c>
      <c r="N1954" s="1"/>
    </row>
    <row r="1955" spans="2:14" x14ac:dyDescent="0.35">
      <c r="B1955" s="5" t="str">
        <f t="shared" ref="B1955:B1977" si="2035">B1954</f>
        <v>SPS1</v>
      </c>
      <c r="C1955" s="5" t="str">
        <f t="shared" ref="C1955:C1977" si="2036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5"/>
        <v>SPS1</v>
      </c>
      <c r="C1956" s="5" t="str">
        <f t="shared" si="2036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1.8415844073796754E-2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3.0676442485508545E-2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2.5491078283300013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2.6121636572856404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2.6662540741587732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1.6259669626466797</v>
      </c>
      <c r="N1956" s="1"/>
    </row>
    <row r="1957" spans="2:14" x14ac:dyDescent="0.35">
      <c r="B1957" s="5" t="str">
        <f t="shared" si="2035"/>
        <v>SPS1</v>
      </c>
      <c r="C1957" s="5" t="str">
        <f t="shared" si="2036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7.9059723815031544E-3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1.437036729946164E-2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2.3729783652590007E-2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0.74621549240006113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0.77674365288555591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0.80826572208708092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0.86770765553628348</v>
      </c>
      <c r="N1957" s="1"/>
    </row>
    <row r="1958" spans="2:14" x14ac:dyDescent="0.35">
      <c r="B1958" s="5" t="str">
        <f t="shared" si="2035"/>
        <v>SPS1</v>
      </c>
      <c r="C1958" s="5" t="str">
        <f t="shared" si="2036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2.5233436918153412E-2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4.048853457840125E-2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4.6990842988103049E-2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2.456163153671568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2.3375888484433367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2.3204458203944198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3.7310665562187899</v>
      </c>
      <c r="N1958" s="1"/>
    </row>
    <row r="1959" spans="2:14" x14ac:dyDescent="0.35">
      <c r="B1959" s="5" t="str">
        <f t="shared" si="2035"/>
        <v>SPS1</v>
      </c>
      <c r="C1959" s="5" t="str">
        <f t="shared" si="2036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1.1320358307835049E-3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1.4976578267203344E-3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8.2688769811083379E-4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8.57631644450616E-4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1.047608225750519E-3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4.4310727069709396E-4</v>
      </c>
      <c r="N1959" s="1"/>
    </row>
    <row r="1960" spans="2:14" x14ac:dyDescent="0.35">
      <c r="B1960" s="5" t="str">
        <f t="shared" si="2035"/>
        <v>SPS1</v>
      </c>
      <c r="C1960" s="5" t="str">
        <f t="shared" si="2036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3.7972363256898901E-5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6.7262680038269492E-5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1.25447649757609E-5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8.00273496986263E-6</v>
      </c>
      <c r="N1960" s="1"/>
    </row>
    <row r="1961" spans="2:14" x14ac:dyDescent="0.35">
      <c r="B1961" s="5" t="str">
        <f t="shared" si="2035"/>
        <v>SPS1</v>
      </c>
      <c r="C1961" s="5" t="str">
        <f t="shared" si="2036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5"/>
        <v>SPS1</v>
      </c>
      <c r="C1962" s="5" t="str">
        <f t="shared" si="2036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5"/>
        <v>SPS1</v>
      </c>
      <c r="C1963" s="5" t="str">
        <f t="shared" si="2036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5"/>
        <v>SPS1</v>
      </c>
      <c r="C1964" s="5" t="str">
        <f t="shared" si="2036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6.2186429870474897E-3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9.4028496396564402E-3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2.3411959331930006E-3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8.7088065748480541E-3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2.25541473716118E-2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1.5503985642156308</v>
      </c>
      <c r="N1964" s="1"/>
    </row>
    <row r="1965" spans="2:14" x14ac:dyDescent="0.35">
      <c r="B1965" s="5" t="str">
        <f t="shared" si="2035"/>
        <v>SPS1</v>
      </c>
      <c r="C1965" s="5" t="str">
        <f t="shared" si="2036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1.3798276082159799E-3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2.6723798556073401E-3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2.2744212931270699E-3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5.2371002778496779E-3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6.5297016711993606E-3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3.5267980852271502E-3</v>
      </c>
      <c r="N1965" s="1"/>
    </row>
    <row r="1966" spans="2:14" x14ac:dyDescent="0.35">
      <c r="B1966" s="5" t="str">
        <f t="shared" si="2035"/>
        <v>SPS1</v>
      </c>
      <c r="C1966" s="5" t="str">
        <f t="shared" si="2036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2.3092749407020901E-3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0.81135525433504296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0.8118537526983749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1.0733590916042999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1.23529021961997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7.2428050971541411E-2</v>
      </c>
      <c r="N1966" s="1"/>
    </row>
    <row r="1967" spans="2:14" x14ac:dyDescent="0.35">
      <c r="B1967" s="5" t="str">
        <f t="shared" si="2035"/>
        <v>SPS1</v>
      </c>
      <c r="C1967" s="5" t="str">
        <f t="shared" si="2036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1.0745294850575099E-4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1.9095132400502699E-4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1.6598040683639E-4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1.6600243688121301E-4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2.2696086297234602E-4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5.4672453678994398E-5</v>
      </c>
      <c r="N1967" s="1"/>
    </row>
    <row r="1968" spans="2:14" x14ac:dyDescent="0.35">
      <c r="B1968" s="5" t="str">
        <f t="shared" si="2035"/>
        <v>SPS1</v>
      </c>
      <c r="C1968" s="5" t="str">
        <f t="shared" si="2036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2.2835036030772549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5"/>
        <v>SPS1</v>
      </c>
      <c r="C1969" s="5" t="str">
        <f t="shared" si="2036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0.6306983870446573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1.1424580718970925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1.0985735204643507E-4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1.8114681237988393E-5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2.2709776254324798E-5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1.8053837322809099E-5</v>
      </c>
      <c r="N1969" s="1"/>
    </row>
    <row r="1970" spans="2:14" x14ac:dyDescent="0.35">
      <c r="B1970" s="5" t="str">
        <f t="shared" si="2035"/>
        <v>SPS1</v>
      </c>
      <c r="C1970" s="5" t="str">
        <f t="shared" si="2036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0.18444670706591268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0.22459336457273019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0.39002260696233748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5"/>
        <v>SPS1</v>
      </c>
      <c r="C1971" s="5" t="str">
        <f t="shared" si="2036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0.80664647542609091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0.99420528733350133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0.99881706387207903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5"/>
        <v>SPS1</v>
      </c>
      <c r="C1972" s="5" t="str">
        <f t="shared" si="2036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4.2871335888651193E-3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9.0695675321861172E-4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8.6755677608863001E-4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5"/>
        <v>SPS1</v>
      </c>
      <c r="C1973" s="5" t="str">
        <f t="shared" si="2036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5"/>
        <v>SPS1</v>
      </c>
      <c r="C1974" s="5" t="str">
        <f t="shared" si="2036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3.46780185421134E-4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3.2499107600414598E-3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3.9764976647800238E-5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4.8291809284729985E-5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3.8296737990030503E-5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2.7306973539562201E-5</v>
      </c>
      <c r="N1974" s="1"/>
    </row>
    <row r="1975" spans="2:14" x14ac:dyDescent="0.35">
      <c r="B1975" s="5" t="str">
        <f t="shared" si="2035"/>
        <v>SPS1</v>
      </c>
      <c r="C1975" s="5" t="str">
        <f t="shared" si="2036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1.6705062135911699E-4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1.3124171541057E-2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1.1306793827999879E-5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4.44150460870086E-6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0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35"/>
        <v>SPS1</v>
      </c>
      <c r="C1976" s="5" t="str">
        <f t="shared" si="2036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8.5283762338153301E-5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1.41627097255824E-2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2.4940062508005704E-6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5"/>
        <v>SPS1</v>
      </c>
      <c r="C1977" s="5" t="str">
        <f t="shared" si="2036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2.0795980546222001E-5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9.1421613571690693E-5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2.15740531439499E-7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2.8515171733145861</v>
      </c>
      <c r="G1978" s="3">
        <f t="shared" ref="G1978" si="2037">SUM(G1979:G2001)</f>
        <v>2.9264404746247203</v>
      </c>
      <c r="H1978" s="3">
        <f t="shared" ref="H1978" si="2038">SUM(H1979:H2001)</f>
        <v>2.8924550502305189</v>
      </c>
      <c r="I1978" s="3">
        <f t="shared" ref="I1978" si="2039">SUM(I1979:I2001)</f>
        <v>2.9279253936472802</v>
      </c>
      <c r="J1978" s="3">
        <f t="shared" ref="J1978" si="2040">SUM(J1979:J2001)</f>
        <v>2.930429782687646</v>
      </c>
      <c r="K1978" s="3">
        <f t="shared" ref="K1978:L1978" si="2041">SUM(K1979:K2001)</f>
        <v>2.9286964164170346</v>
      </c>
      <c r="L1978" s="3">
        <f t="shared" si="2041"/>
        <v>2.9934813653255645</v>
      </c>
      <c r="N1978" s="1"/>
    </row>
    <row r="1979" spans="2:14" x14ac:dyDescent="0.35">
      <c r="B1979" s="5" t="str">
        <f t="shared" ref="B1979:B2001" si="2042">B1978</f>
        <v>SPS1</v>
      </c>
      <c r="C1979" s="5" t="str">
        <f t="shared" ref="C1979:C2001" si="2043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2"/>
        <v>SPS1</v>
      </c>
      <c r="C1980" s="5" t="str">
        <f t="shared" si="2043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9.8240735303597396E-3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1.3586089701116782E-2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1.4039297824166606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1.3784259655898503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1.0704447437091011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0.92609582402237978</v>
      </c>
      <c r="N1980" s="1"/>
    </row>
    <row r="1981" spans="2:14" x14ac:dyDescent="0.35">
      <c r="B1981" s="5" t="str">
        <f t="shared" si="2042"/>
        <v>SPS1</v>
      </c>
      <c r="C1981" s="5" t="str">
        <f t="shared" si="2043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8.5111610639719004E-3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1.1042570246705409E-2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1.4343823750232942E-2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0.95007392083876474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0.94908496243023688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1.179661033710889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1.2078276095533338</v>
      </c>
      <c r="N1981" s="1"/>
    </row>
    <row r="1982" spans="2:14" x14ac:dyDescent="0.35">
      <c r="B1982" s="5" t="str">
        <f t="shared" si="2042"/>
        <v>SPS1</v>
      </c>
      <c r="C1982" s="5" t="str">
        <f t="shared" si="2043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4.8090363678650059E-3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5.7755970965622065E-3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6.4829204748155555E-3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1.223484732591548E-2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9.0138274760531406E-2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0.22806182535793598</v>
      </c>
      <c r="N1982" s="1"/>
    </row>
    <row r="1983" spans="2:14" x14ac:dyDescent="0.35">
      <c r="B1983" s="5" t="str">
        <f t="shared" si="2042"/>
        <v>SPS1</v>
      </c>
      <c r="C1983" s="5" t="str">
        <f t="shared" si="2043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4.1778662037928599E-4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7.57631651507921E-4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8.036515151974954E-4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7.8546614655510103E-4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1.1283662163719436E-3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4.6144704118521201E-4</v>
      </c>
      <c r="N1983" s="1"/>
    </row>
    <row r="1984" spans="2:14" x14ac:dyDescent="0.35">
      <c r="B1984" s="5" t="str">
        <f t="shared" si="2042"/>
        <v>SPS1</v>
      </c>
      <c r="C1984" s="5" t="str">
        <f t="shared" si="2043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2.2073511340310003E-5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3.76561517225263E-5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9.3063082586791996E-6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5.4734127897719E-6</v>
      </c>
      <c r="N1984" s="1"/>
    </row>
    <row r="1985" spans="2:14" x14ac:dyDescent="0.35">
      <c r="B1985" s="5" t="str">
        <f t="shared" si="2042"/>
        <v>SPS1</v>
      </c>
      <c r="C1985" s="5" t="str">
        <f t="shared" si="2043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2.5036701117797992E-6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2.7499596194192204E-6</v>
      </c>
      <c r="N1985" s="1"/>
    </row>
    <row r="1986" spans="2:14" x14ac:dyDescent="0.35">
      <c r="B1986" s="5" t="str">
        <f t="shared" si="2042"/>
        <v>SPS1</v>
      </c>
      <c r="C1986" s="5" t="str">
        <f t="shared" si="2043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2"/>
        <v>SPS1</v>
      </c>
      <c r="C1987" s="5" t="str">
        <f t="shared" si="2043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2"/>
        <v>SPS1</v>
      </c>
      <c r="C1988" s="5" t="str">
        <f t="shared" si="2043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5.4357908415681904E-3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8.7119080815192332E-3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7.6282920163833895E-3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3.2564207105515337E-2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0.33853103374762156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0.58822567762847999</v>
      </c>
      <c r="N1988" s="1"/>
    </row>
    <row r="1989" spans="2:14" x14ac:dyDescent="0.35">
      <c r="B1989" s="5" t="str">
        <f t="shared" si="2042"/>
        <v>SPS1</v>
      </c>
      <c r="C1989" s="5" t="str">
        <f t="shared" si="2043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1.8459034280148101E-3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0.119792342678921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0.29808069526379699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0.30160305126005549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7.1031468423718352E-2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1.0206739470763712E-2</v>
      </c>
      <c r="N1989" s="1"/>
    </row>
    <row r="1990" spans="2:14" x14ac:dyDescent="0.35">
      <c r="B1990" s="5" t="str">
        <f t="shared" si="2042"/>
        <v>SPS1</v>
      </c>
      <c r="C1990" s="5" t="str">
        <f t="shared" si="2043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8.2923460388361194E-4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3.4854320037830101E-2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0.26058796087196801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0.25546417472967503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0.17742798284120798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3.2495080185301797E-2</v>
      </c>
      <c r="N1990" s="1"/>
    </row>
    <row r="1991" spans="2:14" x14ac:dyDescent="0.35">
      <c r="B1991" s="5" t="str">
        <f t="shared" si="2042"/>
        <v>SPS1</v>
      </c>
      <c r="C1991" s="5" t="str">
        <f t="shared" si="2043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1.7492145446425901E-4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3.13640788631881E-4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3.0178386484778602E-4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2.158628498252E-4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3.1417596666936601E-4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9.5502954717003609E-5</v>
      </c>
      <c r="N1991" s="1"/>
    </row>
    <row r="1992" spans="2:14" x14ac:dyDescent="0.35">
      <c r="B1992" s="5" t="str">
        <f t="shared" si="2042"/>
        <v>SPS1</v>
      </c>
      <c r="C1992" s="5" t="str">
        <f t="shared" si="2043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0.65164345916684241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2"/>
        <v>SPS1</v>
      </c>
      <c r="C1993" s="5" t="str">
        <f t="shared" si="2043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0.85068185110466954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1.0463502457860918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3.2023873258990023E-6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2"/>
        <v>SPS1</v>
      </c>
      <c r="C1994" s="5" t="str">
        <f t="shared" si="2043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0.81145206579643303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0.81334574072688826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1.9709227795089827E-6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0</v>
      </c>
      <c r="N1994" s="1"/>
    </row>
    <row r="1995" spans="2:14" x14ac:dyDescent="0.35">
      <c r="B1995" s="5" t="str">
        <f t="shared" si="2042"/>
        <v>SPS1</v>
      </c>
      <c r="C1995" s="5" t="str">
        <f t="shared" si="2043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0.19721969843660109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0.16167605882926239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0.1622313341808691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2"/>
        <v>SPS1</v>
      </c>
      <c r="C1996" s="5" t="str">
        <f t="shared" si="2043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1.3393286378155901E-2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1.0749420596325361E-3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1.145993468577935E-3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2"/>
        <v>SPS1</v>
      </c>
      <c r="C1997" s="5" t="str">
        <f t="shared" si="2043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1.4847082423080488E-2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2"/>
        <v>SPS1</v>
      </c>
      <c r="C1998" s="5" t="str">
        <f t="shared" si="2043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3.6114725378593501E-4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2.5829401719899996E-3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4.3392209102598017E-6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3.2773899724798685E-6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2"/>
        <v>SPS1</v>
      </c>
      <c r="C1999" s="5" t="str">
        <f t="shared" si="2043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2.10343902039275E-4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1.41299880114445E-3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2.553451788080094E-6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2.6347281051910789E-6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2"/>
        <v>SPS1</v>
      </c>
      <c r="C2000" s="5" t="str">
        <f t="shared" si="2043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1.3067563324366401E-4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6.2138747413791301E-4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5.6298551118309889E-6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1.00307326649594E-5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3.4357390581611002E-6</v>
      </c>
      <c r="N2000" s="1"/>
    </row>
    <row r="2001" spans="2:14" x14ac:dyDescent="0.35">
      <c r="B2001" s="5" t="str">
        <f t="shared" si="2042"/>
        <v>SPS1</v>
      </c>
      <c r="C2001" s="5" t="str">
        <f t="shared" si="2043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3.9458696030931805E-5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1.38514244574497E-4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1.790345695843693E-6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393.02234462433222</v>
      </c>
      <c r="G2002" s="3">
        <f t="shared" ref="G2002:K2002" si="2044">SUM(G2003:G2011)</f>
        <v>399.40196087035844</v>
      </c>
      <c r="H2002" s="3">
        <f t="shared" si="2044"/>
        <v>406.73857829684556</v>
      </c>
      <c r="I2002" s="3">
        <f t="shared" si="2044"/>
        <v>418.96704142969361</v>
      </c>
      <c r="J2002" s="3">
        <f t="shared" si="2044"/>
        <v>442.79523244387246</v>
      </c>
      <c r="K2002" s="3">
        <f t="shared" si="2044"/>
        <v>466.62296667989784</v>
      </c>
      <c r="L2002" s="3">
        <f t="shared" ref="L2002" si="2045">SUM(L2003:L2011)</f>
        <v>503.54872640352391</v>
      </c>
      <c r="N2002" s="1"/>
    </row>
    <row r="2003" spans="2:14" x14ac:dyDescent="0.35">
      <c r="B2003" s="5" t="str">
        <f t="shared" ref="B2003:B2011" si="2046">B2002</f>
        <v>SPS1</v>
      </c>
      <c r="C2003" s="5" t="str">
        <f t="shared" ref="C2003:C2011" si="2047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46"/>
        <v>SPS1</v>
      </c>
      <c r="C2004" s="5" t="str">
        <f t="shared" si="2047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1.6988768594817845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6.3749365155655786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8.2314958156333109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80.581774750549783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244.95745715480024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376.41456902801247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433.22219686072992</v>
      </c>
      <c r="N2004" s="1"/>
    </row>
    <row r="2005" spans="2:14" x14ac:dyDescent="0.35">
      <c r="B2005" s="5" t="str">
        <f t="shared" si="2046"/>
        <v>SPS1</v>
      </c>
      <c r="C2005" s="5" t="str">
        <f t="shared" si="2047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5.6654018790370997E-3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4.1115732501763997E-4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4.2500476790835982E-4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4.1938575962044075E-4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4.0657582628540496E-4</v>
      </c>
      <c r="N2005" s="1"/>
    </row>
    <row r="2006" spans="2:14" x14ac:dyDescent="0.35">
      <c r="B2006" s="5" t="str">
        <f t="shared" si="2046"/>
        <v>SPS1</v>
      </c>
      <c r="C2006" s="5" t="str">
        <f t="shared" si="2047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30.634558459739054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46"/>
        <v>SPS1</v>
      </c>
      <c r="C2007" s="5" t="str">
        <f t="shared" si="2047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5.9635594188015517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14.116352741526825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26.494888101089813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47.496732836330793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29.314003683583373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4.1265943868878878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46"/>
        <v>SPS1</v>
      </c>
      <c r="C2008" s="5" t="str">
        <f t="shared" si="2047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152.65987499181421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46"/>
        <v>SPS1</v>
      </c>
      <c r="C2009" s="5" t="str">
        <f t="shared" si="2047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106.16862814562103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125.25766137920721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125.44455958741139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71.233977093541839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0.38082333072686148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0.17706891156469748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5.673150260541375E-2</v>
      </c>
      <c r="N2009" s="1"/>
    </row>
    <row r="2010" spans="2:14" x14ac:dyDescent="0.35">
      <c r="B2010" s="5" t="str">
        <f t="shared" si="2046"/>
        <v>SPS1</v>
      </c>
      <c r="C2010" s="5" t="str">
        <f t="shared" si="2047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60.538805723252338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127.3505904375404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168.13758272939467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85.899813806673592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70.265127082923115</v>
      </c>
      <c r="N2010" s="1"/>
    </row>
    <row r="2011" spans="2:14" x14ac:dyDescent="0.35">
      <c r="B2011" s="5" t="str">
        <f t="shared" si="2046"/>
        <v>SPS1</v>
      </c>
      <c r="C2011" s="5" t="str">
        <f t="shared" si="2047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2.2962802004278897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1.8423217100220122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1.4287302160264697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5.2218210724228574E-3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4.9405405993493984E-3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4.5011609996128176E-3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4.2643814391407986E-3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41.636220833852136</v>
      </c>
      <c r="G2012" s="3">
        <f t="shared" ref="G2012" si="2048">SUM(G2013:G2021)</f>
        <v>42.364688368162582</v>
      </c>
      <c r="H2012" s="3">
        <f t="shared" ref="H2012" si="2049">SUM(H2013:H2021)</f>
        <v>43.459536196596972</v>
      </c>
      <c r="I2012" s="3">
        <f t="shared" ref="I2012" si="2050">SUM(I2013:I2021)</f>
        <v>45.296477075406145</v>
      </c>
      <c r="J2012" s="3">
        <f t="shared" ref="J2012" si="2051">SUM(J2013:J2021)</f>
        <v>47.254839395128201</v>
      </c>
      <c r="K2012" s="3">
        <f t="shared" ref="K2012:L2012" si="2052">SUM(K2013:K2021)</f>
        <v>49.213218663077498</v>
      </c>
      <c r="L2012" s="3">
        <f t="shared" si="2052"/>
        <v>52.994203785455248</v>
      </c>
      <c r="N2012" s="1"/>
    </row>
    <row r="2013" spans="2:14" x14ac:dyDescent="0.35">
      <c r="B2013" s="5" t="str">
        <f t="shared" ref="B2013:B2021" si="2053">B2012</f>
        <v>SPS1</v>
      </c>
      <c r="C2013" s="5" t="str">
        <f t="shared" ref="C2013:C2021" si="2054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3"/>
        <v>SPS1</v>
      </c>
      <c r="C2014" s="5" t="str">
        <f t="shared" si="2054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0.13185599212881591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0.1367197151162752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4.8043760677659406E-2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1.5471289120577899E-2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2.56039525041649E-2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44.970553500392398</v>
      </c>
      <c r="N2014" s="1"/>
    </row>
    <row r="2015" spans="2:14" x14ac:dyDescent="0.35">
      <c r="B2015" s="5" t="str">
        <f t="shared" si="2053"/>
        <v>SPS1</v>
      </c>
      <c r="C2015" s="5" t="str">
        <f t="shared" si="2054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1.134044279507956E-2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6.3895292686284525E-3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6.3911361791487275E-3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0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2.9155663008431128E-4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8.4005637478454893E-4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8.1298450578360499E-4</v>
      </c>
      <c r="N2015" s="1"/>
    </row>
    <row r="2016" spans="2:14" x14ac:dyDescent="0.35">
      <c r="B2016" s="5" t="str">
        <f t="shared" si="2053"/>
        <v>SPS1</v>
      </c>
      <c r="C2016" s="5" t="str">
        <f t="shared" si="2054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3"/>
        <v>SPS1</v>
      </c>
      <c r="C2017" s="5" t="str">
        <f t="shared" si="2054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3"/>
        <v>SPS1</v>
      </c>
      <c r="C2018" s="5" t="str">
        <f t="shared" si="2054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3"/>
        <v>SPS1</v>
      </c>
      <c r="C2019" s="5" t="str">
        <f t="shared" si="2054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11.788930306794501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13.791007059635962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10.748452382851102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0.98916086452555874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7.0686133778336199E-3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9.1116424824413591E-3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1.9691701615487003E-3</v>
      </c>
      <c r="N2019" s="1"/>
    </row>
    <row r="2020" spans="2:14" x14ac:dyDescent="0.35">
      <c r="B2020" s="5" t="str">
        <f t="shared" si="2053"/>
        <v>SPS1</v>
      </c>
      <c r="C2020" s="5" t="str">
        <f t="shared" si="2054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12.789486164003499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34.368105038157786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47.225581708591427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49.171222133598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8.0144271521585004</v>
      </c>
      <c r="N2020" s="1"/>
    </row>
    <row r="2021" spans="2:14" x14ac:dyDescent="0.35">
      <c r="B2021" s="5" t="str">
        <f t="shared" si="2053"/>
        <v>SPS1</v>
      </c>
      <c r="C2021" s="5" t="str">
        <f t="shared" si="2054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0.12195008426254868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3.8049112900847542E-3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3.8201317802432802E-3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3.8340787118110501E-3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6.42622740827508E-3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6.4408781181042587E-3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6.4409782370188498E-3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5">SUM(F2023,F2027,F2030)</f>
        <v>4.11416983932213E-4</v>
      </c>
      <c r="G2022" s="3">
        <f t="shared" ref="G2022" si="2056">SUM(G2023,G2027,G2030)</f>
        <v>4.1370970511649352E-4</v>
      </c>
      <c r="H2022" s="3">
        <f t="shared" ref="H2022" si="2057">SUM(H2023,H2027,H2030)</f>
        <v>4.1473787433655361E-4</v>
      </c>
      <c r="I2022" s="3">
        <f t="shared" ref="I2022" si="2058">SUM(I2023,I2027,I2030)</f>
        <v>4.3461317963369809E-4</v>
      </c>
      <c r="J2022" s="3">
        <f t="shared" ref="J2022" si="2059">SUM(J2023,J2027,J2030)</f>
        <v>0.1255153802681945</v>
      </c>
      <c r="K2022" s="3">
        <f t="shared" ref="K2022:L2022" si="2060">SUM(K2023,K2027,K2030)</f>
        <v>0.47785309125108583</v>
      </c>
      <c r="L2022" s="3">
        <f t="shared" si="2060"/>
        <v>1.0836617862793561</v>
      </c>
      <c r="N2022" s="1"/>
    </row>
    <row r="2023" spans="2:14" x14ac:dyDescent="0.35">
      <c r="B2023" s="5" t="str">
        <f t="shared" ref="B2023:B2032" si="2061">B2022</f>
        <v>SPS1</v>
      </c>
      <c r="C2023" s="5" t="str">
        <f t="shared" ref="C2023:C2032" si="2062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4.11416983932213E-4</v>
      </c>
      <c r="G2023" s="1" cm="1">
        <f t="array" ref="G2023">SUMPRODUCT(ISNUMBER(SEARCH("SUP_ELCH2*",[1]OUT_SyntheticFuels!$C$4:$C$1000))*1,("Var_cap"=[1]OUT_SyntheticFuels!$B$4:$B$1000)*1,[1]OUT_SyntheticFuels!F$4:F$1000)</f>
        <v>4.1370970511649352E-4</v>
      </c>
      <c r="H2023" s="1" cm="1">
        <f t="array" ref="H2023">SUMPRODUCT(ISNUMBER(SEARCH("SUP_ELCH2*",[1]OUT_SyntheticFuels!$C$4:$C$1000))*1,("Var_cap"=[1]OUT_SyntheticFuels!$B$4:$B$1000)*1,[1]OUT_SyntheticFuels!G$4:G$1000)</f>
        <v>4.1473787433655361E-4</v>
      </c>
      <c r="I2023" s="1" cm="1">
        <f t="array" ref="I2023">SUMPRODUCT(ISNUMBER(SEARCH("SUP_ELCH2*",[1]OUT_SyntheticFuels!$C$4:$C$1000))*1,("Var_cap"=[1]OUT_SyntheticFuels!$B$4:$B$1000)*1,[1]OUT_SyntheticFuels!H$4:H$1000)</f>
        <v>4.3394158152939731E-4</v>
      </c>
      <c r="J2023" s="1" cm="1">
        <f t="array" ref="J2023">SUMPRODUCT(ISNUMBER(SEARCH("SUP_ELCH2*",[2]OUT_SyntheticFuels!$C$4:$C$1000))*1,("Var_cap"=[2]OUT_SyntheticFuels!$B$4:$B$1000)*1,[2]OUT_SyntheticFuels!I$4:I$1000)</f>
        <v>0.12551427729226819</v>
      </c>
      <c r="K2023" s="1" cm="1">
        <f t="array" ref="K2023">SUMPRODUCT(ISNUMBER(SEARCH("SUP_ELCH2*",[2]OUT_SyntheticFuels!$C$4:$C$1000))*1,("Var_cap"=[2]OUT_SyntheticFuels!$B$4:$B$1000)*1,[2]OUT_SyntheticFuels!J$4:J$1000)</f>
        <v>0.47785197149878372</v>
      </c>
      <c r="L2023" s="1" cm="1">
        <f t="array" ref="L2023">SUMPRODUCT(ISNUMBER(SEARCH("SUP_ELCH2*",[2]OUT_SyntheticFuels!$C$4:$C$1000))*1,("Var_cap"=[2]OUT_SyntheticFuels!$B$4:$B$1000)*1,[2]OUT_SyntheticFuels!K$4:K$1000)</f>
        <v>1.0836609526665035</v>
      </c>
      <c r="N2023" s="1"/>
    </row>
    <row r="2024" spans="2:14" x14ac:dyDescent="0.35">
      <c r="B2024" s="5" t="str">
        <f t="shared" si="2061"/>
        <v>SPS1</v>
      </c>
      <c r="C2024" s="5" t="str">
        <f t="shared" si="2062"/>
        <v>CH</v>
      </c>
      <c r="D2024" t="s">
        <v>2145</v>
      </c>
      <c r="E2024" t="s">
        <v>2154</v>
      </c>
      <c r="F2024" s="1">
        <f t="shared" ref="F2024" si="2063">F2023-F2025-F2026</f>
        <v>4.11416983932213E-4</v>
      </c>
      <c r="G2024" s="1">
        <f t="shared" ref="G2024" si="2064">G2023-G2025-G2026</f>
        <v>4.1370970511649352E-4</v>
      </c>
      <c r="H2024" s="1">
        <f t="shared" ref="H2024" si="2065">H2023-H2025-H2026</f>
        <v>4.1473787433655361E-4</v>
      </c>
      <c r="I2024" s="1">
        <f t="shared" ref="I2024" si="2066">I2023-I2025-I2026</f>
        <v>4.3394158152939731E-4</v>
      </c>
      <c r="J2024" s="1">
        <f t="shared" ref="J2024" si="2067">J2023-J2025-J2026</f>
        <v>0.12551427729226819</v>
      </c>
      <c r="K2024" s="1">
        <f t="shared" ref="K2024:L2024" si="2068">K2023-K2025-K2026</f>
        <v>0.47785197149878372</v>
      </c>
      <c r="L2024" s="1">
        <f t="shared" si="2068"/>
        <v>1.0836609526665035</v>
      </c>
      <c r="N2024" s="1"/>
    </row>
    <row r="2025" spans="2:14" x14ac:dyDescent="0.35">
      <c r="B2025" s="5" t="str">
        <f t="shared" si="2061"/>
        <v>SPS1</v>
      </c>
      <c r="C2025" s="5" t="str">
        <f t="shared" si="2062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0</v>
      </c>
      <c r="J2025" s="1" cm="1">
        <f t="array" ref="J2025">SUMPRODUCT(ISNUMBER(SEARCH("SUP_ELCH2*D",[2]OUT_SyntheticFuels!$C$4:$C$1000))*1,("Var_cap"=[2]OUT_SyntheticFuels!$B$4:$B$1000)*1,[2]OUT_SyntheticFuels!I$4:I$1000)</f>
        <v>0</v>
      </c>
      <c r="K2025" s="1" cm="1">
        <f t="array" ref="K2025">SUMPRODUCT(ISNUMBER(SEARCH("SUP_ELCH2*D",[2]OUT_SyntheticFuels!$C$4:$C$1000))*1,("Var_cap"=[2]OUT_SyntheticFuels!$B$4:$B$1000)*1,[2]OUT_SyntheticFuels!J$4:J$1000)</f>
        <v>0</v>
      </c>
      <c r="L2025" s="1" cm="1">
        <f t="array" ref="L2025">SUMPRODUCT(ISNUMBER(SEARCH("SUP_ELCH2*D",[2]OUT_SyntheticFuels!$C$4:$C$1000))*1,("Var_cap"=[2]OUT_SyntheticFuels!$B$4:$B$1000)*1,[2]OUT_SyntheticFuels!K$4:K$1000)</f>
        <v>0</v>
      </c>
      <c r="N2025" s="1"/>
    </row>
    <row r="2026" spans="2:14" x14ac:dyDescent="0.35">
      <c r="B2026" s="5" t="str">
        <f t="shared" si="2061"/>
        <v>SPS1</v>
      </c>
      <c r="C2026" s="5" t="str">
        <f t="shared" si="2062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0</v>
      </c>
      <c r="L2026" s="1" cm="1">
        <f t="array" ref="L2026">SUMPRODUCT(ISNUMBER(SEARCH("SUP_ELCH2*SOEC*",[2]OUT_SyntheticFuels!$C$4:$C$1000))*1,("Var_cap"=[2]OUT_SyntheticFuels!$B$4:$B$1000)*1,[2]OUT_SyntheticFuels!K$4:K$1000)</f>
        <v>0</v>
      </c>
      <c r="N2026" s="1"/>
    </row>
    <row r="2027" spans="2:14" x14ac:dyDescent="0.35">
      <c r="B2027" s="5" t="str">
        <f t="shared" si="2061"/>
        <v>SPS1</v>
      </c>
      <c r="C2027" s="5" t="str">
        <f t="shared" si="2062"/>
        <v>CH</v>
      </c>
      <c r="D2027" t="s">
        <v>2148</v>
      </c>
      <c r="E2027" t="s">
        <v>2154</v>
      </c>
      <c r="F2027" s="1">
        <f t="shared" ref="F2027" si="2069">SUM(F2028:F2029)</f>
        <v>0</v>
      </c>
      <c r="G2027" s="1">
        <f t="shared" ref="G2027" si="2070">SUM(G2028:G2029)</f>
        <v>0</v>
      </c>
      <c r="H2027" s="1">
        <f t="shared" ref="H2027" si="2071">SUM(H2028:H2029)</f>
        <v>0</v>
      </c>
      <c r="I2027" s="1">
        <f t="shared" ref="I2027" si="2072">SUM(I2028:I2029)</f>
        <v>6.7159810430076696E-7</v>
      </c>
      <c r="J2027" s="1">
        <f t="shared" ref="J2027" si="2073">SUM(J2028:J2029)</f>
        <v>1.1029759263204319E-6</v>
      </c>
      <c r="K2027" s="1">
        <f t="shared" ref="K2027:L2027" si="2074">SUM(K2028:K2029)</f>
        <v>1.1197523020852281E-6</v>
      </c>
      <c r="L2027" s="1">
        <f t="shared" si="2074"/>
        <v>8.3361285247631985E-7</v>
      </c>
      <c r="N2027" s="1"/>
    </row>
    <row r="2028" spans="2:14" x14ac:dyDescent="0.35">
      <c r="B2028" s="5" t="str">
        <f t="shared" si="2061"/>
        <v>SPS1</v>
      </c>
      <c r="C2028" s="5" t="str">
        <f t="shared" si="2062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6.7159810430076696E-7</v>
      </c>
      <c r="J2028" s="1" cm="1">
        <f t="array" ref="J2028">SUMPRODUCT(ISNUMBER(SEARCH("SUP_NGAH2",[2]OUT_SyntheticFuels!$C$4:$C$1000))*1,("Var_cap"=[2]OUT_SyntheticFuels!$B$4:$B$1000)*1,[2]OUT_SyntheticFuels!I$4:I$1000)-J2029</f>
        <v>1.1029759263204319E-6</v>
      </c>
      <c r="K2028" s="1" cm="1">
        <f t="array" ref="K2028">SUMPRODUCT(ISNUMBER(SEARCH("SUP_NGAH2",[2]OUT_SyntheticFuels!$C$4:$C$1000))*1,("Var_cap"=[2]OUT_SyntheticFuels!$B$4:$B$1000)*1,[2]OUT_SyntheticFuels!J$4:J$1000)-K2029</f>
        <v>1.1197523020852281E-6</v>
      </c>
      <c r="L2028" s="1" cm="1">
        <f t="array" ref="L2028">SUMPRODUCT(ISNUMBER(SEARCH("SUP_NGAH2",[2]OUT_SyntheticFuels!$C$4:$C$1000))*1,("Var_cap"=[2]OUT_SyntheticFuels!$B$4:$B$1000)*1,[2]OUT_SyntheticFuels!K$4:K$1000)-L2029</f>
        <v>8.3361285247631985E-7</v>
      </c>
      <c r="N2028" s="1"/>
    </row>
    <row r="2029" spans="2:14" x14ac:dyDescent="0.35">
      <c r="B2029" s="5" t="str">
        <f t="shared" si="2061"/>
        <v>SPS1</v>
      </c>
      <c r="C2029" s="5" t="str">
        <f t="shared" si="2062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1"/>
        <v>SPS1</v>
      </c>
      <c r="C2030" s="5" t="str">
        <f t="shared" si="2062"/>
        <v>CH</v>
      </c>
      <c r="D2030" t="s">
        <v>2151</v>
      </c>
      <c r="E2030" t="s">
        <v>2154</v>
      </c>
      <c r="F2030" s="1">
        <f t="shared" ref="F2030" si="2075">SUM(F2031:F2032)</f>
        <v>0</v>
      </c>
      <c r="G2030" s="1">
        <f t="shared" ref="G2030" si="2076">SUM(G2031:G2032)</f>
        <v>0</v>
      </c>
      <c r="H2030" s="1">
        <f t="shared" ref="H2030" si="2077">SUM(H2031:H2032)</f>
        <v>0</v>
      </c>
      <c r="I2030" s="1">
        <f t="shared" ref="I2030" si="2078">SUM(I2031:I2032)</f>
        <v>0</v>
      </c>
      <c r="J2030" s="1">
        <f t="shared" ref="J2030" si="2079">SUM(J2031:J2032)</f>
        <v>0</v>
      </c>
      <c r="K2030" s="1">
        <f t="shared" ref="K2030:L2030" si="2080">SUM(K2031:K2032)</f>
        <v>0</v>
      </c>
      <c r="L2030" s="1">
        <f t="shared" si="2080"/>
        <v>0</v>
      </c>
      <c r="N2030" s="1"/>
    </row>
    <row r="2031" spans="2:14" x14ac:dyDescent="0.35">
      <c r="B2031" s="5" t="str">
        <f t="shared" si="2061"/>
        <v>SPS1</v>
      </c>
      <c r="C2031" s="5" t="str">
        <f t="shared" si="2062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1"/>
        <v>SPS1</v>
      </c>
      <c r="C2032" s="5" t="str">
        <f t="shared" si="2062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1">B2033</f>
        <v>SPS1</v>
      </c>
      <c r="C2034" s="5" t="str">
        <f t="shared" ref="C2034:C2049" si="2082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6.2404105030948544E-2</v>
      </c>
      <c r="G2034" s="7" cm="1">
        <f t="array" ref="G2034">SUMPRODUCT(("CT_CWODBDS"=[1]OUT_SyntheticFuels!$C$4:$C$1000)*1,("Var_cap"=[1]OUT_SyntheticFuels!$B$4:$B$1000)*1,[1]OUT_SyntheticFuels!F$4:F$1000)</f>
        <v>6.2400086879804362E-2</v>
      </c>
      <c r="H2034" s="7" cm="1">
        <f t="array" ref="H2034">SUMPRODUCT(("CT_CWODBDS"=[1]OUT_SyntheticFuels!$C$4:$C$1000)*1,("Var_cap"=[1]OUT_SyntheticFuels!$B$4:$B$1000)*1,[1]OUT_SyntheticFuels!G$4:G$1000)</f>
        <v>6.2399335501747408E-2</v>
      </c>
      <c r="I2034" s="7" cm="1">
        <f t="array" ref="I2034">SUMPRODUCT(("CT_CWODBDS"=[1]OUT_SyntheticFuels!$C$4:$C$1000)*1,("Var_cap"=[1]OUT_SyntheticFuels!$B$4:$B$1000)*1,[1]OUT_SyntheticFuels!H$4:H$1000)</f>
        <v>-4.0390295830139422E-7</v>
      </c>
      <c r="J2034" s="7" cm="1">
        <f t="array" ref="J2034">SUMPRODUCT(("CT_CWODBDS"=[2]OUT_SyntheticFuels!$C$4:$C$1000)*1,("Var_cap"=[2]OUT_SyntheticFuels!$B$4:$B$1000)*1,[2]OUT_SyntheticFuels!I$4:I$1000)</f>
        <v>-1.0075233207972045E-7</v>
      </c>
      <c r="K2034" s="7" cm="1">
        <f t="array" ref="K2034">SUMPRODUCT(("CT_CWODBDS"=[2]OUT_SyntheticFuels!$C$4:$C$1000)*1,("Var_cap"=[2]OUT_SyntheticFuels!$B$4:$B$1000)*1,[2]OUT_SyntheticFuels!J$4:J$1000)</f>
        <v>0</v>
      </c>
      <c r="L2034" s="7" cm="1">
        <f t="array" ref="L2034">SUMPRODUCT(("CT_CWODBDS"=[2]OUT_SyntheticFuels!$C$4:$C$1000)*1,("Var_cap"=[2]OUT_SyntheticFuels!$B$4:$B$1000)*1,[2]OUT_SyntheticFuels!K$4:K$1000)</f>
        <v>0</v>
      </c>
      <c r="N2034" s="1"/>
    </row>
    <row r="2035" spans="2:14" x14ac:dyDescent="0.35">
      <c r="B2035" s="5" t="str">
        <f t="shared" si="2081"/>
        <v>SPS1</v>
      </c>
      <c r="C2035" s="5" t="str">
        <f t="shared" si="2082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1"/>
        <v>SPS1</v>
      </c>
      <c r="C2036" s="5" t="str">
        <f t="shared" si="2082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2.0373354725669599E-3</v>
      </c>
      <c r="G2036" s="7" cm="1">
        <f t="array" ref="G2036">SUMPRODUCT(("CT_CWODETH"=[1]OUT_SyntheticFuels!$C$4:$C$1000)*1,("Var_cap"=[1]OUT_SyntheticFuels!$B$4:$B$1000)*1,[1]OUT_SyntheticFuels!F$4:F$1000)</f>
        <v>2.0372222224991176E-3</v>
      </c>
      <c r="H2036" s="7" cm="1">
        <f t="array" ref="H2036">SUMPRODUCT(("CT_CWODETH"=[1]OUT_SyntheticFuels!$C$4:$C$1000)*1,("Var_cap"=[1]OUT_SyntheticFuels!$B$4:$B$1000)*1,[1]OUT_SyntheticFuels!G$4:G$1000)</f>
        <v>2.0371874945963302E-3</v>
      </c>
      <c r="I2036" s="7" cm="1">
        <f t="array" ref="I2036">SUMPRODUCT(("CT_CWODETH"=[1]OUT_SyntheticFuels!$C$4:$C$1000)*1,("Var_cap"=[1]OUT_SyntheticFuels!$B$4:$B$1000)*1,[1]OUT_SyntheticFuels!H$4:H$1000)</f>
        <v>9.1633818175619727E-4</v>
      </c>
      <c r="J2036" s="7" cm="1">
        <f t="array" ref="J2036">SUMPRODUCT(("CT_CWODETH"=[2]OUT_SyntheticFuels!$C$4:$C$1000)*1,("Var_cap"=[2]OUT_SyntheticFuels!$B$4:$B$1000)*1,[2]OUT_SyntheticFuels!I$4:I$1000)</f>
        <v>0</v>
      </c>
      <c r="K2036" s="7" cm="1">
        <f t="array" ref="K2036">SUMPRODUCT(("CT_CWODETH"=[2]OUT_SyntheticFuels!$C$4:$C$1000)*1,("Var_cap"=[2]OUT_SyntheticFuels!$B$4:$B$1000)*1,[2]OUT_SyntheticFuels!J$4:J$1000)</f>
        <v>0</v>
      </c>
      <c r="L2036" s="7" cm="1">
        <f t="array" ref="L2036">SUMPRODUCT(("CT_CWODETH"=[2]OUT_SyntheticFuels!$C$4:$C$1000)*1,("Var_cap"=[2]OUT_SyntheticFuels!$B$4:$B$1000)*1,[2]OUT_SyntheticFuels!K$4:K$1000)</f>
        <v>0</v>
      </c>
      <c r="N2036" s="1"/>
    </row>
    <row r="2037" spans="2:14" x14ac:dyDescent="0.35">
      <c r="B2037" s="5" t="str">
        <f t="shared" si="2081"/>
        <v>SPS1</v>
      </c>
      <c r="C2037" s="5" t="str">
        <f t="shared" si="2082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1"/>
        <v>SPS1</v>
      </c>
      <c r="C2038" s="5" t="str">
        <f t="shared" si="2082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5.1637803348739998E-2</v>
      </c>
      <c r="G2038" s="7" cm="1">
        <f t="array" ref="G2038">SUMPRODUCT(("SUP_MNRBIO"=[1]OUT_SyntheticFuels!$C$4:$C$1000)*1,("Var_cap"=[1]OUT_SyntheticFuels!$B$4:$B$1000)*1,[1]OUT_SyntheticFuels!F$4:F$1000)</f>
        <v>0.1624020975687967</v>
      </c>
      <c r="H2038" s="7" cm="1">
        <f t="array" ref="H2038">SUMPRODUCT(("SUP_MNRBIO"=[1]OUT_SyntheticFuels!$C$4:$C$1000)*1,("Var_cap"=[1]OUT_SyntheticFuels!$B$4:$B$1000)*1,[1]OUT_SyntheticFuels!G$4:G$1000)</f>
        <v>0.1624040372559018</v>
      </c>
      <c r="I2038" s="7" cm="1">
        <f t="array" ref="I2038">SUMPRODUCT(("SUP_MNRBIO"=[1]OUT_SyntheticFuels!$C$4:$C$1000)*1,("Var_cap"=[1]OUT_SyntheticFuels!$B$4:$B$1000)*1,[1]OUT_SyntheticFuels!H$4:H$1000)</f>
        <v>0.16240381031731307</v>
      </c>
      <c r="J2038" s="7" cm="1">
        <f t="array" ref="J2038">SUMPRODUCT(("SUP_MNRBIO"=[2]OUT_SyntheticFuels!$C$4:$C$1000)*1,("Var_cap"=[2]OUT_SyntheticFuels!$B$4:$B$1000)*1,[2]OUT_SyntheticFuels!I$4:I$1000)</f>
        <v>0.16240985086458962</v>
      </c>
      <c r="K2038" s="7" cm="1">
        <f t="array" ref="K2038">SUMPRODUCT(("SUP_MNRBIO"=[2]OUT_SyntheticFuels!$C$4:$C$1000)*1,("Var_cap"=[2]OUT_SyntheticFuels!$B$4:$B$1000)*1,[2]OUT_SyntheticFuels!J$4:J$1000)</f>
        <v>0.21997733682148768</v>
      </c>
      <c r="L2038" s="7" cm="1">
        <f t="array" ref="L2038">SUMPRODUCT(("SUP_MNRBIO"=[2]OUT_SyntheticFuels!$C$4:$C$1000)*1,("Var_cap"=[2]OUT_SyntheticFuels!$B$4:$B$1000)*1,[2]OUT_SyntheticFuels!K$4:K$1000)</f>
        <v>0.24362234413749295</v>
      </c>
      <c r="N2038" s="1"/>
    </row>
    <row r="2039" spans="2:14" x14ac:dyDescent="0.35">
      <c r="B2039" s="5" t="str">
        <f t="shared" si="2081"/>
        <v>SPS1</v>
      </c>
      <c r="C2039" s="5" t="str">
        <f t="shared" si="2082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0.21267114408685103</v>
      </c>
      <c r="G2039" s="7" cm="1">
        <f t="array" ref="G2039">SUMPRODUCT(("SUP_WSTBIO"=[1]OUT_SyntheticFuels!$C$4:$C$1000)*1,("Var_cap"=[1]OUT_SyntheticFuels!$B$4:$B$1000)*1,[1]OUT_SyntheticFuels!F$4:F$1000)</f>
        <v>0.23566725665918242</v>
      </c>
      <c r="H2039" s="7" cm="1">
        <f t="array" ref="H2039">SUMPRODUCT(("SUP_WSTBIO"=[1]OUT_SyntheticFuels!$C$4:$C$1000)*1,("Var_cap"=[1]OUT_SyntheticFuels!$B$4:$B$1000)*1,[1]OUT_SyntheticFuels!G$4:G$1000)</f>
        <v>0.23566270190279745</v>
      </c>
      <c r="I2039" s="7" cm="1">
        <f t="array" ref="I2039">SUMPRODUCT(("SUP_WSTBIO"=[1]OUT_SyntheticFuels!$C$4:$C$1000)*1,("Var_cap"=[1]OUT_SyntheticFuels!$B$4:$B$1000)*1,[1]OUT_SyntheticFuels!H$4:H$1000)</f>
        <v>0.25486145075273237</v>
      </c>
      <c r="J2039" s="7" cm="1">
        <f t="array" ref="J2039">SUMPRODUCT(("SUP_WSTBIO"=[2]OUT_SyntheticFuels!$C$4:$C$1000)*1,("Var_cap"=[2]OUT_SyntheticFuels!$B$4:$B$1000)*1,[2]OUT_SyntheticFuels!I$4:I$1000)</f>
        <v>0.28890228625333714</v>
      </c>
      <c r="K2039" s="7" cm="1">
        <f t="array" ref="K2039">SUMPRODUCT(("SUP_WSTBIO"=[2]OUT_SyntheticFuels!$C$4:$C$1000)*1,("Var_cap"=[2]OUT_SyntheticFuels!$B$4:$B$1000)*1,[2]OUT_SyntheticFuels!J$4:J$1000)</f>
        <v>0.31763735956092792</v>
      </c>
      <c r="L2039" s="7" cm="1">
        <f t="array" ref="L2039">SUMPRODUCT(("SUP_WSTBIO"=[2]OUT_SyntheticFuels!$C$4:$C$1000)*1,("Var_cap"=[2]OUT_SyntheticFuels!$B$4:$B$1000)*1,[2]OUT_SyntheticFuels!K$4:K$1000)</f>
        <v>0.37191040996270947</v>
      </c>
      <c r="N2039" s="1"/>
    </row>
    <row r="2040" spans="2:14" x14ac:dyDescent="0.35">
      <c r="B2040" s="5" t="str">
        <f t="shared" si="2081"/>
        <v>SPS1</v>
      </c>
      <c r="C2040" s="5" t="str">
        <f t="shared" si="2082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1"/>
        <v>SPS1</v>
      </c>
      <c r="C2041" s="5" t="str">
        <f t="shared" si="2082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2.9007104002940702E-4</v>
      </c>
      <c r="L2041" s="7" cm="1">
        <f t="array" ref="L2041">SUMPRODUCT(("SUP_WSTHTGBIO"=[2]OUT_SyntheticFuels!$C$4:$C$1000)*1,("Var_cap"=[2]OUT_SyntheticFuels!$B$4:$B$1000)*1,[2]OUT_SyntheticFuels!K$4:K$1000)</f>
        <v>2.9330839982930654E-4</v>
      </c>
      <c r="N2041" s="1"/>
    </row>
    <row r="2042" spans="2:14" x14ac:dyDescent="0.35">
      <c r="B2042" s="5" t="str">
        <f t="shared" si="2081"/>
        <v>SPS1</v>
      </c>
      <c r="C2042" s="5" t="str">
        <f t="shared" si="2082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1"/>
        <v>SPS1</v>
      </c>
      <c r="C2043" s="5" t="str">
        <f t="shared" si="2082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0</v>
      </c>
      <c r="G2043" s="7" cm="1">
        <f t="array" ref="G2043">SUMPRODUCT(("SUP_WODBIO"=[1]OUT_SyntheticFuels!$C$4:$C$1000)*1,("Var_cap"=[1]OUT_SyntheticFuels!$B$4:$B$1000)*1,[1]OUT_SyntheticFuels!F$4:F$1000)</f>
        <v>0</v>
      </c>
      <c r="H2043" s="7" cm="1">
        <f t="array" ref="H2043">SUMPRODUCT(("SUP_WODBIO"=[1]OUT_SyntheticFuels!$C$4:$C$1000)*1,("Var_cap"=[1]OUT_SyntheticFuels!$B$4:$B$1000)*1,[1]OUT_SyntheticFuels!G$4:G$1000)</f>
        <v>0</v>
      </c>
      <c r="I2043" s="7" cm="1">
        <f t="array" ref="I2043">SUMPRODUCT(("SUP_WODBIO"=[1]OUT_SyntheticFuels!$C$4:$C$1000)*1,("Var_cap"=[1]OUT_SyntheticFuels!$B$4:$B$1000)*1,[1]OUT_SyntheticFuels!H$4:H$1000)</f>
        <v>0</v>
      </c>
      <c r="J2043" s="7" cm="1">
        <f t="array" ref="J2043">SUMPRODUCT(("SUP_WODBIO"=[2]OUT_SyntheticFuels!$C$4:$C$1000)*1,("Var_cap"=[2]OUT_SyntheticFuels!$B$4:$B$1000)*1,[2]OUT_SyntheticFuels!I$4:I$1000)</f>
        <v>0</v>
      </c>
      <c r="K2043" s="7" cm="1">
        <f t="array" ref="K2043">SUMPRODUCT(("SUP_WODBIO"=[2]OUT_SyntheticFuels!$C$4:$C$1000)*1,("Var_cap"=[2]OUT_SyntheticFuels!$B$4:$B$1000)*1,[2]OUT_SyntheticFuels!J$4:J$1000)</f>
        <v>0</v>
      </c>
      <c r="L2043" s="7" cm="1">
        <f t="array" ref="L2043">SUMPRODUCT(("SUP_WODBIO"=[2]OUT_SyntheticFuels!$C$4:$C$1000)*1,("Var_cap"=[2]OUT_SyntheticFuels!$B$4:$B$1000)*1,[2]OUT_SyntheticFuels!K$4:K$1000)</f>
        <v>0</v>
      </c>
      <c r="N2043" s="1"/>
    </row>
    <row r="2044" spans="2:14" x14ac:dyDescent="0.35">
      <c r="B2044" s="5" t="str">
        <f t="shared" si="2081"/>
        <v>SPS1</v>
      </c>
      <c r="C2044" s="5" t="str">
        <f t="shared" si="2082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1"/>
        <v>SPS1</v>
      </c>
      <c r="C2045" s="5" t="str">
        <f t="shared" si="2082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4.2337889897109612E-2</v>
      </c>
      <c r="G2045" s="7" cm="1">
        <f t="array" ref="G2045">SUMPRODUCT(("SUP_BIONGA"=[1]OUT_SyntheticFuels!$C$4:$C$1000)*1,("Var_cap"=[1]OUT_SyntheticFuels!$B$4:$B$1000)*1,[1]OUT_SyntheticFuels!F$4:F$1000)</f>
        <v>0.14376601443137771</v>
      </c>
      <c r="H2045" s="7" cm="1">
        <f t="array" ref="H2045">SUMPRODUCT(("SUP_BIONGA"=[1]OUT_SyntheticFuels!$C$4:$C$1000)*1,("Var_cap"=[1]OUT_SyntheticFuels!$B$4:$B$1000)*1,[1]OUT_SyntheticFuels!G$4:G$1000)</f>
        <v>0.14376726963822689</v>
      </c>
      <c r="I2045" s="7" cm="1">
        <f t="array" ref="I2045">SUMPRODUCT(("SUP_BIONGA"=[1]OUT_SyntheticFuels!$C$4:$C$1000)*1,("Var_cap"=[1]OUT_SyntheticFuels!$B$4:$B$1000)*1,[1]OUT_SyntheticFuels!H$4:H$1000)</f>
        <v>0.14376448363920186</v>
      </c>
      <c r="J2045" s="7" cm="1">
        <f t="array" ref="J2045">SUMPRODUCT(("SUP_BIONGA"=[2]OUT_SyntheticFuels!$C$4:$C$1000)*1,("Var_cap"=[2]OUT_SyntheticFuels!$B$4:$B$1000)*1,[2]OUT_SyntheticFuels!I$4:I$1000)</f>
        <v>0.1437642089809256</v>
      </c>
      <c r="K2045" s="7" cm="1">
        <f t="array" ref="K2045">SUMPRODUCT(("SUP_BIONGA"=[2]OUT_SyntheticFuels!$C$4:$C$1000)*1,("Var_cap"=[2]OUT_SyntheticFuels!$B$4:$B$1000)*1,[2]OUT_SyntheticFuels!J$4:J$1000)</f>
        <v>9.2706818970667446E-2</v>
      </c>
      <c r="L2045" s="7" cm="1">
        <f t="array" ref="L2045">SUMPRODUCT(("SUP_BIONGA"=[2]OUT_SyntheticFuels!$C$4:$C$1000)*1,("Var_cap"=[2]OUT_SyntheticFuels!$B$4:$B$1000)*1,[2]OUT_SyntheticFuels!K$4:K$1000)</f>
        <v>0.10370867599923782</v>
      </c>
      <c r="N2045" s="1"/>
    </row>
    <row r="2046" spans="2:14" x14ac:dyDescent="0.35">
      <c r="B2046" s="5" t="str">
        <f t="shared" si="2081"/>
        <v>SPS1</v>
      </c>
      <c r="C2046" s="5" t="str">
        <f t="shared" si="2082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0.35608726257292395</v>
      </c>
      <c r="G2046" s="7" cm="1">
        <f t="array" ref="G2046">SUMPRODUCT(("CT_CWODPLT"=[1]OUT_SyntheticFuels!$C$4:$C$1000)*1,("Var_cap"=[1]OUT_SyntheticFuels!$B$4:$B$1000)*1,[1]OUT_SyntheticFuels!F$4:F$1000)</f>
        <v>0.40993838717367509</v>
      </c>
      <c r="H2046" s="7" cm="1">
        <f t="array" ref="H2046">SUMPRODUCT(("CT_CWODPLT"=[1]OUT_SyntheticFuels!$C$4:$C$1000)*1,("Var_cap"=[1]OUT_SyntheticFuels!$B$4:$B$1000)*1,[1]OUT_SyntheticFuels!G$4:G$1000)</f>
        <v>5.890463431548798E-2</v>
      </c>
      <c r="I2046" s="7" cm="1">
        <f t="array" ref="I2046">SUMPRODUCT(("CT_CWODPLT"=[1]OUT_SyntheticFuels!$C$4:$C$1000)*1,("Var_cap"=[1]OUT_SyntheticFuels!$B$4:$B$1000)*1,[1]OUT_SyntheticFuels!H$4:H$1000)</f>
        <v>5.4968359311582948E-2</v>
      </c>
      <c r="J2046" s="7" cm="1">
        <f t="array" ref="J2046">SUMPRODUCT(("CT_CWODPLT"=[2]OUT_SyntheticFuels!$C$4:$C$1000)*1,("Var_cap"=[2]OUT_SyntheticFuels!$B$4:$B$1000)*1,[2]OUT_SyntheticFuels!I$4:I$1000)</f>
        <v>5.4667084060526588E-2</v>
      </c>
      <c r="K2046" s="7" cm="1">
        <f t="array" ref="K2046">SUMPRODUCT(("CT_CWODPLT"=[2]OUT_SyntheticFuels!$C$4:$C$1000)*1,("Var_cap"=[2]OUT_SyntheticFuels!$B$4:$B$1000)*1,[2]OUT_SyntheticFuels!J$4:J$1000)</f>
        <v>4.3894475091882906E-2</v>
      </c>
      <c r="L2046" s="7" cm="1">
        <f t="array" ref="L2046">SUMPRODUCT(("CT_CWODPLT"=[2]OUT_SyntheticFuels!$C$4:$C$1000)*1,("Var_cap"=[2]OUT_SyntheticFuels!$B$4:$B$1000)*1,[2]OUT_SyntheticFuels!K$4:K$1000)</f>
        <v>3.3641036088496244E-2</v>
      </c>
      <c r="N2046" s="1"/>
    </row>
    <row r="2047" spans="2:14" x14ac:dyDescent="0.35">
      <c r="B2047" s="5" t="str">
        <f t="shared" si="2081"/>
        <v>SPS1</v>
      </c>
      <c r="C2047" s="5" t="str">
        <f t="shared" si="2082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1.3337328998883199E-6</v>
      </c>
      <c r="J2047" s="7" cm="1">
        <f t="array" ref="J2047">SUMPRODUCT(("SUP_H2NGA"=[2]OUT_SyntheticFuels!$C$4:$C$1000)*1,("Var_cap"=[2]OUT_SyntheticFuels!$B$4:$B$1000)*1,[2]OUT_SyntheticFuels!I$4:I$1000)</f>
        <v>2.7764873347760762E-6</v>
      </c>
      <c r="K2047" s="7" cm="1">
        <f t="array" ref="K2047">SUMPRODUCT(("SUP_H2NGA"=[2]OUT_SyntheticFuels!$C$4:$C$1000)*1,("Var_cap"=[2]OUT_SyntheticFuels!$B$4:$B$1000)*1,[2]OUT_SyntheticFuels!J$4:J$1000)</f>
        <v>2.9782020597708903E-6</v>
      </c>
      <c r="L2047" s="7" cm="1">
        <f t="array" ref="L2047">SUMPRODUCT(("SUP_H2NGA"=[2]OUT_SyntheticFuels!$C$4:$C$1000)*1,("Var_cap"=[2]OUT_SyntheticFuels!$B$4:$B$1000)*1,[2]OUT_SyntheticFuels!K$4:K$1000)</f>
        <v>2.1582679141304198E-6</v>
      </c>
      <c r="N2047" s="1"/>
    </row>
    <row r="2048" spans="2:14" x14ac:dyDescent="0.35">
      <c r="B2048" s="5" t="str">
        <f t="shared" si="2081"/>
        <v>SPS1</v>
      </c>
      <c r="C2048" s="5" t="str">
        <f t="shared" si="2082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1.3176430047381799E-6</v>
      </c>
      <c r="J2048" s="7" cm="1">
        <f t="array" ref="J2048">SUMPRODUCT(("SUP_H2DSL"=[2]OUT_SyntheticFuels!$C$4:$C$1000)*1,("Var_cap"=[2]OUT_SyntheticFuels!$B$4:$B$1000)*1,[2]OUT_SyntheticFuels!I$4:I$1000)</f>
        <v>3.0588498607938209E-6</v>
      </c>
      <c r="K2048" s="7" cm="1">
        <f t="array" ref="K2048">SUMPRODUCT(("SUP_H2DSL"=[2]OUT_SyntheticFuels!$C$4:$C$1000)*1,("Var_cap"=[2]OUT_SyntheticFuels!$B$4:$B$1000)*1,[2]OUT_SyntheticFuels!J$4:J$1000)</f>
        <v>3.1480145718942997E-6</v>
      </c>
      <c r="L2048" s="7" cm="1">
        <f t="array" ref="L2048">SUMPRODUCT(("SUP_H2DSL"=[2]OUT_SyntheticFuels!$C$4:$C$1000)*1,("Var_cap"=[2]OUT_SyntheticFuels!$B$4:$B$1000)*1,[2]OUT_SyntheticFuels!K$4:K$1000)</f>
        <v>2.2480322423268901E-6</v>
      </c>
      <c r="N2048" s="1"/>
    </row>
    <row r="2049" spans="2:14" x14ac:dyDescent="0.35">
      <c r="B2049" s="5" t="str">
        <f t="shared" si="2081"/>
        <v>SPS1</v>
      </c>
      <c r="C2049" s="5" t="str">
        <f t="shared" si="2082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1.40711351287848E-6</v>
      </c>
      <c r="J2049" s="7" cm="1">
        <f t="array" ref="J2049">SUMPRODUCT(("SUP_H2GSL"=[2]OUT_SyntheticFuels!$C$4:$C$1000)*1,("Var_cap"=[2]OUT_SyntheticFuels!$B$4:$B$1000)*1,[2]OUT_SyntheticFuels!I$4:I$1000)</f>
        <v>2.8428511497676347E-6</v>
      </c>
      <c r="K2049" s="7" cm="1">
        <f t="array" ref="K2049">SUMPRODUCT(("SUP_H2GSL"=[2]OUT_SyntheticFuels!$C$4:$C$1000)*1,("Var_cap"=[2]OUT_SyntheticFuels!$B$4:$B$1000)*1,[2]OUT_SyntheticFuels!J$4:J$1000)</f>
        <v>2.9230885898516798E-6</v>
      </c>
      <c r="L2049" s="7" cm="1">
        <f t="array" ref="L2049">SUMPRODUCT(("SUP_H2GSL"=[2]OUT_SyntheticFuels!$C$4:$C$1000)*1,("Var_cap"=[2]OUT_SyntheticFuels!$B$4:$B$1000)*1,[2]OUT_SyntheticFuels!K$4:K$1000)</f>
        <v>2.0703549923216103E-6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3">SUM(F2051,F2053,F2057,F2061,F2077,F2084,F2092,F2094,F2102,F2106,F2100)</f>
        <v>8.1828297110053388E-3</v>
      </c>
      <c r="G2050" s="3">
        <f t="shared" si="2083"/>
        <v>9.3931905837359428E-2</v>
      </c>
      <c r="H2050" s="3">
        <f t="shared" si="2083"/>
        <v>5.1589829781185843</v>
      </c>
      <c r="I2050" s="3">
        <f t="shared" si="2083"/>
        <v>0.59524709073887427</v>
      </c>
      <c r="J2050" s="3">
        <f t="shared" si="2083"/>
        <v>6.831038582207011</v>
      </c>
      <c r="K2050" s="3">
        <f t="shared" si="2083"/>
        <v>4.9083142540140505</v>
      </c>
      <c r="L2050" s="3">
        <f t="shared" ref="L2050" si="2084">SUM(L2051,L2053,L2057,L2061,L2077,L2084,L2092,L2094,L2102,L2106,L2100)</f>
        <v>17.134317692153587</v>
      </c>
      <c r="N2050" s="1"/>
    </row>
    <row r="2051" spans="2:14" x14ac:dyDescent="0.35">
      <c r="B2051" s="5" t="str">
        <f>B2050</f>
        <v>SPS1</v>
      </c>
      <c r="C2051" s="5" t="str">
        <f t="shared" ref="C2051:C2113" si="2085">C2050</f>
        <v>CH</v>
      </c>
      <c r="D2051" t="s">
        <v>2180</v>
      </c>
      <c r="E2051" t="str">
        <f t="shared" ref="E2051:E2082" si="2086">E2050</f>
        <v>GWe/yr.</v>
      </c>
      <c r="F2051" s="1">
        <f t="shared" ref="F2051:L2051" si="2087">+F2052</f>
        <v>0</v>
      </c>
      <c r="G2051" s="1">
        <f t="shared" si="2087"/>
        <v>0</v>
      </c>
      <c r="H2051" s="1">
        <f t="shared" si="2087"/>
        <v>0</v>
      </c>
      <c r="I2051" s="1">
        <f t="shared" si="2087"/>
        <v>0</v>
      </c>
      <c r="J2051" s="1">
        <f t="shared" si="2087"/>
        <v>0</v>
      </c>
      <c r="K2051" s="1">
        <f t="shared" si="2087"/>
        <v>0</v>
      </c>
      <c r="L2051" s="1">
        <f t="shared" si="2087"/>
        <v>0</v>
      </c>
      <c r="N2051" s="1"/>
    </row>
    <row r="2052" spans="2:14" x14ac:dyDescent="0.35">
      <c r="B2052" s="5" t="str">
        <f t="shared" ref="B2052:B2113" si="2088">B2051</f>
        <v>SPS1</v>
      </c>
      <c r="C2052" s="5" t="str">
        <f t="shared" si="2085"/>
        <v>CH</v>
      </c>
      <c r="D2052" t="s">
        <v>2181</v>
      </c>
      <c r="E2052" t="str">
        <f t="shared" si="2086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8"/>
        <v>SPS1</v>
      </c>
      <c r="C2053" s="5" t="str">
        <f t="shared" si="2085"/>
        <v>CH</v>
      </c>
      <c r="D2053" t="s">
        <v>2182</v>
      </c>
      <c r="E2053" t="str">
        <f t="shared" si="2086"/>
        <v>GWe/yr.</v>
      </c>
      <c r="F2053" s="1">
        <f t="shared" ref="F2053:K2053" si="2089">SUM(F2054:F2056)</f>
        <v>0</v>
      </c>
      <c r="G2053" s="1">
        <f t="shared" si="2089"/>
        <v>1.6514735638475012E-2</v>
      </c>
      <c r="H2053" s="1">
        <f t="shared" si="2089"/>
        <v>5.6094980234101446E-3</v>
      </c>
      <c r="I2053" s="1">
        <f t="shared" si="2089"/>
        <v>4.7546836659653549E-2</v>
      </c>
      <c r="J2053" s="1">
        <f t="shared" si="2089"/>
        <v>6.1872239291920384E-4</v>
      </c>
      <c r="K2053" s="1">
        <f t="shared" si="2089"/>
        <v>3.0591297371781997E-2</v>
      </c>
      <c r="L2053" s="1">
        <f t="shared" ref="L2053" si="2090">SUM(L2054:L2056)</f>
        <v>1.2465997900989234</v>
      </c>
      <c r="N2053" s="1"/>
    </row>
    <row r="2054" spans="2:14" x14ac:dyDescent="0.35">
      <c r="B2054" s="5" t="str">
        <f t="shared" si="2088"/>
        <v>SPS1</v>
      </c>
      <c r="C2054" s="5" t="str">
        <f t="shared" si="2085"/>
        <v>CH</v>
      </c>
      <c r="D2054" t="s">
        <v>2183</v>
      </c>
      <c r="E2054" t="str">
        <f t="shared" si="2086"/>
        <v>GWe/yr.</v>
      </c>
      <c r="F2054" s="1">
        <f>'[1]Electricity and CHPs_NCAP'!B$15</f>
        <v>0</v>
      </c>
      <c r="G2054" s="1">
        <f>'[1]Electricity and CHPs_NCAP'!C$15</f>
        <v>1.5096211071269109E-2</v>
      </c>
      <c r="H2054" s="1">
        <f>'[1]Electricity and CHPs_NCAP'!D$15</f>
        <v>1.124521837691578E-5</v>
      </c>
      <c r="I2054" s="1">
        <f>'[1]Electricity and CHPs_NCAP'!E$15</f>
        <v>2.0842376663581446E-2</v>
      </c>
      <c r="J2054" s="1">
        <f>'[2]Electricity and CHPs_NCAP'!F$15</f>
        <v>7.2517383841537301E-5</v>
      </c>
      <c r="K2054" s="1">
        <f>'[2]Electricity and CHPs_NCAP'!G$15</f>
        <v>4.6807122691165097E-6</v>
      </c>
      <c r="L2054" s="1">
        <f>'[2]Electricity and CHPs_NCAP'!H$15</f>
        <v>1.2465939759766063</v>
      </c>
      <c r="N2054" s="1"/>
    </row>
    <row r="2055" spans="2:14" x14ac:dyDescent="0.35">
      <c r="B2055" s="5" t="str">
        <f t="shared" si="2088"/>
        <v>SPS1</v>
      </c>
      <c r="C2055" s="5" t="str">
        <f t="shared" si="2085"/>
        <v>CH</v>
      </c>
      <c r="D2055" t="s">
        <v>2184</v>
      </c>
      <c r="E2055" t="str">
        <f t="shared" si="2086"/>
        <v>GWe/yr.</v>
      </c>
      <c r="F2055" s="1">
        <f>'[1]Electricity and CHPs_NCAP'!B$16</f>
        <v>0</v>
      </c>
      <c r="G2055" s="1">
        <f>'[1]Electricity and CHPs_NCAP'!C$16</f>
        <v>1.060778842149501E-3</v>
      </c>
      <c r="H2055" s="1">
        <f>'[1]Electricity and CHPs_NCAP'!D$16</f>
        <v>5.5981972912240779E-3</v>
      </c>
      <c r="I2055" s="1">
        <f>'[1]Electricity and CHPs_NCAP'!E$16</f>
        <v>2.6704376866713928E-2</v>
      </c>
      <c r="J2055" s="1">
        <f>'[2]Electricity and CHPs_NCAP'!F$16</f>
        <v>5.4613764389268801E-4</v>
      </c>
      <c r="K2055" s="1">
        <f>'[2]Electricity and CHPs_NCAP'!G$16</f>
        <v>3.0586506656851861E-2</v>
      </c>
      <c r="L2055" s="1">
        <f>'[2]Electricity and CHPs_NCAP'!H$16</f>
        <v>5.4371283391692003E-6</v>
      </c>
      <c r="N2055" s="1"/>
    </row>
    <row r="2056" spans="2:14" x14ac:dyDescent="0.35">
      <c r="B2056" s="5" t="str">
        <f t="shared" si="2088"/>
        <v>SPS1</v>
      </c>
      <c r="C2056" s="5" t="str">
        <f t="shared" si="2085"/>
        <v>CH</v>
      </c>
      <c r="D2056" t="s">
        <v>2185</v>
      </c>
      <c r="E2056" t="str">
        <f t="shared" si="2086"/>
        <v>GWe/yr.</v>
      </c>
      <c r="F2056" s="1">
        <f>'[1]Electricity and CHPs_NCAP'!B$17</f>
        <v>0</v>
      </c>
      <c r="G2056" s="1">
        <f>'[1]Electricity and CHPs_NCAP'!C$17</f>
        <v>3.5774572505640399E-4</v>
      </c>
      <c r="H2056" s="1">
        <f>'[1]Electricity and CHPs_NCAP'!D$17</f>
        <v>5.5513809150840102E-8</v>
      </c>
      <c r="I2056" s="1">
        <f>'[1]Electricity and CHPs_NCAP'!E$17</f>
        <v>8.3129358173521506E-8</v>
      </c>
      <c r="J2056" s="1">
        <f>'[2]Electricity and CHPs_NCAP'!F$17</f>
        <v>6.7365184978436305E-8</v>
      </c>
      <c r="K2056" s="1">
        <f>'[2]Electricity and CHPs_NCAP'!G$17</f>
        <v>1.1000266102246099E-7</v>
      </c>
      <c r="L2056" s="1">
        <f>'[2]Electricity and CHPs_NCAP'!H$17</f>
        <v>3.7699397799880602E-7</v>
      </c>
      <c r="N2056" s="1"/>
    </row>
    <row r="2057" spans="2:14" x14ac:dyDescent="0.35">
      <c r="B2057" s="5" t="str">
        <f t="shared" si="2088"/>
        <v>SPS1</v>
      </c>
      <c r="C2057" s="5" t="str">
        <f t="shared" si="2085"/>
        <v>CH</v>
      </c>
      <c r="D2057" t="s">
        <v>2186</v>
      </c>
      <c r="E2057" t="str">
        <f t="shared" si="2086"/>
        <v>GWe/yr.</v>
      </c>
      <c r="F2057" s="1">
        <f t="shared" ref="F2057:K2057" si="2091">SUM(F2058:F2060)</f>
        <v>0</v>
      </c>
      <c r="G2057" s="1">
        <f t="shared" si="2091"/>
        <v>1.1949601618586112E-2</v>
      </c>
      <c r="H2057" s="1">
        <f t="shared" si="2091"/>
        <v>2.5799770126144661E-3</v>
      </c>
      <c r="I2057" s="1">
        <f t="shared" si="2091"/>
        <v>1.1610697468061483E-2</v>
      </c>
      <c r="J2057" s="1">
        <f t="shared" si="2091"/>
        <v>2.6182448426589656E-2</v>
      </c>
      <c r="K2057" s="1">
        <f t="shared" si="2091"/>
        <v>5.2904795987156552E-5</v>
      </c>
      <c r="L2057" s="1">
        <f t="shared" ref="L2057" si="2092">SUM(L2058:L2060)</f>
        <v>5.1715140923634781E-4</v>
      </c>
      <c r="N2057" s="1"/>
    </row>
    <row r="2058" spans="2:14" x14ac:dyDescent="0.35">
      <c r="B2058" s="5" t="str">
        <f t="shared" si="2088"/>
        <v>SPS1</v>
      </c>
      <c r="C2058" s="5" t="str">
        <f t="shared" si="2085"/>
        <v>CH</v>
      </c>
      <c r="D2058" t="s">
        <v>2187</v>
      </c>
      <c r="E2058" t="str">
        <f t="shared" si="2086"/>
        <v>GWe/yr.</v>
      </c>
      <c r="F2058" s="1">
        <f>'[1]Electricity and CHPs_NCAP'!B$18</f>
        <v>0</v>
      </c>
      <c r="G2058" s="1">
        <f>'[1]Electricity and CHPs_NCAP'!C$18</f>
        <v>1.11067872666598E-5</v>
      </c>
      <c r="H2058" s="1">
        <f>'[1]Electricity and CHPs_NCAP'!D$18</f>
        <v>5.64068827272582E-5</v>
      </c>
      <c r="I2058" s="1">
        <f>'[1]Electricity and CHPs_NCAP'!E$18</f>
        <v>2.5999717446874499E-5</v>
      </c>
      <c r="J2058" s="1">
        <f>'[2]Electricity and CHPs_NCAP'!F$18</f>
        <v>1.3039266650411999E-2</v>
      </c>
      <c r="K2058" s="1">
        <f>'[2]Electricity and CHPs_NCAP'!G$18</f>
        <v>4.6481217147896797E-6</v>
      </c>
      <c r="L2058" s="1">
        <f>'[2]Electricity and CHPs_NCAP'!H$18</f>
        <v>7.1887276940157804E-6</v>
      </c>
      <c r="N2058" s="1"/>
    </row>
    <row r="2059" spans="2:14" x14ac:dyDescent="0.35">
      <c r="B2059" s="5" t="str">
        <f t="shared" si="2088"/>
        <v>SPS1</v>
      </c>
      <c r="C2059" s="5" t="str">
        <f t="shared" si="2085"/>
        <v>CH</v>
      </c>
      <c r="D2059" t="s">
        <v>2188</v>
      </c>
      <c r="E2059" t="str">
        <f t="shared" si="2086"/>
        <v>GWe/yr.</v>
      </c>
      <c r="F2059" s="1">
        <f>'[1]Electricity and CHPs_NCAP'!B$28</f>
        <v>0</v>
      </c>
      <c r="G2059" s="1">
        <f>'[1]Electricity and CHPs_NCAP'!C$28</f>
        <v>7.1224250099504999E-6</v>
      </c>
      <c r="H2059" s="1">
        <f>'[1]Electricity and CHPs_NCAP'!D$28</f>
        <v>4.4641334635281904E-6</v>
      </c>
      <c r="I2059" s="1">
        <f>'[1]Electricity and CHPs_NCAP'!E$28</f>
        <v>5.2159040677094798E-6</v>
      </c>
      <c r="J2059" s="1">
        <f>'[2]Electricity and CHPs_NCAP'!F$28</f>
        <v>1.48832123435561E-5</v>
      </c>
      <c r="K2059" s="1">
        <f>'[2]Electricity and CHPs_NCAP'!G$28</f>
        <v>3.9908774112002003E-5</v>
      </c>
      <c r="L2059" s="1">
        <f>'[2]Electricity and CHPs_NCAP'!H$28</f>
        <v>5.5342459819699E-5</v>
      </c>
      <c r="N2059" s="1"/>
    </row>
    <row r="2060" spans="2:14" x14ac:dyDescent="0.35">
      <c r="B2060" s="5" t="str">
        <f t="shared" si="2088"/>
        <v>SPS1</v>
      </c>
      <c r="C2060" s="5" t="str">
        <f t="shared" si="2085"/>
        <v>CH</v>
      </c>
      <c r="D2060" t="s">
        <v>2189</v>
      </c>
      <c r="E2060" t="str">
        <f t="shared" si="2086"/>
        <v>GWe/yr.</v>
      </c>
      <c r="F2060" s="1">
        <f>'[1]Electricity and CHPs_NCAP'!B$41</f>
        <v>0</v>
      </c>
      <c r="G2060" s="1">
        <f>'[1]Electricity and CHPs_NCAP'!C$41</f>
        <v>1.1931372406309501E-2</v>
      </c>
      <c r="H2060" s="1">
        <f>'[1]Electricity and CHPs_NCAP'!D$41</f>
        <v>2.5191059964236799E-3</v>
      </c>
      <c r="I2060" s="1">
        <f>'[1]Electricity and CHPs_NCAP'!E$41</f>
        <v>1.1579481846546899E-2</v>
      </c>
      <c r="J2060" s="1">
        <f>'[2]Electricity and CHPs_NCAP'!F$41</f>
        <v>1.3128298563834099E-2</v>
      </c>
      <c r="K2060" s="1">
        <f>'[2]Electricity and CHPs_NCAP'!G$41</f>
        <v>8.3479001603648703E-6</v>
      </c>
      <c r="L2060" s="1">
        <f>'[2]Electricity and CHPs_NCAP'!H$41</f>
        <v>4.5462022172263302E-4</v>
      </c>
      <c r="N2060" s="1"/>
    </row>
    <row r="2061" spans="2:14" x14ac:dyDescent="0.35">
      <c r="B2061" s="5" t="str">
        <f t="shared" si="2088"/>
        <v>SPS1</v>
      </c>
      <c r="C2061" s="5" t="str">
        <f t="shared" si="2085"/>
        <v>CH</v>
      </c>
      <c r="D2061" t="s">
        <v>2190</v>
      </c>
      <c r="E2061" t="str">
        <f t="shared" si="2086"/>
        <v>GWe/yr.</v>
      </c>
      <c r="F2061" s="1">
        <f t="shared" ref="F2061:K2061" si="2093">SUM(F2062:F2076)</f>
        <v>0</v>
      </c>
      <c r="G2061" s="1">
        <f t="shared" si="2093"/>
        <v>5.3664997445540971E-2</v>
      </c>
      <c r="H2061" s="1">
        <f t="shared" si="2093"/>
        <v>4.949008152430262E-2</v>
      </c>
      <c r="I2061" s="1">
        <f t="shared" si="2093"/>
        <v>0.16186518698682087</v>
      </c>
      <c r="J2061" s="1">
        <f t="shared" si="2093"/>
        <v>9.3716047038327394E-2</v>
      </c>
      <c r="K2061" s="1">
        <f t="shared" si="2093"/>
        <v>5.0470761444938089E-2</v>
      </c>
      <c r="L2061" s="1">
        <f t="shared" ref="L2061" si="2094">SUM(L2062:L2076)</f>
        <v>0.1000860847218598</v>
      </c>
      <c r="N2061" s="1"/>
    </row>
    <row r="2062" spans="2:14" x14ac:dyDescent="0.35">
      <c r="B2062" s="5" t="str">
        <f t="shared" si="2088"/>
        <v>SPS1</v>
      </c>
      <c r="C2062" s="5" t="str">
        <f t="shared" si="2085"/>
        <v>CH</v>
      </c>
      <c r="D2062" t="s">
        <v>2191</v>
      </c>
      <c r="E2062" t="str">
        <f t="shared" si="2086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5.1872100987169698E-4</v>
      </c>
      <c r="L2062" s="1">
        <f>'[2]Electricity and CHPs_NCAP'!H$21</f>
        <v>4.3690279484920203E-5</v>
      </c>
      <c r="N2062" s="1"/>
    </row>
    <row r="2063" spans="2:14" x14ac:dyDescent="0.35">
      <c r="B2063" s="5" t="str">
        <f t="shared" si="2088"/>
        <v>SPS1</v>
      </c>
      <c r="C2063" s="5" t="str">
        <f t="shared" si="2085"/>
        <v>CH</v>
      </c>
      <c r="D2063" t="s">
        <v>2192</v>
      </c>
      <c r="E2063" t="str">
        <f t="shared" si="2086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1.51756691446388E-2</v>
      </c>
      <c r="J2063" s="1">
        <f>'[2]Electricity and CHPs_NCAP'!F$22</f>
        <v>1.7394239316329101E-2</v>
      </c>
      <c r="K2063" s="1">
        <f>'[2]Electricity and CHPs_NCAP'!G$22</f>
        <v>2.58165753321781E-5</v>
      </c>
      <c r="L2063" s="1">
        <f>'[2]Electricity and CHPs_NCAP'!H$22</f>
        <v>5.6081524966374002E-5</v>
      </c>
      <c r="N2063" s="1"/>
    </row>
    <row r="2064" spans="2:14" x14ac:dyDescent="0.35">
      <c r="B2064" s="5" t="str">
        <f t="shared" si="2088"/>
        <v>SPS1</v>
      </c>
      <c r="C2064" s="5" t="str">
        <f t="shared" si="2085"/>
        <v>CH</v>
      </c>
      <c r="D2064" t="s">
        <v>2193</v>
      </c>
      <c r="E2064" t="str">
        <f t="shared" si="2086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1.02528298274712E-6</v>
      </c>
      <c r="L2064" s="1">
        <f>'[2]Electricity and CHPs_NCAP'!H$23</f>
        <v>5.4368176531874096E-4</v>
      </c>
      <c r="N2064" s="1"/>
    </row>
    <row r="2065" spans="2:14" x14ac:dyDescent="0.35">
      <c r="B2065" s="5" t="str">
        <f t="shared" si="2088"/>
        <v>SPS1</v>
      </c>
      <c r="C2065" s="5" t="str">
        <f t="shared" si="2085"/>
        <v>CH</v>
      </c>
      <c r="D2065" t="s">
        <v>2194</v>
      </c>
      <c r="E2065" t="str">
        <f t="shared" si="2086"/>
        <v>GWe/yr.</v>
      </c>
      <c r="F2065" s="1">
        <f>'[1]Electricity and CHPs_NCAP'!B$24</f>
        <v>0</v>
      </c>
      <c r="G2065" s="1">
        <f>'[1]Electricity and CHPs_NCAP'!C$24</f>
        <v>9.1516469615322401E-7</v>
      </c>
      <c r="H2065" s="1">
        <f>'[1]Electricity and CHPs_NCAP'!D$24</f>
        <v>4.1257267696477098E-2</v>
      </c>
      <c r="I2065" s="1">
        <f>'[1]Electricity and CHPs_NCAP'!E$24</f>
        <v>3.3513993542295902E-6</v>
      </c>
      <c r="J2065" s="1">
        <f>'[2]Electricity and CHPs_NCAP'!F$24</f>
        <v>6.1618296660771197E-6</v>
      </c>
      <c r="K2065" s="1">
        <f>'[2]Electricity and CHPs_NCAP'!G$24</f>
        <v>1.61684563912662E-6</v>
      </c>
      <c r="L2065" s="1">
        <f>'[2]Electricity and CHPs_NCAP'!H$24</f>
        <v>1.7459331657432901E-2</v>
      </c>
      <c r="N2065" s="1"/>
    </row>
    <row r="2066" spans="2:14" x14ac:dyDescent="0.35">
      <c r="B2066" s="5" t="str">
        <f t="shared" si="2088"/>
        <v>SPS1</v>
      </c>
      <c r="C2066" s="5" t="str">
        <f t="shared" si="2085"/>
        <v>CH</v>
      </c>
      <c r="D2066" t="s">
        <v>2195</v>
      </c>
      <c r="E2066" t="str">
        <f t="shared" si="2086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1.2210431319553401E-4</v>
      </c>
      <c r="L2066" s="1">
        <f>'[2]Electricity and CHPs_NCAP'!H$29</f>
        <v>3.7962872599295303E-2</v>
      </c>
      <c r="N2066" s="1"/>
    </row>
    <row r="2067" spans="2:14" x14ac:dyDescent="0.35">
      <c r="B2067" s="5" t="str">
        <f t="shared" si="2088"/>
        <v>SPS1</v>
      </c>
      <c r="C2067" s="5" t="str">
        <f t="shared" si="2085"/>
        <v>CH</v>
      </c>
      <c r="D2067" t="s">
        <v>2196</v>
      </c>
      <c r="E2067" t="str">
        <f t="shared" si="2086"/>
        <v>GWe/yr.</v>
      </c>
      <c r="F2067" s="1">
        <f>'[1]Electricity and CHPs_NCAP'!B$39</f>
        <v>0</v>
      </c>
      <c r="G2067" s="1">
        <f>'[1]Electricity and CHPs_NCAP'!C$39</f>
        <v>6.5628446974712297E-6</v>
      </c>
      <c r="H2067" s="1">
        <f>'[1]Electricity and CHPs_NCAP'!D$39</f>
        <v>1.4910926108404401E-5</v>
      </c>
      <c r="I2067" s="1">
        <f>'[1]Electricity and CHPs_NCAP'!E$39</f>
        <v>2.52564296121355E-3</v>
      </c>
      <c r="J2067" s="1">
        <f>'[2]Electricity and CHPs_NCAP'!F$39</f>
        <v>1.02035420587038E-3</v>
      </c>
      <c r="K2067" s="1">
        <f>'[2]Electricity and CHPs_NCAP'!G$39</f>
        <v>8.4626552090718205E-7</v>
      </c>
      <c r="L2067" s="1">
        <f>'[2]Electricity and CHPs_NCAP'!H$39</f>
        <v>7.1406385369992686E-5</v>
      </c>
      <c r="N2067" s="1"/>
    </row>
    <row r="2068" spans="2:14" x14ac:dyDescent="0.35">
      <c r="B2068" s="5" t="str">
        <f t="shared" si="2088"/>
        <v>SPS1</v>
      </c>
      <c r="C2068" s="5" t="str">
        <f t="shared" si="2085"/>
        <v>CH</v>
      </c>
      <c r="D2068" t="s">
        <v>2197</v>
      </c>
      <c r="E2068" t="str">
        <f t="shared" si="2086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2.9315413810936201E-4</v>
      </c>
      <c r="N2068" s="1"/>
    </row>
    <row r="2069" spans="2:14" x14ac:dyDescent="0.35">
      <c r="B2069" s="5" t="str">
        <f t="shared" si="2088"/>
        <v>SPS1</v>
      </c>
      <c r="C2069" s="5" t="str">
        <f t="shared" si="2085"/>
        <v>CH</v>
      </c>
      <c r="D2069" t="s">
        <v>2198</v>
      </c>
      <c r="E2069" t="str">
        <f t="shared" si="2086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2.14375876140149E-4</v>
      </c>
      <c r="K2069" s="1">
        <f>'[2]Electricity and CHPs_NCAP'!G$47</f>
        <v>1.3117363228688899E-6</v>
      </c>
      <c r="L2069" s="1">
        <f>'[2]Electricity and CHPs_NCAP'!H$47</f>
        <v>9.4419987032377901E-5</v>
      </c>
      <c r="N2069" s="1"/>
    </row>
    <row r="2070" spans="2:14" x14ac:dyDescent="0.35">
      <c r="B2070" s="5" t="str">
        <f t="shared" si="2088"/>
        <v>SPS1</v>
      </c>
      <c r="C2070" s="5" t="str">
        <f t="shared" si="2085"/>
        <v>CH</v>
      </c>
      <c r="D2070" t="s">
        <v>2199</v>
      </c>
      <c r="E2070" t="str">
        <f t="shared" si="2086"/>
        <v>GWe/yr.</v>
      </c>
      <c r="F2070" s="1">
        <f>'[1]Electricity and CHPs_NCAP'!B$48</f>
        <v>0</v>
      </c>
      <c r="G2070" s="1">
        <f>'[1]Electricity and CHPs_NCAP'!C$48</f>
        <v>7.6176969873562725E-5</v>
      </c>
      <c r="H2070" s="1">
        <f>'[1]Electricity and CHPs_NCAP'!D$48</f>
        <v>2.3932961433391071E-4</v>
      </c>
      <c r="I2070" s="1">
        <f>'[1]Electricity and CHPs_NCAP'!E$48</f>
        <v>3.4692866502257004E-5</v>
      </c>
      <c r="J2070" s="1">
        <f>'[2]Electricity and CHPs_NCAP'!F$48</f>
        <v>2.0367681153609101E-4</v>
      </c>
      <c r="K2070" s="1">
        <f>'[2]Electricity and CHPs_NCAP'!G$48</f>
        <v>9.3790288233306209E-5</v>
      </c>
      <c r="L2070" s="1">
        <f>'[2]Electricity and CHPs_NCAP'!H$48</f>
        <v>2.4485742158045999E-6</v>
      </c>
      <c r="N2070" s="1"/>
    </row>
    <row r="2071" spans="2:14" x14ac:dyDescent="0.35">
      <c r="B2071" s="5" t="str">
        <f t="shared" si="2088"/>
        <v>SPS1</v>
      </c>
      <c r="C2071" s="5" t="str">
        <f t="shared" si="2085"/>
        <v>CH</v>
      </c>
      <c r="D2071" t="s">
        <v>2200</v>
      </c>
      <c r="E2071" t="str">
        <f t="shared" si="2086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6.0309007182924999E-5</v>
      </c>
      <c r="J2071" s="1">
        <f>'[2]Electricity and CHPs_NCAP'!F$49</f>
        <v>8.1666960877795395E-5</v>
      </c>
      <c r="K2071" s="1">
        <f>'[2]Electricity and CHPs_NCAP'!G$49</f>
        <v>6.2810417643059195E-6</v>
      </c>
      <c r="L2071" s="1">
        <f>'[2]Electricity and CHPs_NCAP'!H$49</f>
        <v>6.1696094584282196E-6</v>
      </c>
      <c r="N2071" s="1"/>
    </row>
    <row r="2072" spans="2:14" x14ac:dyDescent="0.35">
      <c r="B2072" s="5" t="str">
        <f t="shared" si="2088"/>
        <v>SPS1</v>
      </c>
      <c r="C2072" s="5" t="str">
        <f t="shared" si="2085"/>
        <v>CH</v>
      </c>
      <c r="D2072" t="s">
        <v>2201</v>
      </c>
      <c r="E2072" t="str">
        <f t="shared" si="2086"/>
        <v>GWe/yr.</v>
      </c>
      <c r="F2072" s="1">
        <f>'[1]Electricity and CHPs_NCAP'!B$51</f>
        <v>0</v>
      </c>
      <c r="G2072" s="1">
        <f>'[1]Electricity and CHPs_NCAP'!C$51</f>
        <v>2.0763276230088699E-4</v>
      </c>
      <c r="H2072" s="1">
        <f>'[1]Electricity and CHPs_NCAP'!D$51</f>
        <v>1.4058640528360092E-3</v>
      </c>
      <c r="I2072" s="1">
        <f>'[1]Electricity and CHPs_NCAP'!E$51</f>
        <v>0.1315019360112045</v>
      </c>
      <c r="J2072" s="1">
        <f>'[2]Electricity and CHPs_NCAP'!F$51</f>
        <v>2.9949957991912197E-2</v>
      </c>
      <c r="K2072" s="1">
        <f>'[2]Electricity and CHPs_NCAP'!G$51</f>
        <v>1.8306277833231181E-2</v>
      </c>
      <c r="L2072" s="1">
        <f>'[2]Electricity and CHPs_NCAP'!H$51</f>
        <v>5.3175160131725346E-6</v>
      </c>
      <c r="N2072" s="1"/>
    </row>
    <row r="2073" spans="2:14" x14ac:dyDescent="0.35">
      <c r="B2073" s="5" t="str">
        <f t="shared" si="2088"/>
        <v>SPS1</v>
      </c>
      <c r="C2073" s="5" t="str">
        <f t="shared" si="2085"/>
        <v>CH</v>
      </c>
      <c r="D2073" t="s">
        <v>2202</v>
      </c>
      <c r="E2073" t="str">
        <f t="shared" si="2086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2.6892173354807903E-4</v>
      </c>
      <c r="J2073" s="1">
        <f>'[2]Electricity and CHPs_NCAP'!F$52</f>
        <v>6.1317058074198002E-4</v>
      </c>
      <c r="K2073" s="1">
        <f>'[2]Electricity and CHPs_NCAP'!G$52</f>
        <v>1.0079669801986749E-4</v>
      </c>
      <c r="L2073" s="1">
        <f>'[2]Electricity and CHPs_NCAP'!H$52</f>
        <v>7.2195865423786504E-7</v>
      </c>
      <c r="N2073" s="1"/>
    </row>
    <row r="2074" spans="2:14" x14ac:dyDescent="0.35">
      <c r="B2074" s="5" t="str">
        <f t="shared" si="2088"/>
        <v>SPS1</v>
      </c>
      <c r="C2074" s="5" t="str">
        <f t="shared" si="2085"/>
        <v>CH</v>
      </c>
      <c r="D2074" t="s">
        <v>2203</v>
      </c>
      <c r="E2074" t="str">
        <f t="shared" si="2086"/>
        <v>GWe/yr.</v>
      </c>
      <c r="F2074" s="1">
        <f>'[1]Electricity and CHPs_NCAP'!B$54</f>
        <v>0</v>
      </c>
      <c r="G2074" s="1">
        <f>'[1]Electricity and CHPs_NCAP'!C$54</f>
        <v>2.6189921058014098E-2</v>
      </c>
      <c r="H2074" s="1">
        <f>'[1]Electricity and CHPs_NCAP'!D$54</f>
        <v>6.57201886520699E-3</v>
      </c>
      <c r="I2074" s="1">
        <f>'[1]Electricity and CHPs_NCAP'!E$54</f>
        <v>1.22223453523903E-2</v>
      </c>
      <c r="J2074" s="1">
        <f>'[2]Electricity and CHPs_NCAP'!F$54</f>
        <v>4.4079093955320003E-2</v>
      </c>
      <c r="K2074" s="1">
        <f>'[2]Electricity and CHPs_NCAP'!G$54</f>
        <v>3.1154478723015602E-2</v>
      </c>
      <c r="L2074" s="1">
        <f>'[2]Electricity and CHPs_NCAP'!H$54</f>
        <v>4.3489762008274299E-2</v>
      </c>
      <c r="N2074" s="1"/>
    </row>
    <row r="2075" spans="2:14" x14ac:dyDescent="0.35">
      <c r="B2075" s="5" t="str">
        <f t="shared" si="2088"/>
        <v>SPS1</v>
      </c>
      <c r="C2075" s="5" t="str">
        <f t="shared" si="2085"/>
        <v>CH</v>
      </c>
      <c r="D2075" t="s">
        <v>2204</v>
      </c>
      <c r="E2075" t="str">
        <f t="shared" si="2086"/>
        <v>GWe/yr.</v>
      </c>
      <c r="F2075" s="1">
        <f>'[1]Electricity and CHPs_NCAP'!B$55</f>
        <v>0</v>
      </c>
      <c r="G2075" s="1">
        <f>'[1]Electricity and CHPs_NCAP'!C$55</f>
        <v>2.7183788645958801E-2</v>
      </c>
      <c r="H2075" s="1">
        <f>'[1]Electricity and CHPs_NCAP'!D$55</f>
        <v>6.9036934021009503E-7</v>
      </c>
      <c r="I2075" s="1">
        <f>'[1]Electricity and CHPs_NCAP'!E$55</f>
        <v>9.5142173543813602E-7</v>
      </c>
      <c r="J2075" s="1">
        <f>'[2]Electricity and CHPs_NCAP'!F$55</f>
        <v>2.81990144439944E-6</v>
      </c>
      <c r="K2075" s="1">
        <f>'[2]Electricity and CHPs_NCAP'!G$55</f>
        <v>4.2266639499329601E-5</v>
      </c>
      <c r="L2075" s="1">
        <f>'[2]Electricity and CHPs_NCAP'!H$55</f>
        <v>5.1530106297953298E-5</v>
      </c>
      <c r="N2075" s="1"/>
    </row>
    <row r="2076" spans="2:14" x14ac:dyDescent="0.35">
      <c r="B2076" s="5" t="str">
        <f t="shared" si="2088"/>
        <v>SPS1</v>
      </c>
      <c r="C2076" s="5" t="str">
        <f t="shared" si="2085"/>
        <v>CH</v>
      </c>
      <c r="D2076" t="s">
        <v>2205</v>
      </c>
      <c r="E2076" t="str">
        <f t="shared" si="2086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7.1367089050753706E-5</v>
      </c>
      <c r="J2076" s="1">
        <f>'[2]Electricity and CHPs_NCAP'!F$58</f>
        <v>1.5052960848921401E-4</v>
      </c>
      <c r="K2076" s="1">
        <f>'[2]Electricity and CHPs_NCAP'!G$58</f>
        <v>9.5428192309442603E-5</v>
      </c>
      <c r="L2076" s="1">
        <f>'[2]Electricity and CHPs_NCAP'!H$58</f>
        <v>5.4966119359404003E-6</v>
      </c>
      <c r="N2076" s="1"/>
    </row>
    <row r="2077" spans="2:14" x14ac:dyDescent="0.35">
      <c r="B2077" s="5" t="str">
        <f t="shared" si="2088"/>
        <v>SPS1</v>
      </c>
      <c r="C2077" s="5" t="str">
        <f t="shared" si="2085"/>
        <v>CH</v>
      </c>
      <c r="D2077" t="s">
        <v>2206</v>
      </c>
      <c r="E2077" t="str">
        <f t="shared" si="2086"/>
        <v>GWe/yr.</v>
      </c>
      <c r="F2077" s="1">
        <f t="shared" ref="F2077:K2077" si="2095">SUM(F2078:F2083)</f>
        <v>0</v>
      </c>
      <c r="G2077" s="1">
        <f t="shared" si="2095"/>
        <v>1.118286009261264E-6</v>
      </c>
      <c r="H2077" s="1">
        <f t="shared" si="2095"/>
        <v>3.3386329394525238E-2</v>
      </c>
      <c r="I2077" s="1">
        <f t="shared" si="2095"/>
        <v>3.5748167520976704E-2</v>
      </c>
      <c r="J2077" s="1">
        <f t="shared" si="2095"/>
        <v>9.5107206178485004E-2</v>
      </c>
      <c r="K2077" s="1">
        <f t="shared" si="2095"/>
        <v>5.8979489077583436E-2</v>
      </c>
      <c r="L2077" s="1">
        <f t="shared" ref="L2077" si="2096">SUM(L2078:L2083)</f>
        <v>0.41821262782136742</v>
      </c>
      <c r="N2077" s="1"/>
    </row>
    <row r="2078" spans="2:14" x14ac:dyDescent="0.35">
      <c r="B2078" s="5" t="str">
        <f t="shared" si="2088"/>
        <v>SPS1</v>
      </c>
      <c r="C2078" s="5" t="str">
        <f t="shared" si="2085"/>
        <v>CH</v>
      </c>
      <c r="D2078" t="s">
        <v>2207</v>
      </c>
      <c r="E2078" t="str">
        <f t="shared" si="2086"/>
        <v>GWe/yr.</v>
      </c>
      <c r="F2078" s="1">
        <f>'[1]Electricity and CHPs_NCAP'!B$19</f>
        <v>0</v>
      </c>
      <c r="G2078" s="1">
        <f>'[1]Electricity and CHPs_NCAP'!C$19</f>
        <v>4.5574767095773301E-7</v>
      </c>
      <c r="H2078" s="1">
        <f>'[1]Electricity and CHPs_NCAP'!D$19</f>
        <v>3.3385870811082297E-2</v>
      </c>
      <c r="I2078" s="1">
        <f>'[1]Electricity and CHPs_NCAP'!E$19</f>
        <v>3.5745708501704998E-2</v>
      </c>
      <c r="J2078" s="1">
        <f>'[2]Electricity and CHPs_NCAP'!F$19</f>
        <v>8.9445632388311103E-2</v>
      </c>
      <c r="K2078" s="1">
        <f>'[2]Electricity and CHPs_NCAP'!G$19</f>
        <v>3.9372932534911802E-2</v>
      </c>
      <c r="L2078" s="1">
        <f>'[2]Electricity and CHPs_NCAP'!H$19</f>
        <v>4.67564819553924E-8</v>
      </c>
      <c r="N2078" s="1"/>
    </row>
    <row r="2079" spans="2:14" x14ac:dyDescent="0.35">
      <c r="B2079" s="5" t="str">
        <f t="shared" si="2088"/>
        <v>SPS1</v>
      </c>
      <c r="C2079" s="5" t="str">
        <f t="shared" si="2085"/>
        <v>CH</v>
      </c>
      <c r="D2079" t="s">
        <v>2208</v>
      </c>
      <c r="E2079" t="str">
        <f t="shared" si="2086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0.31915330621193</v>
      </c>
      <c r="N2079" s="1"/>
    </row>
    <row r="2080" spans="2:14" x14ac:dyDescent="0.35">
      <c r="B2080" s="5" t="str">
        <f t="shared" si="2088"/>
        <v>SPS1</v>
      </c>
      <c r="C2080" s="5" t="str">
        <f t="shared" si="2085"/>
        <v>CH</v>
      </c>
      <c r="D2080" t="s">
        <v>2209</v>
      </c>
      <c r="E2080" t="str">
        <f t="shared" si="2086"/>
        <v>GWe/yr.</v>
      </c>
      <c r="F2080" s="1">
        <f>'[1]Electricity and CHPs_NCAP'!B$26</f>
        <v>0</v>
      </c>
      <c r="G2080" s="1">
        <f>'[1]Electricity and CHPs_NCAP'!C$26</f>
        <v>3.5238170607046602E-7</v>
      </c>
      <c r="H2080" s="1">
        <f>'[1]Electricity and CHPs_NCAP'!D$26</f>
        <v>2.9720651437494899E-7</v>
      </c>
      <c r="I2080" s="1">
        <f>'[1]Electricity and CHPs_NCAP'!E$26</f>
        <v>1.9910921805315698E-6</v>
      </c>
      <c r="J2080" s="1">
        <f>'[2]Electricity and CHPs_NCAP'!F$26</f>
        <v>5.66070409657265E-3</v>
      </c>
      <c r="K2080" s="1">
        <f>'[2]Electricity and CHPs_NCAP'!G$26</f>
        <v>1.9606102860354298E-2</v>
      </c>
      <c r="L2080" s="1">
        <f>'[2]Electricity and CHPs_NCAP'!H$26</f>
        <v>4.9079487491894497E-8</v>
      </c>
      <c r="N2080" s="1"/>
    </row>
    <row r="2081" spans="2:14" x14ac:dyDescent="0.35">
      <c r="B2081" s="5" t="str">
        <f t="shared" si="2088"/>
        <v>SPS1</v>
      </c>
      <c r="C2081" s="5" t="str">
        <f t="shared" si="2085"/>
        <v>CH</v>
      </c>
      <c r="D2081" t="s">
        <v>2210</v>
      </c>
      <c r="E2081" t="str">
        <f t="shared" si="2086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7.4859121277739804E-2</v>
      </c>
      <c r="N2081" s="1"/>
    </row>
    <row r="2082" spans="2:14" x14ac:dyDescent="0.35">
      <c r="B2082" s="5" t="str">
        <f t="shared" si="2088"/>
        <v>SPS1</v>
      </c>
      <c r="C2082" s="5" t="str">
        <f t="shared" si="2085"/>
        <v>CH</v>
      </c>
      <c r="D2082" t="s">
        <v>2211</v>
      </c>
      <c r="E2082" t="str">
        <f t="shared" si="2086"/>
        <v>GWe/yr.</v>
      </c>
      <c r="F2082" s="1">
        <f>'[1]Electricity and CHPs_NCAP'!B$44</f>
        <v>0</v>
      </c>
      <c r="G2082" s="1">
        <f>'[1]Electricity and CHPs_NCAP'!C$44</f>
        <v>3.1015663223306501E-7</v>
      </c>
      <c r="H2082" s="1">
        <f>'[1]Electricity and CHPs_NCAP'!D$44</f>
        <v>1.6137692856436699E-7</v>
      </c>
      <c r="I2082" s="1">
        <f>'[1]Electricity and CHPs_NCAP'!E$44</f>
        <v>4.67927091172786E-7</v>
      </c>
      <c r="J2082" s="1">
        <f>'[2]Electricity and CHPs_NCAP'!F$44</f>
        <v>8.6969360124500998E-7</v>
      </c>
      <c r="K2082" s="1">
        <f>'[2]Electricity and CHPs_NCAP'!G$44</f>
        <v>4.5368231734150601E-7</v>
      </c>
      <c r="L2082" s="1">
        <f>'[2]Electricity and CHPs_NCAP'!H$44</f>
        <v>6.4842737889114701E-8</v>
      </c>
      <c r="N2082" s="1"/>
    </row>
    <row r="2083" spans="2:14" x14ac:dyDescent="0.35">
      <c r="B2083" s="5" t="str">
        <f t="shared" si="2088"/>
        <v>SPS1</v>
      </c>
      <c r="C2083" s="5" t="str">
        <f t="shared" si="2085"/>
        <v>CH</v>
      </c>
      <c r="D2083" t="s">
        <v>2212</v>
      </c>
      <c r="E2083" t="str">
        <f t="shared" ref="E2083:E2113" si="2097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2.42000396529903E-2</v>
      </c>
      <c r="N2083" s="1"/>
    </row>
    <row r="2084" spans="2:14" x14ac:dyDescent="0.35">
      <c r="B2084" s="5" t="str">
        <f t="shared" si="2088"/>
        <v>SPS1</v>
      </c>
      <c r="C2084" s="5" t="str">
        <f t="shared" si="2085"/>
        <v>CH</v>
      </c>
      <c r="D2084" t="s">
        <v>2213</v>
      </c>
      <c r="E2084" t="str">
        <f t="shared" si="2097"/>
        <v>GWe/yr.</v>
      </c>
      <c r="F2084" s="1">
        <f t="shared" ref="F2084:K2084" si="2098">SUM(F2085:F2091)</f>
        <v>0</v>
      </c>
      <c r="G2084" s="1">
        <f t="shared" si="2098"/>
        <v>4.6252370145991109E-3</v>
      </c>
      <c r="H2084" s="1">
        <f t="shared" si="2098"/>
        <v>4.7112625517248465E-2</v>
      </c>
      <c r="I2084" s="1">
        <f t="shared" si="2098"/>
        <v>6.3541875139732223E-2</v>
      </c>
      <c r="J2084" s="1">
        <f t="shared" si="2098"/>
        <v>3.9380741381329035E-2</v>
      </c>
      <c r="K2084" s="1">
        <f t="shared" si="2098"/>
        <v>0.12467471771511766</v>
      </c>
      <c r="L2084" s="1">
        <f t="shared" ref="L2084" si="2099">SUM(L2085:L2091)</f>
        <v>0.18030190433991522</v>
      </c>
      <c r="N2084" s="1"/>
    </row>
    <row r="2085" spans="2:14" x14ac:dyDescent="0.35">
      <c r="B2085" s="5" t="str">
        <f t="shared" si="2088"/>
        <v>SPS1</v>
      </c>
      <c r="C2085" s="5" t="str">
        <f t="shared" si="2085"/>
        <v>CH</v>
      </c>
      <c r="D2085" t="s">
        <v>2214</v>
      </c>
      <c r="E2085" t="str">
        <f t="shared" si="2097"/>
        <v>GWe/yr.</v>
      </c>
      <c r="F2085" s="1">
        <f>'[1]Electricity and CHPs_NCAP'!B$25</f>
        <v>0</v>
      </c>
      <c r="G2085" s="1">
        <f>'[1]Electricity and CHPs_NCAP'!C$25</f>
        <v>2.8992777529881098E-4</v>
      </c>
      <c r="H2085" s="1">
        <f>'[1]Electricity and CHPs_NCAP'!D$25</f>
        <v>1.3552031037346101E-4</v>
      </c>
      <c r="I2085" s="1">
        <f>'[1]Electricity and CHPs_NCAP'!E$25</f>
        <v>1.77630688469059E-6</v>
      </c>
      <c r="J2085" s="1">
        <f>'[2]Electricity and CHPs_NCAP'!F$25</f>
        <v>1.4771770962072799E-4</v>
      </c>
      <c r="K2085" s="1">
        <f>'[2]Electricity and CHPs_NCAP'!G$25</f>
        <v>3.78654268283171E-5</v>
      </c>
      <c r="L2085" s="1">
        <f>'[2]Electricity and CHPs_NCAP'!H$25</f>
        <v>9.4666776701871206E-6</v>
      </c>
      <c r="N2085" s="1"/>
    </row>
    <row r="2086" spans="2:14" x14ac:dyDescent="0.35">
      <c r="B2086" s="5" t="str">
        <f t="shared" si="2088"/>
        <v>SPS1</v>
      </c>
      <c r="C2086" s="5" t="str">
        <f t="shared" si="2085"/>
        <v>CH</v>
      </c>
      <c r="D2086" t="s">
        <v>2215</v>
      </c>
      <c r="E2086" t="str">
        <f t="shared" si="2097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6.2288318370307597E-7</v>
      </c>
      <c r="L2086" s="1">
        <f>'[2]Electricity and CHPs_NCAP'!H$31</f>
        <v>1.1523348806653101E-3</v>
      </c>
      <c r="N2086" s="1"/>
    </row>
    <row r="2087" spans="2:14" x14ac:dyDescent="0.35">
      <c r="B2087" s="5" t="str">
        <f t="shared" si="2088"/>
        <v>SPS1</v>
      </c>
      <c r="C2087" s="5" t="str">
        <f t="shared" si="2085"/>
        <v>CH</v>
      </c>
      <c r="D2087" t="s">
        <v>2216</v>
      </c>
      <c r="E2087" t="str">
        <f t="shared" si="2097"/>
        <v>GWe/yr.</v>
      </c>
      <c r="F2087" s="1">
        <f>'[1]Electricity and CHPs_NCAP'!B$42</f>
        <v>0</v>
      </c>
      <c r="G2087" s="1">
        <f>'[1]Electricity and CHPs_NCAP'!C$42</f>
        <v>4.3353092393002999E-3</v>
      </c>
      <c r="H2087" s="1">
        <f>'[1]Electricity and CHPs_NCAP'!D$42</f>
        <v>4.6977105206875001E-2</v>
      </c>
      <c r="I2087" s="1">
        <f>'[1]Electricity and CHPs_NCAP'!E$42</f>
        <v>6.3097059263544905E-2</v>
      </c>
      <c r="J2087" s="1">
        <f>'[2]Electricity and CHPs_NCAP'!F$42</f>
        <v>3.8817122224918399E-2</v>
      </c>
      <c r="K2087" s="1">
        <f>'[2]Electricity and CHPs_NCAP'!G$42</f>
        <v>0.119435408143758</v>
      </c>
      <c r="L2087" s="1">
        <f>'[2]Electricity and CHPs_NCAP'!H$42</f>
        <v>3.7490109482633101E-2</v>
      </c>
      <c r="N2087" s="1"/>
    </row>
    <row r="2088" spans="2:14" x14ac:dyDescent="0.35">
      <c r="B2088" s="5" t="str">
        <f t="shared" si="2088"/>
        <v>SPS1</v>
      </c>
      <c r="C2088" s="5" t="str">
        <f t="shared" si="2085"/>
        <v>CH</v>
      </c>
      <c r="D2088" t="s">
        <v>2217</v>
      </c>
      <c r="E2088" t="str">
        <f t="shared" si="2097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6.9810263700086805E-2</v>
      </c>
      <c r="N2088" s="1"/>
    </row>
    <row r="2089" spans="2:14" x14ac:dyDescent="0.35">
      <c r="B2089" s="5" t="str">
        <f t="shared" si="2088"/>
        <v>SPS1</v>
      </c>
      <c r="C2089" s="5" t="str">
        <f t="shared" si="2085"/>
        <v>CH</v>
      </c>
      <c r="D2089" t="s">
        <v>2218</v>
      </c>
      <c r="E2089" t="str">
        <f t="shared" si="2097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1.286230979788853E-4</v>
      </c>
      <c r="J2089" s="1">
        <f>'[2]Electricity and CHPs_NCAP'!F$50</f>
        <v>1.185756278648617E-4</v>
      </c>
      <c r="K2089" s="1">
        <f>'[2]Electricity and CHPs_NCAP'!G$50</f>
        <v>6.4348375353316396E-5</v>
      </c>
      <c r="L2089" s="1">
        <f>'[2]Electricity and CHPs_NCAP'!H$50</f>
        <v>1.5614169628625841E-4</v>
      </c>
      <c r="N2089" s="1"/>
    </row>
    <row r="2090" spans="2:14" x14ac:dyDescent="0.35">
      <c r="B2090" s="5" t="str">
        <f t="shared" si="2088"/>
        <v>SPS1</v>
      </c>
      <c r="C2090" s="5" t="str">
        <f t="shared" si="2085"/>
        <v>CH</v>
      </c>
      <c r="D2090" t="s">
        <v>2219</v>
      </c>
      <c r="E2090" t="str">
        <f t="shared" si="2097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1.8575621517967619E-4</v>
      </c>
      <c r="J2090" s="1">
        <f>'[2]Electricity and CHPs_NCAP'!F$53</f>
        <v>2.0955306163113701E-4</v>
      </c>
      <c r="K2090" s="1">
        <f>'[2]Electricity and CHPs_NCAP'!G$53</f>
        <v>5.1336900222685704E-3</v>
      </c>
      <c r="L2090" s="1">
        <f>'[2]Electricity and CHPs_NCAP'!H$53</f>
        <v>7.1638378225913402E-2</v>
      </c>
      <c r="N2090" s="1"/>
    </row>
    <row r="2091" spans="2:14" x14ac:dyDescent="0.35">
      <c r="B2091" s="5" t="str">
        <f t="shared" si="2088"/>
        <v>SPS1</v>
      </c>
      <c r="C2091" s="5" t="str">
        <f t="shared" si="2085"/>
        <v>CH</v>
      </c>
      <c r="D2091" t="s">
        <v>2220</v>
      </c>
      <c r="E2091" t="str">
        <f t="shared" si="2097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1.2866025614407199E-4</v>
      </c>
      <c r="J2091" s="1">
        <f>'[2]Electricity and CHPs_NCAP'!F$56</f>
        <v>8.7772757293905305E-5</v>
      </c>
      <c r="K2091" s="1">
        <f>'[2]Electricity and CHPs_NCAP'!G$56</f>
        <v>2.7828637257639899E-6</v>
      </c>
      <c r="L2091" s="1">
        <f>'[2]Electricity and CHPs_NCAP'!H$56</f>
        <v>4.52096766601625E-5</v>
      </c>
      <c r="N2091" s="1"/>
    </row>
    <row r="2092" spans="2:14" x14ac:dyDescent="0.35">
      <c r="B2092" s="5" t="str">
        <f t="shared" si="2088"/>
        <v>SPS1</v>
      </c>
      <c r="C2092" s="5" t="str">
        <f t="shared" si="2085"/>
        <v>CH</v>
      </c>
      <c r="D2092" t="s">
        <v>2221</v>
      </c>
      <c r="E2092" t="str">
        <f t="shared" si="2097"/>
        <v>GWe/yr.</v>
      </c>
      <c r="F2092" s="1">
        <f t="shared" ref="F2092:L2092" si="2100">F2093</f>
        <v>0</v>
      </c>
      <c r="G2092" s="1">
        <f t="shared" si="2100"/>
        <v>7.1321505844187403E-3</v>
      </c>
      <c r="H2092" s="1">
        <f t="shared" si="2100"/>
        <v>0.20964763382690499</v>
      </c>
      <c r="I2092" s="1">
        <f t="shared" si="2100"/>
        <v>0.24874828815282801</v>
      </c>
      <c r="J2092" s="1">
        <f t="shared" si="2100"/>
        <v>2.2853877601955799E-2</v>
      </c>
      <c r="K2092" s="1">
        <f t="shared" si="2100"/>
        <v>4.3171138044276502E-6</v>
      </c>
      <c r="L2092" s="1">
        <f t="shared" si="2100"/>
        <v>0.12628690301823101</v>
      </c>
      <c r="N2092" s="1"/>
    </row>
    <row r="2093" spans="2:14" x14ac:dyDescent="0.35">
      <c r="B2093" s="5" t="str">
        <f t="shared" si="2088"/>
        <v>SPS1</v>
      </c>
      <c r="C2093" s="5" t="str">
        <f t="shared" si="2085"/>
        <v>CH</v>
      </c>
      <c r="D2093" t="s">
        <v>2222</v>
      </c>
      <c r="E2093" t="str">
        <f t="shared" si="2097"/>
        <v>GWe/yr.</v>
      </c>
      <c r="F2093" s="1">
        <f>'[1]Electricity and CHPs_NCAP'!B$33</f>
        <v>0</v>
      </c>
      <c r="G2093" s="1">
        <f>'[1]Electricity and CHPs_NCAP'!C$33</f>
        <v>7.1321505844187403E-3</v>
      </c>
      <c r="H2093" s="1">
        <f>'[1]Electricity and CHPs_NCAP'!D$33</f>
        <v>0.20964763382690499</v>
      </c>
      <c r="I2093" s="1">
        <f>'[1]Electricity and CHPs_NCAP'!E$33</f>
        <v>0.24874828815282801</v>
      </c>
      <c r="J2093" s="1">
        <f>'[2]Electricity and CHPs_NCAP'!F$33</f>
        <v>2.2853877601955799E-2</v>
      </c>
      <c r="K2093" s="1">
        <f>'[2]Electricity and CHPs_NCAP'!G$33</f>
        <v>4.3171138044276502E-6</v>
      </c>
      <c r="L2093" s="1">
        <f>'[2]Electricity and CHPs_NCAP'!H$33</f>
        <v>0.12628690301823101</v>
      </c>
      <c r="N2093" s="1"/>
    </row>
    <row r="2094" spans="2:14" x14ac:dyDescent="0.35">
      <c r="B2094" s="5" t="str">
        <f t="shared" si="2088"/>
        <v>SPS1</v>
      </c>
      <c r="C2094" s="5" t="str">
        <f t="shared" si="2085"/>
        <v>CH</v>
      </c>
      <c r="D2094" t="s">
        <v>2223</v>
      </c>
      <c r="E2094" t="str">
        <f t="shared" si="2097"/>
        <v>GWe/yr.</v>
      </c>
      <c r="F2094" s="1">
        <f t="shared" ref="F2094:K2094" si="2101">SUM(F2095:F2099)</f>
        <v>0</v>
      </c>
      <c r="G2094" s="1">
        <f t="shared" si="2101"/>
        <v>2.9929045591440932E-5</v>
      </c>
      <c r="H2094" s="1">
        <f t="shared" si="2101"/>
        <v>4.4481455928460676</v>
      </c>
      <c r="I2094" s="1">
        <f t="shared" si="2101"/>
        <v>6.2267572063686806E-6</v>
      </c>
      <c r="J2094" s="1">
        <f t="shared" si="2101"/>
        <v>6.1573467195166671</v>
      </c>
      <c r="K2094" s="1">
        <f t="shared" si="2101"/>
        <v>4.3085921100405775</v>
      </c>
      <c r="L2094" s="1">
        <f t="shared" ref="L2094" si="2102">SUM(L2095:L2099)</f>
        <v>13.874562832923225</v>
      </c>
      <c r="N2094" s="1"/>
    </row>
    <row r="2095" spans="2:14" x14ac:dyDescent="0.35">
      <c r="B2095" s="5" t="str">
        <f t="shared" si="2088"/>
        <v>SPS1</v>
      </c>
      <c r="C2095" s="5" t="str">
        <f t="shared" si="2085"/>
        <v>CH</v>
      </c>
      <c r="D2095" t="s">
        <v>2224</v>
      </c>
      <c r="E2095" t="str">
        <f t="shared" si="2097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4.4925030140339203E-2</v>
      </c>
      <c r="I2095" s="1">
        <f>'[1]Electricity and CHPs_NCAP'!E$34</f>
        <v>2.3036680861921042E-6</v>
      </c>
      <c r="J2095" s="1">
        <f>'[2]Electricity and CHPs_NCAP'!F$34</f>
        <v>1.0175503761879421E-2</v>
      </c>
      <c r="K2095" s="1">
        <f>'[2]Electricity and CHPs_NCAP'!G$34</f>
        <v>2.0700719468506418E-4</v>
      </c>
      <c r="L2095" s="1">
        <f>'[2]Electricity and CHPs_NCAP'!H$34</f>
        <v>0.43090965970272732</v>
      </c>
      <c r="N2095" s="1"/>
    </row>
    <row r="2096" spans="2:14" x14ac:dyDescent="0.35">
      <c r="B2096" s="5" t="str">
        <f t="shared" si="2088"/>
        <v>SPS1</v>
      </c>
      <c r="C2096" s="5" t="str">
        <f t="shared" si="2085"/>
        <v>CH</v>
      </c>
      <c r="D2096" t="s">
        <v>2225</v>
      </c>
      <c r="E2096" t="str">
        <f t="shared" si="2097"/>
        <v>GWe/yr.</v>
      </c>
      <c r="F2096" s="1">
        <f>'[1]Electricity and CHPs_NCAP'!B$35</f>
        <v>0</v>
      </c>
      <c r="G2096" s="1">
        <f>'[1]Electricity and CHPs_NCAP'!C$35</f>
        <v>6.9847435083463801E-8</v>
      </c>
      <c r="H2096" s="1">
        <f>'[1]Electricity and CHPs_NCAP'!D$35</f>
        <v>1.76796384693736</v>
      </c>
      <c r="I2096" s="1">
        <f>'[1]Electricity and CHPs_NCAP'!E$35</f>
        <v>7.7912889630065104E-7</v>
      </c>
      <c r="J2096" s="1">
        <f>'[2]Electricity and CHPs_NCAP'!F$35</f>
        <v>5.0779175769798401</v>
      </c>
      <c r="K2096" s="1">
        <f>'[2]Electricity and CHPs_NCAP'!G$35</f>
        <v>2.7860827880056802</v>
      </c>
      <c r="L2096" s="1">
        <f>'[2]Electricity and CHPs_NCAP'!H$35</f>
        <v>9.1066377534990792</v>
      </c>
      <c r="N2096" s="1"/>
    </row>
    <row r="2097" spans="2:14" x14ac:dyDescent="0.35">
      <c r="B2097" s="5" t="str">
        <f t="shared" si="2088"/>
        <v>SPS1</v>
      </c>
      <c r="C2097" s="5" t="str">
        <f t="shared" si="2085"/>
        <v>CH</v>
      </c>
      <c r="D2097" t="s">
        <v>2226</v>
      </c>
      <c r="E2097" t="str">
        <f t="shared" si="2097"/>
        <v>GWe/yr.</v>
      </c>
      <c r="F2097" s="1">
        <f>'[1]Electricity and CHPs_NCAP'!B$36</f>
        <v>0</v>
      </c>
      <c r="G2097" s="1">
        <f>'[1]Electricity and CHPs_NCAP'!C$36</f>
        <v>1.4170387273275223E-5</v>
      </c>
      <c r="H2097" s="1">
        <f>'[1]Electricity and CHPs_NCAP'!D$36</f>
        <v>8.3049596182526006E-4</v>
      </c>
      <c r="I2097" s="1">
        <f>'[1]Electricity and CHPs_NCAP'!E$36</f>
        <v>1.0567502055518601E-6</v>
      </c>
      <c r="J2097" s="1">
        <f>'[2]Electricity and CHPs_NCAP'!F$36</f>
        <v>0.29988995338097729</v>
      </c>
      <c r="K2097" s="1">
        <f>'[2]Electricity and CHPs_NCAP'!G$36</f>
        <v>0.66485183916587975</v>
      </c>
      <c r="L2097" s="1">
        <f>'[2]Electricity and CHPs_NCAP'!H$36</f>
        <v>0.68680880113083398</v>
      </c>
      <c r="N2097" s="1"/>
    </row>
    <row r="2098" spans="2:14" x14ac:dyDescent="0.35">
      <c r="B2098" s="5" t="str">
        <f t="shared" si="2088"/>
        <v>SPS1</v>
      </c>
      <c r="C2098" s="5" t="str">
        <f t="shared" si="2085"/>
        <v>CH</v>
      </c>
      <c r="D2098" t="s">
        <v>2227</v>
      </c>
      <c r="E2098" t="str">
        <f t="shared" si="2097"/>
        <v>GWe/yr.</v>
      </c>
      <c r="F2098" s="1">
        <f>'[1]Electricity and CHPs_NCAP'!B$37</f>
        <v>0</v>
      </c>
      <c r="G2098" s="1">
        <f>'[1]Electricity and CHPs_NCAP'!C$37</f>
        <v>1.5623151958364046E-5</v>
      </c>
      <c r="H2098" s="1">
        <f>'[1]Electricity and CHPs_NCAP'!D$37</f>
        <v>0.62971668901009326</v>
      </c>
      <c r="I2098" s="1">
        <f>'[1]Electricity and CHPs_NCAP'!E$37</f>
        <v>1.3947472093227979E-6</v>
      </c>
      <c r="J2098" s="1">
        <f>'[2]Electricity and CHPs_NCAP'!F$37</f>
        <v>0.14463167274851421</v>
      </c>
      <c r="K2098" s="1">
        <f>'[2]Electricity and CHPs_NCAP'!G$37</f>
        <v>0.28404269360779671</v>
      </c>
      <c r="L2098" s="1">
        <f>'[2]Electricity and CHPs_NCAP'!H$37</f>
        <v>0.94445545988619395</v>
      </c>
      <c r="N2098" s="1"/>
    </row>
    <row r="2099" spans="2:14" x14ac:dyDescent="0.35">
      <c r="B2099" s="5" t="str">
        <f t="shared" si="2088"/>
        <v>SPS1</v>
      </c>
      <c r="C2099" s="5" t="str">
        <f t="shared" si="2085"/>
        <v>CH</v>
      </c>
      <c r="D2099" t="s">
        <v>2228</v>
      </c>
      <c r="E2099" t="str">
        <f t="shared" si="2097"/>
        <v>GWe/yr.</v>
      </c>
      <c r="F2099" s="1">
        <f>'[1]Electricity and CHPs_NCAP'!B$38</f>
        <v>0</v>
      </c>
      <c r="G2099" s="1">
        <f>'[1]Electricity and CHPs_NCAP'!C$38</f>
        <v>6.56589247181998E-8</v>
      </c>
      <c r="H2099" s="1">
        <f>'[1]Electricity and CHPs_NCAP'!D$38</f>
        <v>2.00470953079645</v>
      </c>
      <c r="I2099" s="1">
        <f>'[1]Electricity and CHPs_NCAP'!E$38</f>
        <v>6.9246280900126697E-7</v>
      </c>
      <c r="J2099" s="1">
        <f>'[2]Electricity and CHPs_NCAP'!F$38</f>
        <v>0.62473201264545597</v>
      </c>
      <c r="K2099" s="1">
        <f>'[2]Electricity and CHPs_NCAP'!G$38</f>
        <v>0.57340778206653598</v>
      </c>
      <c r="L2099" s="1">
        <f>'[2]Electricity and CHPs_NCAP'!H$38</f>
        <v>2.7057511587043899</v>
      </c>
      <c r="N2099" s="1"/>
    </row>
    <row r="2100" spans="2:14" x14ac:dyDescent="0.35">
      <c r="B2100" s="5" t="str">
        <f t="shared" si="2088"/>
        <v>SPS1</v>
      </c>
      <c r="C2100" s="5" t="str">
        <f t="shared" si="2085"/>
        <v>CH</v>
      </c>
      <c r="D2100" t="s">
        <v>2229</v>
      </c>
      <c r="E2100" t="str">
        <f t="shared" si="2097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</v>
      </c>
      <c r="L2100" s="1">
        <f>'[2]Electricity and CHPs_NCAP'!H$32</f>
        <v>0</v>
      </c>
      <c r="N2100" s="1"/>
    </row>
    <row r="2101" spans="2:14" x14ac:dyDescent="0.35">
      <c r="B2101" s="5" t="str">
        <f t="shared" si="2088"/>
        <v>SPS1</v>
      </c>
      <c r="C2101" s="5" t="str">
        <f t="shared" si="2085"/>
        <v>CH</v>
      </c>
      <c r="D2101" t="s">
        <v>2230</v>
      </c>
      <c r="E2101" t="str">
        <f t="shared" si="2097"/>
        <v>GWe/yr.</v>
      </c>
      <c r="F2101" s="1">
        <f t="shared" ref="F2101:K2101" si="2103">F2100</f>
        <v>0</v>
      </c>
      <c r="G2101" s="1">
        <f t="shared" si="2103"/>
        <v>0</v>
      </c>
      <c r="H2101" s="1">
        <f t="shared" si="2103"/>
        <v>0</v>
      </c>
      <c r="I2101" s="1">
        <f t="shared" si="2103"/>
        <v>0</v>
      </c>
      <c r="J2101" s="1">
        <f t="shared" si="2103"/>
        <v>0</v>
      </c>
      <c r="K2101" s="1">
        <f t="shared" si="2103"/>
        <v>0</v>
      </c>
      <c r="L2101" s="1">
        <f t="shared" ref="L2101" si="2104">L2100</f>
        <v>0</v>
      </c>
      <c r="N2101" s="1"/>
    </row>
    <row r="2102" spans="2:14" x14ac:dyDescent="0.35">
      <c r="B2102" s="5" t="str">
        <f t="shared" si="2088"/>
        <v>SPS1</v>
      </c>
      <c r="C2102" s="5" t="str">
        <f t="shared" si="2085"/>
        <v>CH</v>
      </c>
      <c r="D2102" t="s">
        <v>2231</v>
      </c>
      <c r="E2102" t="str">
        <f t="shared" si="2097"/>
        <v>GWe/yr.</v>
      </c>
      <c r="F2102" s="1">
        <f t="shared" ref="F2102:K2102" si="2105">SUM(F2103:F2105)</f>
        <v>0</v>
      </c>
      <c r="G2102" s="1">
        <f t="shared" si="2105"/>
        <v>0</v>
      </c>
      <c r="H2102" s="1">
        <f t="shared" si="2105"/>
        <v>0</v>
      </c>
      <c r="I2102" s="1">
        <f t="shared" si="2105"/>
        <v>2.0528716316637301E-4</v>
      </c>
      <c r="J2102" s="1">
        <f t="shared" si="2105"/>
        <v>6.3715535391376909E-4</v>
      </c>
      <c r="K2102" s="1">
        <f t="shared" si="2105"/>
        <v>1.7945043045243764E-2</v>
      </c>
      <c r="L2102" s="1">
        <f t="shared" ref="L2102" si="2106">SUM(L2103:L2105)</f>
        <v>1.0668217542177009E-2</v>
      </c>
      <c r="N2102" s="1"/>
    </row>
    <row r="2103" spans="2:14" x14ac:dyDescent="0.35">
      <c r="B2103" s="5" t="str">
        <f t="shared" si="2088"/>
        <v>SPS1</v>
      </c>
      <c r="C2103" s="5" t="str">
        <f t="shared" si="2085"/>
        <v>CH</v>
      </c>
      <c r="D2103" t="s">
        <v>2232</v>
      </c>
      <c r="E2103" t="str">
        <f t="shared" si="2097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1.7780795387502098E-2</v>
      </c>
      <c r="L2103" s="1">
        <f>'[2]Electricity and CHPs_NCAP'!H$30</f>
        <v>5.34800377418596E-6</v>
      </c>
      <c r="N2103" s="1"/>
    </row>
    <row r="2104" spans="2:14" x14ac:dyDescent="0.35">
      <c r="B2104" s="5" t="str">
        <f t="shared" si="2088"/>
        <v>SPS1</v>
      </c>
      <c r="C2104" s="5" t="str">
        <f t="shared" si="2085"/>
        <v>CH</v>
      </c>
      <c r="D2104" t="s">
        <v>2233</v>
      </c>
      <c r="E2104" t="str">
        <f t="shared" si="2097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6.1295039002998305E-4</v>
      </c>
      <c r="K2104" s="1">
        <f>'[2]Electricity and CHPs_NCAP'!G$46</f>
        <v>7.8151265861733898E-6</v>
      </c>
      <c r="L2104" s="1">
        <f>'[2]Electricity and CHPs_NCAP'!H$46</f>
        <v>1.0359291571471601E-2</v>
      </c>
      <c r="N2104" s="1"/>
    </row>
    <row r="2105" spans="2:14" x14ac:dyDescent="0.35">
      <c r="B2105" s="5" t="str">
        <f t="shared" si="2088"/>
        <v>SPS1</v>
      </c>
      <c r="C2105" s="5" t="str">
        <f t="shared" si="2085"/>
        <v>CH</v>
      </c>
      <c r="D2105" t="s">
        <v>2234</v>
      </c>
      <c r="E2105" t="str">
        <f t="shared" si="2097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2.0528716316637301E-4</v>
      </c>
      <c r="J2105" s="1">
        <f>'[2]Electricity and CHPs_NCAP'!F$57</f>
        <v>2.4204963883786E-5</v>
      </c>
      <c r="K2105" s="1">
        <f>'[2]Electricity and CHPs_NCAP'!G$57</f>
        <v>1.5643253115549301E-4</v>
      </c>
      <c r="L2105" s="1">
        <f>'[2]Electricity and CHPs_NCAP'!H$57</f>
        <v>3.0357796693122202E-4</v>
      </c>
      <c r="N2105" s="1"/>
    </row>
    <row r="2106" spans="2:14" x14ac:dyDescent="0.35">
      <c r="B2106" s="5" t="str">
        <f t="shared" si="2088"/>
        <v>SPS1</v>
      </c>
      <c r="C2106" s="5" t="str">
        <f t="shared" si="2085"/>
        <v>CH</v>
      </c>
      <c r="D2106" t="s">
        <v>2235</v>
      </c>
      <c r="E2106" t="str">
        <f t="shared" si="2097"/>
        <v>GWe/yr.</v>
      </c>
      <c r="F2106" s="1">
        <f t="shared" ref="F2106:K2106" si="2107">SUM(F2107:F2113)</f>
        <v>8.1828297110053388E-3</v>
      </c>
      <c r="G2106" s="1">
        <f t="shared" si="2107"/>
        <v>1.4136204138790099E-5</v>
      </c>
      <c r="H2106" s="1">
        <f t="shared" si="2107"/>
        <v>0.36301123997351059</v>
      </c>
      <c r="I2106" s="1">
        <f t="shared" si="2107"/>
        <v>2.5974524890428643E-2</v>
      </c>
      <c r="J2106" s="1">
        <f t="shared" si="2107"/>
        <v>0.39519566431682418</v>
      </c>
      <c r="K2106" s="1">
        <f t="shared" si="2107"/>
        <v>0.31700361340901689</v>
      </c>
      <c r="L2106" s="1">
        <f t="shared" ref="L2106" si="2108">SUM(L2107:L2113)</f>
        <v>1.1770821802786526</v>
      </c>
      <c r="N2106" s="1"/>
    </row>
    <row r="2107" spans="2:14" x14ac:dyDescent="0.35">
      <c r="B2107" s="5" t="str">
        <f t="shared" si="2088"/>
        <v>SPS1</v>
      </c>
      <c r="C2107" s="5" t="str">
        <f t="shared" si="2085"/>
        <v>CH</v>
      </c>
      <c r="D2107" t="s">
        <v>2236</v>
      </c>
      <c r="E2107" t="str">
        <f t="shared" si="2097"/>
        <v>GWe/yr.</v>
      </c>
      <c r="F2107" s="1">
        <f>'[1]Electricity and CHPs_NCAP'!B$63</f>
        <v>0</v>
      </c>
      <c r="G2107" s="1">
        <f>'[1]Electricity and CHPs_NCAP'!C$63</f>
        <v>8.9311596930804903E-7</v>
      </c>
      <c r="H2107" s="1">
        <f>'[1]Electricity and CHPs_NCAP'!D$63</f>
        <v>8.8070098895504498E-7</v>
      </c>
      <c r="I2107" s="1">
        <f>'[1]Electricity and CHPs_NCAP'!E$63</f>
        <v>8.2253478552365995E-7</v>
      </c>
      <c r="J2107" s="1">
        <f>'[2]Electricity and CHPs_NCAP'!F$63</f>
        <v>8.1147000203304604E-7</v>
      </c>
      <c r="K2107" s="1">
        <f>'[2]Electricity and CHPs_NCAP'!G$63</f>
        <v>1.04104116147499E-6</v>
      </c>
      <c r="L2107" s="1">
        <f>'[2]Electricity and CHPs_NCAP'!H$63</f>
        <v>1.41674829423178E-6</v>
      </c>
      <c r="N2107" s="1"/>
    </row>
    <row r="2108" spans="2:14" x14ac:dyDescent="0.35">
      <c r="B2108" s="5" t="str">
        <f t="shared" si="2088"/>
        <v>SPS1</v>
      </c>
      <c r="C2108" s="5" t="str">
        <f t="shared" si="2085"/>
        <v>CH</v>
      </c>
      <c r="D2108" t="s">
        <v>2237</v>
      </c>
      <c r="E2108" t="str">
        <f t="shared" si="2097"/>
        <v>GWe/yr.</v>
      </c>
      <c r="F2108" s="1">
        <f>'[1]Electricity and CHPs_NCAP'!B$64</f>
        <v>1.4042473040049501E-3</v>
      </c>
      <c r="G2108" s="1">
        <f>'[1]Electricity and CHPs_NCAP'!C$64</f>
        <v>2.1175953288969002E-6</v>
      </c>
      <c r="H2108" s="1">
        <f>'[1]Electricity and CHPs_NCAP'!D$64</f>
        <v>5.3276906709103502E-3</v>
      </c>
      <c r="I2108" s="1">
        <f>'[1]Electricity and CHPs_NCAP'!E$64</f>
        <v>1.51324480500274E-2</v>
      </c>
      <c r="J2108" s="1">
        <f>'[2]Electricity and CHPs_NCAP'!F$64</f>
        <v>3.9364820608708802E-3</v>
      </c>
      <c r="K2108" s="1">
        <f>'[2]Electricity and CHPs_NCAP'!G$64</f>
        <v>7.7392998682334797E-3</v>
      </c>
      <c r="L2108" s="1">
        <f>'[2]Electricity and CHPs_NCAP'!H$64</f>
        <v>0.307846320819049</v>
      </c>
      <c r="N2108" s="1"/>
    </row>
    <row r="2109" spans="2:14" x14ac:dyDescent="0.35">
      <c r="B2109" s="5" t="str">
        <f t="shared" si="2088"/>
        <v>SPS1</v>
      </c>
      <c r="C2109" s="5" t="str">
        <f t="shared" si="2085"/>
        <v>CH</v>
      </c>
      <c r="D2109" t="s">
        <v>2238</v>
      </c>
      <c r="E2109" t="str">
        <f t="shared" si="2097"/>
        <v>GWe/yr.</v>
      </c>
      <c r="F2109" s="1">
        <f>'[1]Electricity and CHPs_NCAP'!B$65</f>
        <v>1.0411007081888499E-3</v>
      </c>
      <c r="G2109" s="1">
        <f>'[1]Electricity and CHPs_NCAP'!C$65</f>
        <v>1.66296502630644E-6</v>
      </c>
      <c r="H2109" s="1">
        <f>'[1]Electricity and CHPs_NCAP'!D$65</f>
        <v>3.1663788352277499E-3</v>
      </c>
      <c r="I2109" s="1">
        <f>'[1]Electricity and CHPs_NCAP'!E$65</f>
        <v>6.2400389833274601E-3</v>
      </c>
      <c r="J2109" s="1">
        <f>'[2]Electricity and CHPs_NCAP'!F$65</f>
        <v>2.9642669283744998E-3</v>
      </c>
      <c r="K2109" s="1">
        <f>'[2]Electricity and CHPs_NCAP'!G$65</f>
        <v>3.7145941096764202E-3</v>
      </c>
      <c r="L2109" s="1">
        <f>'[2]Electricity and CHPs_NCAP'!H$65</f>
        <v>2.10200399783598E-2</v>
      </c>
      <c r="N2109" s="1"/>
    </row>
    <row r="2110" spans="2:14" x14ac:dyDescent="0.35">
      <c r="B2110" s="5" t="str">
        <f t="shared" si="2088"/>
        <v>SPS1</v>
      </c>
      <c r="C2110" s="5" t="str">
        <f t="shared" si="2085"/>
        <v>CH</v>
      </c>
      <c r="D2110" t="s">
        <v>2239</v>
      </c>
      <c r="E2110" t="str">
        <f t="shared" si="2097"/>
        <v>GWe/yr.</v>
      </c>
      <c r="F2110" s="1">
        <f>'[1]Electricity and CHPs_NCAP'!B$66</f>
        <v>9.6546638177292805E-4</v>
      </c>
      <c r="G2110" s="1">
        <f>'[1]Electricity and CHPs_NCAP'!C$66</f>
        <v>1.62035577327009E-6</v>
      </c>
      <c r="H2110" s="1">
        <f>'[1]Electricity and CHPs_NCAP'!D$66</f>
        <v>6.8541178137281805E-2</v>
      </c>
      <c r="I2110" s="1">
        <f>'[1]Electricity and CHPs_NCAP'!E$66</f>
        <v>1.2020908725319001E-3</v>
      </c>
      <c r="J2110" s="1">
        <f>'[2]Electricity and CHPs_NCAP'!F$66</f>
        <v>0.196881906101743</v>
      </c>
      <c r="K2110" s="1">
        <f>'[2]Electricity and CHPs_NCAP'!G$66</f>
        <v>0.14228404505907</v>
      </c>
      <c r="L2110" s="1">
        <f>'[2]Electricity and CHPs_NCAP'!H$66</f>
        <v>0.53157634064289205</v>
      </c>
      <c r="N2110" s="1"/>
    </row>
    <row r="2111" spans="2:14" x14ac:dyDescent="0.35">
      <c r="B2111" s="5" t="str">
        <f t="shared" si="2088"/>
        <v>SPS1</v>
      </c>
      <c r="C2111" s="5" t="str">
        <f t="shared" si="2085"/>
        <v>CH</v>
      </c>
      <c r="D2111" t="s">
        <v>2240</v>
      </c>
      <c r="E2111" t="str">
        <f t="shared" si="2097"/>
        <v>GWe/yr.</v>
      </c>
      <c r="F2111" s="1">
        <f>'[1]Electricity and CHPs_NCAP'!B$67</f>
        <v>1.886045797370606E-3</v>
      </c>
      <c r="G2111" s="1">
        <f>'[1]Electricity and CHPs_NCAP'!C$67</f>
        <v>3.1015439569056299E-6</v>
      </c>
      <c r="H2111" s="1">
        <f>'[1]Electricity and CHPs_NCAP'!D$67</f>
        <v>0.12631838698938691</v>
      </c>
      <c r="I2111" s="1">
        <f>'[1]Electricity and CHPs_NCAP'!E$67</f>
        <v>1.005265131027461E-3</v>
      </c>
      <c r="J2111" s="1">
        <f>'[2]Electricity and CHPs_NCAP'!F$67</f>
        <v>8.1986690179455896E-2</v>
      </c>
      <c r="K2111" s="1">
        <f>'[2]Electricity and CHPs_NCAP'!G$67</f>
        <v>7.2386085394879798E-2</v>
      </c>
      <c r="L2111" s="1">
        <f>'[2]Electricity and CHPs_NCAP'!H$67</f>
        <v>0.14059869145904891</v>
      </c>
      <c r="N2111" s="1"/>
    </row>
    <row r="2112" spans="2:14" x14ac:dyDescent="0.35">
      <c r="B2112" s="5" t="str">
        <f t="shared" si="2088"/>
        <v>SPS1</v>
      </c>
      <c r="C2112" s="5" t="str">
        <f t="shared" si="2085"/>
        <v>CH</v>
      </c>
      <c r="D2112" t="s">
        <v>2241</v>
      </c>
      <c r="E2112" t="str">
        <f t="shared" si="2097"/>
        <v>GWe/yr.</v>
      </c>
      <c r="F2112" s="1">
        <f>'[1]Electricity and CHPs_NCAP'!B$68</f>
        <v>1.9035682064854169E-3</v>
      </c>
      <c r="G2112" s="1">
        <f>'[1]Electricity and CHPs_NCAP'!C$68</f>
        <v>3.1115146175651401E-6</v>
      </c>
      <c r="H2112" s="1">
        <f>'[1]Electricity and CHPs_NCAP'!D$68</f>
        <v>3.6538755453150801E-2</v>
      </c>
      <c r="I2112" s="1">
        <f>'[1]Electricity and CHPs_NCAP'!E$68</f>
        <v>1.387126417500645E-3</v>
      </c>
      <c r="J2112" s="1">
        <f>'[2]Electricity and CHPs_NCAP'!F$68</f>
        <v>3.3021597477492795E-2</v>
      </c>
      <c r="K2112" s="1">
        <f>'[2]Electricity and CHPs_NCAP'!G$68</f>
        <v>2.05703503344087E-2</v>
      </c>
      <c r="L2112" s="1">
        <f>'[2]Electricity and CHPs_NCAP'!H$68</f>
        <v>4.6231713289851498E-2</v>
      </c>
      <c r="N2112" s="1"/>
    </row>
    <row r="2113" spans="2:14" x14ac:dyDescent="0.35">
      <c r="B2113" s="5" t="str">
        <f t="shared" si="2088"/>
        <v>SPS1</v>
      </c>
      <c r="C2113" s="5" t="str">
        <f t="shared" si="2085"/>
        <v>CH</v>
      </c>
      <c r="D2113" t="s">
        <v>2242</v>
      </c>
      <c r="E2113" t="str">
        <f t="shared" si="2097"/>
        <v>GWe/yr.</v>
      </c>
      <c r="F2113" s="1">
        <f>'[1]Electricity and CHPs_NCAP'!B$69</f>
        <v>9.8240131318258895E-4</v>
      </c>
      <c r="G2113" s="1">
        <f>'[1]Electricity and CHPs_NCAP'!C$69</f>
        <v>1.62911346653785E-6</v>
      </c>
      <c r="H2113" s="1">
        <f>'[1]Electricity and CHPs_NCAP'!D$69</f>
        <v>0.12311796918656399</v>
      </c>
      <c r="I2113" s="1">
        <f>'[1]Electricity and CHPs_NCAP'!E$69</f>
        <v>1.00673290122825E-3</v>
      </c>
      <c r="J2113" s="1">
        <f>'[2]Electricity and CHPs_NCAP'!F$69</f>
        <v>7.64039100988851E-2</v>
      </c>
      <c r="K2113" s="1">
        <f>'[2]Electricity and CHPs_NCAP'!G$69</f>
        <v>7.0308197601587005E-2</v>
      </c>
      <c r="L2113" s="1">
        <f>'[2]Electricity and CHPs_NCAP'!H$69</f>
        <v>0.12980765734115701</v>
      </c>
      <c r="N2113" s="1"/>
    </row>
    <row r="2114" spans="2:14" x14ac:dyDescent="0.35">
      <c r="B2114" s="5" t="str">
        <f>SPS3_NUC_Low!B1902</f>
        <v>SPS1</v>
      </c>
      <c r="C2114" s="5" t="str">
        <f>SPS3_NUC_Low!C1902</f>
        <v>CH</v>
      </c>
      <c r="D2114" s="2" t="s">
        <v>2243</v>
      </c>
      <c r="E2114" s="2" t="s">
        <v>1972</v>
      </c>
      <c r="F2114" s="3">
        <f t="shared" ref="F2114:K2114" si="2109">SUM(F2115:F2164)</f>
        <v>4.3972920200741782E-4</v>
      </c>
      <c r="G2114" s="3">
        <f t="shared" si="2109"/>
        <v>0.48004085704344951</v>
      </c>
      <c r="H2114" s="3">
        <f t="shared" si="2109"/>
        <v>0.86786562753256369</v>
      </c>
      <c r="I2114" s="3">
        <f t="shared" si="2109"/>
        <v>2.0706848765251058</v>
      </c>
      <c r="J2114" s="3">
        <f t="shared" si="2109"/>
        <v>3.1230152200408519</v>
      </c>
      <c r="K2114" s="3">
        <f t="shared" si="2109"/>
        <v>2.1061524759391963</v>
      </c>
      <c r="L2114" s="3">
        <f t="shared" ref="L2114" si="2110">SUM(L2115:L2164)</f>
        <v>4.7580970270145571</v>
      </c>
      <c r="N2114" s="1"/>
    </row>
    <row r="2115" spans="2:14" x14ac:dyDescent="0.35">
      <c r="B2115" s="5" t="str">
        <f t="shared" ref="B2115:B2146" si="2111">B2114</f>
        <v>SPS1</v>
      </c>
      <c r="C2115" s="5" t="str">
        <f t="shared" ref="C2115:C2146" si="2112">C2114</f>
        <v>CH</v>
      </c>
      <c r="D2115" t="s">
        <v>2244</v>
      </c>
      <c r="E2115" t="str">
        <f t="shared" ref="E2115:E2146" si="2113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1"/>
        <v>SPS1</v>
      </c>
      <c r="C2116" s="5" t="str">
        <f t="shared" si="2112"/>
        <v>CH</v>
      </c>
      <c r="D2116" t="s">
        <v>2245</v>
      </c>
      <c r="E2116" t="str">
        <f t="shared" si="2113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8.6862894466324206E-5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1.94989295002978E-4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5.1719729216048705E-4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5.1602975368355295E-4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2.3457365113505301E-4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1.5744095426903801E-4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0.43566564440537098</v>
      </c>
      <c r="N2116" s="1"/>
    </row>
    <row r="2117" spans="2:14" x14ac:dyDescent="0.35">
      <c r="B2117" s="5" t="str">
        <f t="shared" si="2111"/>
        <v>SPS1</v>
      </c>
      <c r="C2117" s="5" t="str">
        <f t="shared" si="2112"/>
        <v>CH</v>
      </c>
      <c r="D2117" t="s">
        <v>2246</v>
      </c>
      <c r="E2117" t="str">
        <f t="shared" si="2113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8.8187347332411003E-5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3.1670025100699899E-4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3.4446246420884101E-3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0.32967863061445601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1.00932125834666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0.86251408738811497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1.42404271232877</v>
      </c>
      <c r="N2117" s="1"/>
    </row>
    <row r="2118" spans="2:14" x14ac:dyDescent="0.35">
      <c r="B2118" s="5" t="str">
        <f t="shared" si="2111"/>
        <v>SPS1</v>
      </c>
      <c r="C2118" s="5" t="str">
        <f t="shared" si="2112"/>
        <v>CH</v>
      </c>
      <c r="D2118" t="s">
        <v>2247</v>
      </c>
      <c r="E2118" t="str">
        <f t="shared" si="2113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8.3374232267295598E-5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2.81765859398562E-3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2.6567979649398899E-3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0.29562019079617702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0.80102700060532395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0.411403621348781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0.89771718204397299</v>
      </c>
      <c r="N2118" s="1"/>
    </row>
    <row r="2119" spans="2:14" x14ac:dyDescent="0.35">
      <c r="B2119" s="5" t="str">
        <f t="shared" si="2111"/>
        <v>SPS1</v>
      </c>
      <c r="C2119" s="5" t="str">
        <f t="shared" si="2112"/>
        <v>CH</v>
      </c>
      <c r="D2119" t="s">
        <v>2248</v>
      </c>
      <c r="E2119" t="str">
        <f t="shared" si="2113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1.8130472794138699E-4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8.3692203494074399E-2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0.26319978360859098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2.6378785223828801E-2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1.0117354094623201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0.68103848123427702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2.0006684503589498</v>
      </c>
      <c r="N2119" s="1"/>
    </row>
    <row r="2120" spans="2:14" x14ac:dyDescent="0.35">
      <c r="B2120" s="5" t="str">
        <f t="shared" si="2111"/>
        <v>SPS1</v>
      </c>
      <c r="C2120" s="5" t="str">
        <f t="shared" si="2112"/>
        <v>CH</v>
      </c>
      <c r="D2120" t="s">
        <v>2249</v>
      </c>
      <c r="E2120" t="str">
        <f t="shared" si="2113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1.13260411220089E-4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1.3687318365514001E-4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9.8116588364853305E-5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1.68965199300118E-4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3.0662602974848802E-5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1"/>
        <v>SPS1</v>
      </c>
      <c r="C2121" s="5" t="str">
        <f t="shared" si="2112"/>
        <v>CH</v>
      </c>
      <c r="D2121" t="s">
        <v>2250</v>
      </c>
      <c r="E2121" t="str">
        <f t="shared" si="2113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6.4156986444365604E-5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1.44256632562268E-4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1.37757779748061E-4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9.3393603223073795E-4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1.14918967915411E-5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1"/>
        <v>SPS1</v>
      </c>
      <c r="C2122" s="5" t="str">
        <f t="shared" si="2112"/>
        <v>CH</v>
      </c>
      <c r="D2122" t="s">
        <v>2251</v>
      </c>
      <c r="E2122" t="str">
        <f t="shared" si="2113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3.6032405130773597E-2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3.8211471373780899E-2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9.1575983015818702E-4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2.9978422588313797E-4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2.1152559393271301E-5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1"/>
        <v>SPS1</v>
      </c>
      <c r="C2123" s="5" t="str">
        <f t="shared" si="2112"/>
        <v>CH</v>
      </c>
      <c r="D2123" t="s">
        <v>2252</v>
      </c>
      <c r="E2123" t="str">
        <f t="shared" si="2113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5.4883925998554098E-4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3.2968012697522802E-4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2.3802998110623199E-4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2.61373965480468E-4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2.2086495351761401E-5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1"/>
        <v>SPS1</v>
      </c>
      <c r="C2124" s="5" t="str">
        <f t="shared" si="2112"/>
        <v>CH</v>
      </c>
      <c r="D2124" t="s">
        <v>2253</v>
      </c>
      <c r="E2124" t="str">
        <f t="shared" si="2113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1.17185750315965E-4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1.35242824116306E-4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9.4183888731918193E-5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1.8741819824694901E-4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3.1024386950881601E-5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1"/>
        <v>SPS1</v>
      </c>
      <c r="C2125" s="5" t="str">
        <f t="shared" si="2112"/>
        <v>CH</v>
      </c>
      <c r="D2125" t="s">
        <v>2254</v>
      </c>
      <c r="E2125" t="str">
        <f t="shared" si="2113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8.5762634848714298E-5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1.7233330286793499E-4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1.6698443213507199E-4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2.56538054797994E-3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1.11674860042288E-5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1"/>
        <v>SPS1</v>
      </c>
      <c r="C2126" s="5" t="str">
        <f t="shared" si="2112"/>
        <v>CH</v>
      </c>
      <c r="D2126" t="s">
        <v>2255</v>
      </c>
      <c r="E2126" t="str">
        <f t="shared" si="2113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8.5542953384585305E-4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6.7602010867451698E-2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0.22099656170301801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4.0524768762153699E-4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2.0866052564515301E-5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1"/>
        <v>SPS1</v>
      </c>
      <c r="C2127" s="5" t="str">
        <f t="shared" si="2112"/>
        <v>CH</v>
      </c>
      <c r="D2127" t="s">
        <v>2256</v>
      </c>
      <c r="E2127" t="str">
        <f t="shared" si="2113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4.2961635563579801E-4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3.7899232504124699E-4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2.97374898308424E-4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3.3445764698149298E-4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2.18721533237479E-5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1"/>
        <v>SPS1</v>
      </c>
      <c r="C2128" s="5" t="str">
        <f t="shared" si="2112"/>
        <v>CH</v>
      </c>
      <c r="D2128" t="s">
        <v>2257</v>
      </c>
      <c r="E2128" t="str">
        <f t="shared" si="2113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7.8199410126390495E-6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4.0633866790141399E-6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6.3632508021608104E-7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8.6925552435864604E-7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4.6640542572433502E-7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7.0134848446012902E-7</v>
      </c>
      <c r="N2128" s="1"/>
    </row>
    <row r="2129" spans="2:14" x14ac:dyDescent="0.35">
      <c r="B2129" s="5" t="str">
        <f t="shared" si="2111"/>
        <v>SPS1</v>
      </c>
      <c r="C2129" s="5" t="str">
        <f t="shared" si="2112"/>
        <v>CH</v>
      </c>
      <c r="D2129" t="s">
        <v>2258</v>
      </c>
      <c r="E2129" t="str">
        <f t="shared" si="2113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3.8887242699221804E-6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2.2366260580955002E-6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3.98861359047105E-7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8.20064430755591E-7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4.4157072857171002E-7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7.4799436385457298E-7</v>
      </c>
      <c r="N2129" s="1"/>
    </row>
    <row r="2130" spans="2:14" x14ac:dyDescent="0.35">
      <c r="B2130" s="5" t="str">
        <f t="shared" si="2111"/>
        <v>SPS1</v>
      </c>
      <c r="C2130" s="5" t="str">
        <f t="shared" si="2112"/>
        <v>CH</v>
      </c>
      <c r="D2130" t="s">
        <v>2259</v>
      </c>
      <c r="E2130" t="str">
        <f t="shared" si="2113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3.15127208930924E-6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1.71530321473997E-6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2.8761035184805401E-7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5.5964700221580604E-7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3.9318832713972201E-7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7.9288933055540004E-7</v>
      </c>
      <c r="N2130" s="1"/>
    </row>
    <row r="2131" spans="2:14" x14ac:dyDescent="0.35">
      <c r="B2131" s="5" t="str">
        <f t="shared" si="2111"/>
        <v>SPS1</v>
      </c>
      <c r="C2131" s="5" t="str">
        <f t="shared" si="2112"/>
        <v>CH</v>
      </c>
      <c r="D2131" t="s">
        <v>2260</v>
      </c>
      <c r="E2131" t="str">
        <f t="shared" si="2113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4.3186588756839002E-6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2.1729975715359499E-6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3.4217737358049398E-7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7.9394267449823901E-7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4.2935890220990002E-7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7.9564531394526897E-7</v>
      </c>
      <c r="N2131" s="1"/>
    </row>
    <row r="2132" spans="2:14" x14ac:dyDescent="0.35">
      <c r="B2132" s="5" t="str">
        <f t="shared" si="2111"/>
        <v>SPS1</v>
      </c>
      <c r="C2132" s="5" t="str">
        <f t="shared" si="2112"/>
        <v>CH</v>
      </c>
      <c r="D2132" t="s">
        <v>2261</v>
      </c>
      <c r="E2132" t="str">
        <f t="shared" si="2113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1"/>
        <v>SPS1</v>
      </c>
      <c r="C2133" s="5" t="str">
        <f t="shared" si="2112"/>
        <v>CH</v>
      </c>
      <c r="D2133" t="s">
        <v>2262</v>
      </c>
      <c r="E2133" t="str">
        <f t="shared" si="2113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4.882426676066387E-4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2.8784479631646968E-4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0.1479888853225724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1.3639756383703699E-3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1.5210624867408901E-3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1"/>
        <v>SPS1</v>
      </c>
      <c r="C2134" s="5" t="str">
        <f t="shared" si="2112"/>
        <v>CH</v>
      </c>
      <c r="D2134" t="s">
        <v>2263</v>
      </c>
      <c r="E2134" t="str">
        <f t="shared" si="2113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4.0694126376922421E-2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0.12647677165638982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2.7606862880978092E-2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2.2523862803681599E-4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2.0506850859213001E-4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1"/>
        <v>SPS1</v>
      </c>
      <c r="C2135" s="5" t="str">
        <f t="shared" si="2112"/>
        <v>CH</v>
      </c>
      <c r="D2135" t="s">
        <v>2264</v>
      </c>
      <c r="E2135" t="str">
        <f t="shared" si="2113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0.10856095844250592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1.703544257441267E-4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1.6842969273908191E-4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3.0043696834395399E-5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1.8540031988753299E-5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1"/>
        <v>SPS1</v>
      </c>
      <c r="C2136" s="5" t="str">
        <f t="shared" si="2112"/>
        <v>CH</v>
      </c>
      <c r="D2136" t="s">
        <v>2265</v>
      </c>
      <c r="E2136" t="str">
        <f t="shared" si="2113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4.366021263361274E-4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1.7499854676864451E-4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2.931694400803358E-4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4.2526761425313302E-5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2.99238387747513E-5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1"/>
        <v>SPS1</v>
      </c>
      <c r="C2137" s="5" t="str">
        <f t="shared" si="2112"/>
        <v>CH</v>
      </c>
      <c r="D2137" t="s">
        <v>2266</v>
      </c>
      <c r="E2137" t="str">
        <f t="shared" si="2113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1"/>
        <v>SPS1</v>
      </c>
      <c r="C2138" s="5" t="str">
        <f t="shared" si="2112"/>
        <v>CH</v>
      </c>
      <c r="D2138" t="s">
        <v>2267</v>
      </c>
      <c r="E2138" t="str">
        <f t="shared" si="2113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1.09683641401395E-3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7.7579267772780403E-2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4.2866349261690601E-4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7.8064815277323896E-2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1"/>
        <v>SPS1</v>
      </c>
      <c r="C2139" s="5" t="str">
        <f t="shared" si="2112"/>
        <v>CH</v>
      </c>
      <c r="D2139" t="s">
        <v>2268</v>
      </c>
      <c r="E2139" t="str">
        <f t="shared" si="2113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1.06444520366815E-4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4.8643973498689201E-4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2.6736728661750302E-4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3.3167181271508801E-4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1"/>
        <v>SPS1</v>
      </c>
      <c r="C2140" s="5" t="str">
        <f t="shared" si="2112"/>
        <v>CH</v>
      </c>
      <c r="D2140" t="s">
        <v>2269</v>
      </c>
      <c r="E2140" t="str">
        <f t="shared" si="2113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6.5756605484670994E-2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5.0300320398768E-2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2.8688891563704601E-4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6.8967278325695897E-5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1"/>
        <v>SPS1</v>
      </c>
      <c r="C2141" s="5" t="str">
        <f t="shared" si="2112"/>
        <v>CH</v>
      </c>
      <c r="D2141" t="s">
        <v>2270</v>
      </c>
      <c r="E2141" t="str">
        <f t="shared" si="2113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6.2601918281207604E-4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0.10908626571595199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0.78739339324623203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0.116417274353457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1"/>
        <v>SPS1</v>
      </c>
      <c r="C2142" s="5" t="str">
        <f t="shared" si="2112"/>
        <v>CH</v>
      </c>
      <c r="D2142" t="s">
        <v>2271</v>
      </c>
      <c r="E2142" t="str">
        <f t="shared" si="2113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7.0450244801381699E-5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9.2978005441989703E-5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2.3430433093041701E-4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1"/>
        <v>SPS1</v>
      </c>
      <c r="C2143" s="5" t="str">
        <f t="shared" si="2112"/>
        <v>CH</v>
      </c>
      <c r="D2143" t="s">
        <v>2272</v>
      </c>
      <c r="E2143" t="str">
        <f t="shared" si="2113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3.0423139707715801E-5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5.77964108308155E-5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1.2354480528309301E-4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1"/>
        <v>SPS1</v>
      </c>
      <c r="C2144" s="5" t="str">
        <f t="shared" si="2112"/>
        <v>CH</v>
      </c>
      <c r="D2144" t="s">
        <v>2273</v>
      </c>
      <c r="E2144" t="str">
        <f t="shared" si="2113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3.64277843839278E-5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5.65937142973117E-5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1.07747774047865E-4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1"/>
        <v>SPS1</v>
      </c>
      <c r="C2145" s="5" t="str">
        <f t="shared" si="2112"/>
        <v>CH</v>
      </c>
      <c r="D2145" t="s">
        <v>2274</v>
      </c>
      <c r="E2145" t="str">
        <f t="shared" si="2113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5.77371857662464E-5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8.5249126111196501E-5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2.26327085999229E-4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1"/>
        <v>SPS1</v>
      </c>
      <c r="C2146" s="5" t="str">
        <f t="shared" si="2112"/>
        <v>CH</v>
      </c>
      <c r="D2146" t="s">
        <v>2275</v>
      </c>
      <c r="E2146" t="str">
        <f t="shared" si="2113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4">B2146</f>
        <v>SPS1</v>
      </c>
      <c r="C2147" s="5" t="str">
        <f t="shared" ref="C2147:C2164" si="2115">C2146</f>
        <v>CH</v>
      </c>
      <c r="D2147" t="s">
        <v>2276</v>
      </c>
      <c r="E2147" t="str">
        <f t="shared" ref="E2147:E2164" si="2116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4.4170458449730332E-2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3.2082482477948049E-4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9.8134262026589405E-4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9.8362383499771597E-2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0.14880167430442701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4"/>
        <v>SPS1</v>
      </c>
      <c r="C2148" s="5" t="str">
        <f t="shared" si="2115"/>
        <v>CH</v>
      </c>
      <c r="D2148" t="s">
        <v>2277</v>
      </c>
      <c r="E2148" t="str">
        <f t="shared" si="2116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9.1423390177357136E-2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0.12487369912771924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0.22842558960653084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2.8681571938016199E-4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2.41273495765174E-4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4"/>
        <v>SPS1</v>
      </c>
      <c r="C2149" s="5" t="str">
        <f t="shared" si="2115"/>
        <v>CH</v>
      </c>
      <c r="D2149" t="s">
        <v>2278</v>
      </c>
      <c r="E2149" t="str">
        <f t="shared" si="2116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2.1285574460672111E-4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1.2878746093457981E-4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1.7073067016852179E-4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3.1156455607214497E-5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1.88005491792423E-5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4"/>
        <v>SPS1</v>
      </c>
      <c r="C2150" s="5" t="str">
        <f t="shared" si="2115"/>
        <v>CH</v>
      </c>
      <c r="D2150" t="s">
        <v>2279</v>
      </c>
      <c r="E2150" t="str">
        <f t="shared" si="2116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4.1051937992194235E-4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1.2166280286732919E-4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1.079081945476667E-4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4.4260558601811799E-5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3.0447641548085101E-5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4"/>
        <v>SPS1</v>
      </c>
      <c r="C2151" s="5" t="str">
        <f t="shared" si="2115"/>
        <v>CH</v>
      </c>
      <c r="D2151" t="s">
        <v>2280</v>
      </c>
      <c r="E2151" t="str">
        <f t="shared" si="2116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4"/>
        <v>SPS1</v>
      </c>
      <c r="C2152" s="5" t="str">
        <f t="shared" si="2115"/>
        <v>CH</v>
      </c>
      <c r="D2152" t="s">
        <v>2281</v>
      </c>
      <c r="E2152" t="str">
        <f t="shared" si="2116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2.51862593486825E-4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1.8433525577025799E-4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9.5415264216774701E-5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1.1534705317435499E-4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4"/>
        <v>SPS1</v>
      </c>
      <c r="C2153" s="5" t="str">
        <f t="shared" si="2115"/>
        <v>CH</v>
      </c>
      <c r="D2153" t="s">
        <v>2282</v>
      </c>
      <c r="E2153" t="str">
        <f t="shared" si="2116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6.5297173554796899E-5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1.01309846976216E-4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7.1421073883442705E-5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5.9994141198470703E-5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4"/>
        <v>SPS1</v>
      </c>
      <c r="C2154" s="5" t="str">
        <f t="shared" si="2115"/>
        <v>CH</v>
      </c>
      <c r="D2154" t="s">
        <v>2283</v>
      </c>
      <c r="E2154" t="str">
        <f t="shared" si="2116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7.4188855913287702E-5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7.9715975810711306E-5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6.1879727668525203E-5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3.3586837266415602E-5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4"/>
        <v>SPS1</v>
      </c>
      <c r="C2155" s="5" t="str">
        <f t="shared" si="2115"/>
        <v>CH</v>
      </c>
      <c r="D2155" t="s">
        <v>2284</v>
      </c>
      <c r="E2155" t="str">
        <f t="shared" si="2116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2.5932750137077398E-5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3.4178777799011399E-5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3.2782362971323E-5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2.6775471726089201E-5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4"/>
        <v>SPS1</v>
      </c>
      <c r="C2156" s="5" t="str">
        <f t="shared" si="2115"/>
        <v>CH</v>
      </c>
      <c r="D2156" t="s">
        <v>2285</v>
      </c>
      <c r="E2156" t="str">
        <f t="shared" si="2116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5.9814448022829997E-5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7.9867322943772499E-5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1.87057347411433E-4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4"/>
        <v>SPS1</v>
      </c>
      <c r="C2157" s="5" t="str">
        <f t="shared" si="2115"/>
        <v>CH</v>
      </c>
      <c r="D2157" t="s">
        <v>2286</v>
      </c>
      <c r="E2157" t="str">
        <f t="shared" si="2116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2.7314638101829801E-5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5.1398955842239998E-5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1.2998699120382701E-4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4"/>
        <v>SPS1</v>
      </c>
      <c r="C2158" s="5" t="str">
        <f t="shared" si="2115"/>
        <v>CH</v>
      </c>
      <c r="D2158" t="s">
        <v>2287</v>
      </c>
      <c r="E2158" t="str">
        <f t="shared" si="2116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3.0642856309630099E-5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4.8043273227630998E-5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1.07949845056691E-4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4"/>
        <v>SPS1</v>
      </c>
      <c r="C2159" s="5" t="str">
        <f t="shared" si="2115"/>
        <v>CH</v>
      </c>
      <c r="D2159" t="s">
        <v>2288</v>
      </c>
      <c r="E2159" t="str">
        <f t="shared" si="2116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2.4156735930978399E-5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3.1794857169831697E-5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4.1128386850775497E-5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4"/>
        <v>SPS1</v>
      </c>
      <c r="C2160" s="5" t="str">
        <f t="shared" si="2115"/>
        <v>CH</v>
      </c>
      <c r="D2160" t="s">
        <v>2289</v>
      </c>
      <c r="E2160" t="str">
        <f t="shared" si="2116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4"/>
        <v>SPS1</v>
      </c>
      <c r="C2161" s="5" t="str">
        <f t="shared" si="2115"/>
        <v>CH</v>
      </c>
      <c r="D2161" t="s">
        <v>2290</v>
      </c>
      <c r="E2161" t="str">
        <f t="shared" si="2116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5.9222911190525098E-6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5.5202342693428E-6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1.44534212190591E-6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5.9150678249216096E-6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4"/>
        <v>SPS1</v>
      </c>
      <c r="C2162" s="5" t="str">
        <f t="shared" si="2115"/>
        <v>CH</v>
      </c>
      <c r="D2162" t="s">
        <v>2291</v>
      </c>
      <c r="E2162" t="str">
        <f t="shared" si="2116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3.0602412771173802E-6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3.3052964718629198E-6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1.49710797791826E-6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7.6990285905899704E-6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4"/>
        <v>SPS1</v>
      </c>
      <c r="C2163" s="5" t="str">
        <f t="shared" si="2115"/>
        <v>CH</v>
      </c>
      <c r="D2163" t="s">
        <v>2292</v>
      </c>
      <c r="E2163" t="str">
        <f t="shared" si="2116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3.5256309827649899E-6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3.2139464070020601E-6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1.54120008459912E-6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9.2933477995950498E-6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4"/>
        <v>SPS1</v>
      </c>
      <c r="C2164" s="5" t="str">
        <f t="shared" si="2115"/>
        <v>CH</v>
      </c>
      <c r="D2164" t="s">
        <v>2293</v>
      </c>
      <c r="E2164" t="str">
        <f t="shared" si="2116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3.6552137155997701E-6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3.63681143385314E-6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1.54604653007232E-6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9.6309346272558606E-6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SPS3_NUC_Low!B1953</f>
        <v>SPS1</v>
      </c>
      <c r="C2165" s="5" t="str">
        <f>SPS3_NUC_Low!C1953</f>
        <v>CH</v>
      </c>
      <c r="D2165" s="2" t="s">
        <v>2294</v>
      </c>
      <c r="E2165" s="2" t="s">
        <v>1999</v>
      </c>
      <c r="F2165" s="3">
        <f t="shared" ref="F2165:K2165" si="2117">SUM(F2166:F2188)</f>
        <v>0</v>
      </c>
      <c r="G2165" s="3">
        <f t="shared" si="2117"/>
        <v>0.714102531705333</v>
      </c>
      <c r="H2165" s="3">
        <f t="shared" si="2117"/>
        <v>1.5539387975676742</v>
      </c>
      <c r="I2165" s="3">
        <f t="shared" si="2117"/>
        <v>5.7082829061510738</v>
      </c>
      <c r="J2165" s="3">
        <f t="shared" si="2117"/>
        <v>4.8829957377011919</v>
      </c>
      <c r="K2165" s="3">
        <f t="shared" si="2117"/>
        <v>2.2490263843325926</v>
      </c>
      <c r="L2165" s="3">
        <f t="shared" ref="L2165" si="2118">SUM(L2166:L2188)</f>
        <v>6.4720018379908781</v>
      </c>
      <c r="N2165" s="1"/>
    </row>
    <row r="2166" spans="2:14" x14ac:dyDescent="0.35">
      <c r="B2166" s="5" t="str">
        <f t="shared" ref="B2166:B2197" si="2119">B2165</f>
        <v>SPS1</v>
      </c>
      <c r="C2166" s="5" t="str">
        <f t="shared" ref="C2166:C2197" si="2120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9"/>
        <v>SPS1</v>
      </c>
      <c r="C2167" s="5" t="str">
        <f t="shared" si="2120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1.8374353215850198E-2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1.23962395548942E-2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2.54182630915611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2.59569506817378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0.144459442713536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1.1113192708979001</v>
      </c>
      <c r="N2167" s="1"/>
    </row>
    <row r="2168" spans="2:14" x14ac:dyDescent="0.35">
      <c r="B2168" s="5" t="str">
        <f t="shared" si="2119"/>
        <v>SPS1</v>
      </c>
      <c r="C2168" s="5" t="str">
        <f t="shared" si="2120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3.4997625174644398E-3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9.3711290389936301E-3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0.73005328433916994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0.69594643357067099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0.109696545285592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0.69057734096083001</v>
      </c>
      <c r="N2168" s="1"/>
    </row>
    <row r="2169" spans="2:14" x14ac:dyDescent="0.35">
      <c r="B2169" s="5" t="str">
        <f t="shared" si="2119"/>
        <v>SPS1</v>
      </c>
      <c r="C2169" s="5" t="str">
        <f t="shared" si="2120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2.33764974748513E-3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6.4872100022015699E-3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2.43237447316204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0.55399668343554798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1.76644913695887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3.12602019551717</v>
      </c>
      <c r="N2169" s="1"/>
    </row>
    <row r="2170" spans="2:14" x14ac:dyDescent="0.35">
      <c r="B2170" s="5" t="str">
        <f t="shared" si="2119"/>
        <v>SPS1</v>
      </c>
      <c r="C2170" s="5" t="str">
        <f t="shared" si="2120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5.5116381953174598E-4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4.6446386224773499E-4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5.1331519055532898E-4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7.3938181196701793E-4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7.5144794960181898E-4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3.1123669475341701E-4</v>
      </c>
      <c r="N2170" s="1"/>
    </row>
    <row r="2171" spans="2:14" x14ac:dyDescent="0.35">
      <c r="B2171" s="5" t="str">
        <f t="shared" si="2119"/>
        <v>SPS1</v>
      </c>
      <c r="C2171" s="5" t="str">
        <f t="shared" si="2120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3.7972363256898901E-5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4.56025822385015E-5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9"/>
        <v>SPS1</v>
      </c>
      <c r="C2172" s="5" t="str">
        <f t="shared" si="2120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9"/>
        <v>SPS1</v>
      </c>
      <c r="C2173" s="5" t="str">
        <f t="shared" si="2120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9"/>
        <v>SPS1</v>
      </c>
      <c r="C2174" s="5" t="str">
        <f t="shared" si="2120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9"/>
        <v>SPS1</v>
      </c>
      <c r="C2175" s="5" t="str">
        <f t="shared" si="2120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6.2186429870474897E-3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3.1842066526089597E-3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1.0723550305913601E-3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6.68196419494745E-3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1.5631777724024302E-2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1.5413890817306799</v>
      </c>
      <c r="N2175" s="1"/>
    </row>
    <row r="2176" spans="2:14" x14ac:dyDescent="0.35">
      <c r="B2176" s="5" t="str">
        <f t="shared" si="2119"/>
        <v>SPS1</v>
      </c>
      <c r="C2176" s="5" t="str">
        <f t="shared" si="2120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1.3798276082159799E-3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1.29255224739136E-3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8.7443821382551096E-4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3.1056998906292201E-3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3.20095285536268E-3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1.3764882566606499E-3</v>
      </c>
      <c r="N2176" s="1"/>
    </row>
    <row r="2177" spans="2:14" x14ac:dyDescent="0.35">
      <c r="B2177" s="5" t="str">
        <f t="shared" si="2119"/>
        <v>SPS1</v>
      </c>
      <c r="C2177" s="5" t="str">
        <f t="shared" si="2120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2.3092749407020901E-3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0.80904597939434097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1.43954234623874E-3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1.0266066733758801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0.20868354624409202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9.4950253698419405E-4</v>
      </c>
      <c r="N2177" s="1"/>
    </row>
    <row r="2178" spans="2:14" x14ac:dyDescent="0.35">
      <c r="B2178" s="5" t="str">
        <f t="shared" si="2119"/>
        <v>SPS1</v>
      </c>
      <c r="C2178" s="5" t="str">
        <f t="shared" si="2120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1.0745294850575099E-4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8.349837549927579E-5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7.2266446081064098E-5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1.48994773808369E-4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1.2519947225097099E-4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3.2701369025255799E-5</v>
      </c>
      <c r="N2178" s="1"/>
    </row>
    <row r="2179" spans="2:14" x14ac:dyDescent="0.35">
      <c r="B2179" s="5" t="str">
        <f t="shared" si="2119"/>
        <v>SPS1</v>
      </c>
      <c r="C2179" s="5" t="str">
        <f t="shared" si="2120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9"/>
        <v>SPS1</v>
      </c>
      <c r="C2180" s="5" t="str">
        <f t="shared" si="2120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0.62986646018108494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0.51175968485243695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1.13207115111722E-5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1.13890647431526E-5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1.0355504880925301E-5</v>
      </c>
      <c r="N2180" s="1"/>
    </row>
    <row r="2181" spans="2:14" x14ac:dyDescent="0.35">
      <c r="B2181" s="5" t="str">
        <f t="shared" si="2119"/>
        <v>SPS1</v>
      </c>
      <c r="C2181" s="5" t="str">
        <f t="shared" si="2120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6.9419693488840207E-3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0.165306303577721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9"/>
        <v>SPS1</v>
      </c>
      <c r="C2182" s="5" t="str">
        <f t="shared" si="2120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4.1803621909252998E-2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4.4571831723899105E-3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9"/>
        <v>SPS1</v>
      </c>
      <c r="C2183" s="5" t="str">
        <f t="shared" si="2120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9.2441931643511609E-5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8.2043746360718306E-5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9"/>
        <v>SPS1</v>
      </c>
      <c r="C2184" s="5" t="str">
        <f t="shared" si="2120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9"/>
        <v>SPS1</v>
      </c>
      <c r="C2185" s="5" t="str">
        <f t="shared" si="2120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3.46780185421134E-4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2.9031305746203199E-3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1.8949903204356302E-5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1.7915180210990401E-5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1.6946064519665601E-5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1.5664521993949599E-5</v>
      </c>
      <c r="N2185" s="1"/>
    </row>
    <row r="2186" spans="2:14" x14ac:dyDescent="0.35">
      <c r="B2186" s="5" t="str">
        <f t="shared" si="2119"/>
        <v>SPS1</v>
      </c>
      <c r="C2186" s="5" t="str">
        <f t="shared" si="2120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1.6705062135911699E-4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1.29571209196979E-2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9"/>
        <v>SPS1</v>
      </c>
      <c r="C2187" s="5" t="str">
        <f t="shared" si="2120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8.5283762338153301E-5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1.4077425963244301E-2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9"/>
        <v>SPS1</v>
      </c>
      <c r="C2188" s="5" t="str">
        <f t="shared" si="2120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2.0795980546222001E-5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7.0625633025468804E-5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9"/>
        <v>SPS1</v>
      </c>
      <c r="C2189" s="5" t="str">
        <f t="shared" si="2120"/>
        <v>CH</v>
      </c>
      <c r="D2189" s="2" t="s">
        <v>2318</v>
      </c>
      <c r="E2189" s="2" t="s">
        <v>1999</v>
      </c>
      <c r="F2189" s="3">
        <f t="shared" ref="F2189:K2189" si="2121">SUM(F2190:F2212)</f>
        <v>0</v>
      </c>
      <c r="G2189" s="3">
        <f t="shared" si="2121"/>
        <v>0.50834381466312573</v>
      </c>
      <c r="H2189" s="3">
        <f t="shared" si="2121"/>
        <v>0.36765097079572706</v>
      </c>
      <c r="I2189" s="3">
        <f t="shared" si="2121"/>
        <v>2.7433386000316005</v>
      </c>
      <c r="J2189" s="3">
        <f t="shared" si="2121"/>
        <v>1.8151832590481392</v>
      </c>
      <c r="K2189" s="3">
        <f t="shared" si="2121"/>
        <v>1.0659006848780179</v>
      </c>
      <c r="L2189" s="3">
        <f t="shared" ref="L2189" si="2122">SUM(L2190:L2212)</f>
        <v>2.1850152027896681</v>
      </c>
      <c r="N2189" s="1"/>
    </row>
    <row r="2190" spans="2:14" x14ac:dyDescent="0.35">
      <c r="B2190" s="5" t="str">
        <f t="shared" si="2119"/>
        <v>SPS1</v>
      </c>
      <c r="C2190" s="5" t="str">
        <f t="shared" si="2120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9"/>
        <v>SPS1</v>
      </c>
      <c r="C2191" s="5" t="str">
        <f t="shared" si="2120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3.0812850688212799E-3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5.4338202295115502E-3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1.3935225905122199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1.0425069933392499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2.6506710986380501E-2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0.72992263658394996</v>
      </c>
      <c r="N2191" s="1"/>
    </row>
    <row r="2192" spans="2:14" x14ac:dyDescent="0.35">
      <c r="B2192" s="5" t="str">
        <f t="shared" si="2119"/>
        <v>SPS1</v>
      </c>
      <c r="C2192" s="5" t="str">
        <f t="shared" si="2120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1.42506707298221E-3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3.2926230908259199E-3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0.93867169508698101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0.63132989850620103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0.54214385271436893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0.82515523175797001</v>
      </c>
      <c r="N2192" s="1"/>
    </row>
    <row r="2193" spans="2:14" x14ac:dyDescent="0.35">
      <c r="B2193" s="5" t="str">
        <f t="shared" si="2119"/>
        <v>SPS1</v>
      </c>
      <c r="C2193" s="5" t="str">
        <f t="shared" si="2120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7.2334789452520906E-4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9.6328649293714102E-4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3.2595186399415801E-3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8.697469415068779E-3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8.1451605767454111E-2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0.20016291980113898</v>
      </c>
      <c r="N2193" s="1"/>
    </row>
    <row r="2194" spans="2:14" x14ac:dyDescent="0.35">
      <c r="B2194" s="5" t="str">
        <f t="shared" si="2119"/>
        <v>SPS1</v>
      </c>
      <c r="C2194" s="5" t="str">
        <f t="shared" si="2120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4.1778662037928599E-4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3.3984503112863501E-4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4.5656357275502396E-4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6.6469519628890807E-4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7.7257873084423799E-4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3.2586825325685504E-4</v>
      </c>
      <c r="N2194" s="1"/>
    </row>
    <row r="2195" spans="2:14" x14ac:dyDescent="0.35">
      <c r="B2195" s="5" t="str">
        <f t="shared" si="2119"/>
        <v>SPS1</v>
      </c>
      <c r="C2195" s="5" t="str">
        <f t="shared" si="2120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2.2073511340310003E-5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3.1189556796621399E-5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9"/>
        <v>SPS1</v>
      </c>
      <c r="C2196" s="5" t="str">
        <f t="shared" si="2120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1.56703002372795E-5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9"/>
        <v>SPS1</v>
      </c>
      <c r="C2197" s="5" t="str">
        <f t="shared" si="2120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3">B2197</f>
        <v>SPS1</v>
      </c>
      <c r="C2198" s="5" t="str">
        <f t="shared" ref="C2198:C2232" si="2124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3"/>
        <v>SPS1</v>
      </c>
      <c r="C2199" s="5" t="str">
        <f t="shared" si="2124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5.4357908415681904E-3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3.30618930676784E-3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2.6544891010190199E-3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2.4269161443966802E-2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0.31331491631630298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0.42684229338231999</v>
      </c>
      <c r="N2199" s="1"/>
    </row>
    <row r="2200" spans="2:14" x14ac:dyDescent="0.35">
      <c r="B2200" s="5" t="str">
        <f t="shared" si="2123"/>
        <v>SPS1</v>
      </c>
      <c r="C2200" s="5" t="str">
        <f t="shared" si="2124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1.8459034280148101E-3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0.11794643925090699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0.17853292635055598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2.26209728719938E-2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8.9486379433943702E-3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1.75349988769224E-3</v>
      </c>
      <c r="N2200" s="1"/>
    </row>
    <row r="2201" spans="2:14" x14ac:dyDescent="0.35">
      <c r="B2201" s="5" t="str">
        <f t="shared" si="2123"/>
        <v>SPS1</v>
      </c>
      <c r="C2201" s="5" t="str">
        <f t="shared" si="2124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8.2923460388361194E-4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3.40250854339465E-2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0.226071559122103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8.4866139591293202E-2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9.2561843249914399E-2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7.9068223438669594E-4</v>
      </c>
      <c r="N2201" s="1"/>
    </row>
    <row r="2202" spans="2:14" x14ac:dyDescent="0.35">
      <c r="B2202" s="5" t="str">
        <f t="shared" si="2123"/>
        <v>SPS1</v>
      </c>
      <c r="C2202" s="5" t="str">
        <f t="shared" si="2124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1.7492145446425901E-4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1.38719334167622E-4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1.4718413468503601E-4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1.81068827042897E-4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1.90508436693639E-4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6.20708889535245E-5</v>
      </c>
      <c r="N2202" s="1"/>
    </row>
    <row r="2203" spans="2:14" x14ac:dyDescent="0.35">
      <c r="B2203" s="5" t="str">
        <f t="shared" si="2123"/>
        <v>SPS1</v>
      </c>
      <c r="C2203" s="5" t="str">
        <f t="shared" si="2124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3"/>
        <v>SPS1</v>
      </c>
      <c r="C2204" s="5" t="str">
        <f t="shared" si="2124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0.49142291096792101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0.195686786828947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3"/>
        <v>SPS1</v>
      </c>
      <c r="C2205" s="5" t="str">
        <f t="shared" si="2124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1.4850794627529799E-3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1.84442334382728E-3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3"/>
        <v>SPS1</v>
      </c>
      <c r="C2206" s="5" t="str">
        <f t="shared" si="2124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6.2419031536793299E-4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5.4826160135485998E-4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3"/>
        <v>SPS1</v>
      </c>
      <c r="C2207" s="5" t="str">
        <f t="shared" si="2124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1.3667144734523301E-4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1.11275644658706E-4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3"/>
        <v>SPS1</v>
      </c>
      <c r="C2208" s="5" t="str">
        <f t="shared" si="2124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3"/>
        <v>SPS1</v>
      </c>
      <c r="C2209" s="5" t="str">
        <f t="shared" si="2124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3.6114725378593501E-4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2.2217929182040703E-3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3"/>
        <v>SPS1</v>
      </c>
      <c r="C2210" s="5" t="str">
        <f t="shared" si="2124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2.10343902039275E-4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1.2026548991051701E-3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3"/>
        <v>SPS1</v>
      </c>
      <c r="C2211" s="5" t="str">
        <f t="shared" si="2124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1.3067563324366401E-4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4.9071184089424899E-4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1.00307326649594E-5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3"/>
        <v>SPS1</v>
      </c>
      <c r="C2212" s="5" t="str">
        <f t="shared" si="2124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3.9458696030931805E-5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9.9055548543565408E-5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3"/>
        <v>SPS1</v>
      </c>
      <c r="C2213" s="5" t="str">
        <f t="shared" si="2124"/>
        <v>CH</v>
      </c>
      <c r="D2213" s="2" t="s">
        <v>2342</v>
      </c>
      <c r="E2213" s="2" t="s">
        <v>1999</v>
      </c>
      <c r="F2213" s="3">
        <f t="shared" ref="F2213:K2213" si="2125">SUM(F2214:F2222)</f>
        <v>3.5996499545842801E-5</v>
      </c>
      <c r="G2213" s="3">
        <f t="shared" si="2125"/>
        <v>22.187883949428592</v>
      </c>
      <c r="H2213" s="3">
        <f t="shared" si="2125"/>
        <v>63.134653465030539</v>
      </c>
      <c r="I2213" s="3">
        <f t="shared" si="2125"/>
        <v>166.45337021009328</v>
      </c>
      <c r="J2213" s="3">
        <f t="shared" si="2125"/>
        <v>244.61692881569221</v>
      </c>
      <c r="K2213" s="3">
        <f t="shared" si="2125"/>
        <v>192.63385334232615</v>
      </c>
      <c r="L2213" s="3">
        <f t="shared" ref="L2213" si="2126">SUM(L2214:L2222)</f>
        <v>364.02552125262821</v>
      </c>
      <c r="N2213" s="1"/>
    </row>
    <row r="2214" spans="2:14" x14ac:dyDescent="0.35">
      <c r="B2214" s="5" t="str">
        <f t="shared" si="2123"/>
        <v>SPS1</v>
      </c>
      <c r="C2214" s="5" t="str">
        <f t="shared" si="2124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3"/>
        <v>SPS1</v>
      </c>
      <c r="C2215" s="5" t="str">
        <f t="shared" si="2124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3.7829365155655799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1.8566318753886701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73.661529722403998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170.93942444686499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192.53157103910502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306.66868983533504</v>
      </c>
      <c r="N2215" s="1"/>
    </row>
    <row r="2216" spans="2:14" x14ac:dyDescent="0.35">
      <c r="B2216" s="5" t="str">
        <f t="shared" si="2123"/>
        <v>SPS1</v>
      </c>
      <c r="C2216" s="5" t="str">
        <f t="shared" si="2124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2.0028064253640597E-3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5.8697579935727796E-4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1.9394683078627299E-4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1.6121121694704399E-4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2.9169208332895796E-4</v>
      </c>
      <c r="N2216" s="1"/>
    </row>
    <row r="2217" spans="2:14" x14ac:dyDescent="0.35">
      <c r="B2217" s="5" t="str">
        <f t="shared" si="2123"/>
        <v>SPS1</v>
      </c>
      <c r="C2217" s="5" t="str">
        <f t="shared" si="2124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3"/>
        <v>SPS1</v>
      </c>
      <c r="C2218" s="5" t="str">
        <f t="shared" si="2124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6.4656422922017001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12.3784420350534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24.294853585548399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4.5972287917508799E-2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5.9069610720561697E-3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3"/>
        <v>SPS1</v>
      </c>
      <c r="C2219" s="5" t="str">
        <f t="shared" si="2124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3"/>
        <v>SPS1</v>
      </c>
      <c r="C2220" s="5" t="str">
        <f t="shared" si="2124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0.10203451536647401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0.18687287755885398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0.115847294708375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0.123116310142733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3.0517659285367597E-2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1.9840907611027199E-2</v>
      </c>
      <c r="N2220" s="1"/>
    </row>
    <row r="2221" spans="2:14" x14ac:dyDescent="0.35">
      <c r="B2221" s="5" t="str">
        <f t="shared" si="2123"/>
        <v>SPS1</v>
      </c>
      <c r="C2221" s="5" t="str">
        <f t="shared" si="2124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48.707460361463703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68.379383028019888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73.505115467587501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6.3958679931031895E-2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57.333758080543703</v>
      </c>
      <c r="N2221" s="1"/>
    </row>
    <row r="2222" spans="2:14" x14ac:dyDescent="0.35">
      <c r="B2222" s="5" t="str">
        <f t="shared" si="2123"/>
        <v>SPS1</v>
      </c>
      <c r="C2222" s="5" t="str">
        <f t="shared" si="2124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3.5996499545842801E-5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2.2487689247622901E-3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3.2435091405496001E-3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1.1696036132834101E-3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3.1063563486687902E-3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1.73779171573499E-3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2.9407370550848799E-3</v>
      </c>
      <c r="N2222" s="1"/>
    </row>
    <row r="2223" spans="2:14" x14ac:dyDescent="0.35">
      <c r="B2223" s="5" t="str">
        <f t="shared" si="2123"/>
        <v>SPS1</v>
      </c>
      <c r="C2223" s="5" t="str">
        <f t="shared" si="2124"/>
        <v>CH</v>
      </c>
      <c r="D2223" s="2" t="s">
        <v>2352</v>
      </c>
      <c r="E2223" s="2" t="s">
        <v>1999</v>
      </c>
      <c r="F2223" s="3">
        <f t="shared" ref="F2223:K2223" si="2127">SUM(F2224:F2232)</f>
        <v>0</v>
      </c>
      <c r="G2223" s="3">
        <f t="shared" si="2127"/>
        <v>2.748424571732087</v>
      </c>
      <c r="H2223" s="3">
        <f t="shared" si="2127"/>
        <v>10.082894854809144</v>
      </c>
      <c r="I2223" s="3">
        <f t="shared" si="2127"/>
        <v>26.195122105126561</v>
      </c>
      <c r="J2223" s="3">
        <f t="shared" si="2127"/>
        <v>40.462332332400692</v>
      </c>
      <c r="K2223" s="3">
        <f t="shared" si="2127"/>
        <v>21.578011908592597</v>
      </c>
      <c r="L2223" s="3">
        <f t="shared" ref="L2223" si="2128">SUM(L2224:L2232)</f>
        <v>49.207507901045247</v>
      </c>
      <c r="M2223" s="3"/>
      <c r="N2223" s="1"/>
    </row>
    <row r="2224" spans="2:14" x14ac:dyDescent="0.35">
      <c r="B2224" s="5" t="str">
        <f t="shared" si="2123"/>
        <v>SPS1</v>
      </c>
      <c r="C2224" s="5" t="str">
        <f t="shared" si="2124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3"/>
        <v>SPS1</v>
      </c>
      <c r="C2225" s="5" t="str">
        <f t="shared" si="2124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1.9855992128815898E-2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1.2406905243537301E-2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1.08594466108419E-2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1.2394514319267901E-2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1.7138668909272601E-2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44.967545858757205</v>
      </c>
      <c r="N2225" s="1"/>
    </row>
    <row r="2226" spans="2:14" x14ac:dyDescent="0.35">
      <c r="B2226" s="5" t="str">
        <f t="shared" si="2123"/>
        <v>SPS1</v>
      </c>
      <c r="C2226" s="5" t="str">
        <f t="shared" si="2124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3.2817411022985799E-4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2.05932725527573E-4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3.1515245297330499E-4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6.2481156394934801E-4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7.0333717646701196E-4</v>
      </c>
      <c r="N2226" s="1"/>
    </row>
    <row r="2227" spans="2:14" x14ac:dyDescent="0.35">
      <c r="B2227" s="5" t="str">
        <f t="shared" si="2123"/>
        <v>SPS1</v>
      </c>
      <c r="C2227" s="5" t="str">
        <f t="shared" si="2124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3"/>
        <v>SPS1</v>
      </c>
      <c r="C2228" s="5" t="str">
        <f t="shared" si="2124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3"/>
        <v>SPS1</v>
      </c>
      <c r="C2229" s="5" t="str">
        <f t="shared" si="2124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3"/>
        <v>SPS1</v>
      </c>
      <c r="C2230" s="5" t="str">
        <f t="shared" si="2124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3.20718843290132E-3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4.7400125143376402E-3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4.8454240429486803E-3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5.9097144716261903E-3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5.0753884043460897E-3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1.07849717165815E-3</v>
      </c>
      <c r="N2230" s="1"/>
    </row>
    <row r="2231" spans="2:14" x14ac:dyDescent="0.35">
      <c r="B2231" s="5" t="str">
        <f t="shared" si="2123"/>
        <v>SPS1</v>
      </c>
      <c r="C2231" s="5" t="str">
        <f t="shared" si="2124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10.064921954831101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26.176567454276899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40.438531611385997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21.5522586604392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4.2322506701477405</v>
      </c>
      <c r="N2231" s="1"/>
    </row>
    <row r="2232" spans="2:14" x14ac:dyDescent="0.35">
      <c r="B2232" s="5" t="str">
        <f t="shared" si="2123"/>
        <v>SPS1</v>
      </c>
      <c r="C2232" s="5" t="str">
        <f t="shared" si="2124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4.6900788774976304E-4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6.2004949464051899E-4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2.8497801958691196E-3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5.1813397708314604E-3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2.9143792758305103E-3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5.9295377921740298E-3</v>
      </c>
      <c r="N2232" s="1"/>
    </row>
    <row r="2233" spans="2:14" x14ac:dyDescent="0.35">
      <c r="B2233" s="5" t="str">
        <f>SPS3_NUC_Low!B1822</f>
        <v>SPS1</v>
      </c>
      <c r="C2233" s="5" t="str">
        <f>SPS3_NUC_Low!C1822</f>
        <v>CH</v>
      </c>
      <c r="D2233" s="2" t="s">
        <v>2367</v>
      </c>
      <c r="E2233" s="2" t="s">
        <v>1858</v>
      </c>
      <c r="F2233" s="3">
        <f t="shared" ref="F2233:K2233" si="2129">SUM(F2234,F2253)</f>
        <v>6.6173166700559218E-5</v>
      </c>
      <c r="G2233" s="3">
        <f t="shared" si="2129"/>
        <v>0.72234441961498708</v>
      </c>
      <c r="H2233" s="3">
        <f t="shared" si="2129"/>
        <v>1.6519529817664553</v>
      </c>
      <c r="I2233" s="3">
        <f t="shared" si="2129"/>
        <v>1.7053540349994498</v>
      </c>
      <c r="J2233" s="3">
        <f t="shared" si="2129"/>
        <v>2.7999446864376347</v>
      </c>
      <c r="K2233" s="3">
        <f t="shared" si="2129"/>
        <v>3.9095891317945393</v>
      </c>
      <c r="L2233" s="3">
        <f t="shared" ref="L2233" si="2130">SUM(L2234,L2253)</f>
        <v>3.3986682067136487</v>
      </c>
      <c r="N2233" s="1"/>
    </row>
    <row r="2234" spans="2:14" x14ac:dyDescent="0.35">
      <c r="B2234" s="5" t="str">
        <f>SPS3_NUC_Low!B1822</f>
        <v>SPS1</v>
      </c>
      <c r="C2234" s="5" t="str">
        <f>SPS3_NUC_Low!C1822</f>
        <v>CH</v>
      </c>
      <c r="D2234" t="s">
        <v>2368</v>
      </c>
      <c r="E2234" t="str">
        <f>E2233</f>
        <v>GWth/yr.</v>
      </c>
      <c r="F2234" s="1">
        <f t="shared" ref="F2234:K2234" si="2131">SUM(F2235,F2238,F2240,F2243,F2245,F2247,F2249,F2251)</f>
        <v>4.3708693814688274E-5</v>
      </c>
      <c r="G2234" s="1">
        <f t="shared" si="2131"/>
        <v>0.56415737816151801</v>
      </c>
      <c r="H2234" s="1">
        <f t="shared" si="2131"/>
        <v>1.4546536047867697</v>
      </c>
      <c r="I2234" s="1">
        <f t="shared" si="2131"/>
        <v>1.3281709317634558</v>
      </c>
      <c r="J2234" s="1">
        <f t="shared" si="2131"/>
        <v>2.0056970829716922</v>
      </c>
      <c r="K2234" s="1">
        <f t="shared" si="2131"/>
        <v>3.0013086517382792</v>
      </c>
      <c r="L2234" s="1">
        <f t="shared" ref="L2234" si="2132">SUM(L2235,L2238,L2240,L2243,L2245,L2247,L2249,L2251)</f>
        <v>2.2695000729118373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3">SUM(F2236:F2237)</f>
        <v>3.052259025840196E-6</v>
      </c>
      <c r="G2235" s="1">
        <f t="shared" si="2133"/>
        <v>0.27135435386403151</v>
      </c>
      <c r="H2235" s="1">
        <f t="shared" si="2133"/>
        <v>0.99853685846934037</v>
      </c>
      <c r="I2235" s="1">
        <f t="shared" si="2133"/>
        <v>1.1648709816860394</v>
      </c>
      <c r="J2235" s="1">
        <f t="shared" si="2133"/>
        <v>1.6115495477711117</v>
      </c>
      <c r="K2235" s="1">
        <f t="shared" si="2133"/>
        <v>2.1885618259814024</v>
      </c>
      <c r="L2235" s="1">
        <f t="shared" ref="L2235" si="2134">SUM(L2236:L2237)</f>
        <v>2.0491036804443055</v>
      </c>
      <c r="N2235" s="1"/>
    </row>
    <row r="2236" spans="2:14" x14ac:dyDescent="0.35">
      <c r="B2236" s="5" t="str">
        <f t="shared" ref="B2236:B2267" si="2135">B2235</f>
        <v>SPS1</v>
      </c>
      <c r="C2236" s="5" t="str">
        <f t="shared" ref="C2236:C2267" si="2136">C2235</f>
        <v>CH</v>
      </c>
      <c r="D2236" t="s">
        <v>2370</v>
      </c>
      <c r="E2236" t="str">
        <f t="shared" ref="E2236:E2267" si="2137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1.807635242025188E-6</v>
      </c>
      <c r="G2236" s="1" cm="1">
        <f t="array" ref="G2236">SUMPRODUCT(([1]OUT_FinalEnergyCons!$B$4:$B$10000="var_ncap")*1,(ISNUMBER(SEARCH("RH*-SHELCBR",[1]OUT_FinalEnergyCons!$A$4:$A$10000)))*1,[1]OUT_FinalEnergyCons!E$4:E$10000)</f>
        <v>4.6816503417221718E-2</v>
      </c>
      <c r="H2236" s="1" cm="1">
        <f t="array" ref="H2236">SUMPRODUCT(([1]OUT_FinalEnergyCons!$B$4:$B$10000="var_ncap")*1,(ISNUMBER(SEARCH("RH*-SHELCBR",[1]OUT_FinalEnergyCons!$A$4:$A$10000)))*1,[1]OUT_FinalEnergyCons!F$4:F$10000)</f>
        <v>9.2786604858979891E-7</v>
      </c>
      <c r="I2236" s="1" cm="1">
        <f t="array" ref="I2236">SUMPRODUCT(([1]OUT_FinalEnergyCons!$B$4:$B$10000="var_ncap")*1,(ISNUMBER(SEARCH("RH*-SHELCBR",[1]OUT_FinalEnergyCons!$A$4:$A$10000)))*1,[1]OUT_FinalEnergyCons!G$4:G$10000)</f>
        <v>1.7289316346951772E-6</v>
      </c>
      <c r="J2236" s="1" cm="1">
        <f t="array" ref="J2236">SUMPRODUCT(([2]OUT_FinalEnergyCons!$B$4:$B$10000="var_ncap")*1,(ISNUMBER(SEARCH("RH*-SHELCBR",[2]OUT_FinalEnergyCons!$A$4:$A$10000)))*1,[2]OUT_FinalEnergyCons!H$4:H$10000)</f>
        <v>4.2929654333288911E-3</v>
      </c>
      <c r="K2236" s="1" cm="1">
        <f t="array" ref="K2236">SUMPRODUCT(([2]OUT_FinalEnergyCons!$B$4:$B$10000="var_ncap")*1,(ISNUMBER(SEARCH("RH*-SHELCBR",[2]OUT_FinalEnergyCons!$A$4:$A$10000)))*1,[2]OUT_FinalEnergyCons!I$4:I$10000)</f>
        <v>4.0508150432841199E-4</v>
      </c>
      <c r="L2236" s="1" cm="1">
        <f t="array" ref="L2236">SUMPRODUCT(([2]OUT_FinalEnergyCons!$B$4:$B$10000="var_ncap")*1,(ISNUMBER(SEARCH("RH*-SHELCBR",[2]OUT_FinalEnergyCons!$A$4:$A$10000)))*1,[2]OUT_FinalEnergyCons!J$4:J$10000)</f>
        <v>3.653273072353651E-6</v>
      </c>
      <c r="N2236" s="1"/>
    </row>
    <row r="2237" spans="2:14" x14ac:dyDescent="0.35">
      <c r="B2237" s="5" t="str">
        <f t="shared" si="2135"/>
        <v>SPS1</v>
      </c>
      <c r="C2237" s="5" t="str">
        <f t="shared" si="2136"/>
        <v>CH</v>
      </c>
      <c r="D2237" t="s">
        <v>2371</v>
      </c>
      <c r="E2237" t="str">
        <f t="shared" si="2137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1.244623783815008E-6</v>
      </c>
      <c r="G2237" s="1" cm="1">
        <f t="array" ref="G2237">SUMPRODUCT(([1]OUT_FinalEnergyCons!$B$4:$B$10000="var_ncap")*1,ISNUMBER(SEARCH("RH*-SHELCHP",[1]OUT_FinalEnergyCons!$A$4:$A$10000))*1,[1]OUT_FinalEnergyCons!E$4:E$10000)</f>
        <v>0.22453785044680979</v>
      </c>
      <c r="H2237" s="1" cm="1">
        <f t="array" ref="H2237">SUMPRODUCT(([1]OUT_FinalEnergyCons!$B$4:$B$10000="var_ncap")*1,ISNUMBER(SEARCH("RH*-SHELCHP",[1]OUT_FinalEnergyCons!$A$4:$A$10000))*1,[1]OUT_FinalEnergyCons!F$4:F$10000)</f>
        <v>0.99853593060329182</v>
      </c>
      <c r="I2237" s="1" cm="1">
        <f t="array" ref="I2237">SUMPRODUCT(([1]OUT_FinalEnergyCons!$B$4:$B$10000="var_ncap")*1,ISNUMBER(SEARCH("RH*-SHELCHP",[1]OUT_FinalEnergyCons!$A$4:$A$10000))*1,[1]OUT_FinalEnergyCons!G$4:G$10000)</f>
        <v>1.1648692527544047</v>
      </c>
      <c r="J2237" s="1" cm="1">
        <f t="array" ref="J2237">SUMPRODUCT(([2]OUT_FinalEnergyCons!$B$4:$B$10000="var_ncap")*1,ISNUMBER(SEARCH("RH*-SHELCHP",[2]OUT_FinalEnergyCons!$A$4:$A$10000))*1,[2]OUT_FinalEnergyCons!H$4:H$10000)</f>
        <v>1.6072565823377829</v>
      </c>
      <c r="K2237" s="1" cm="1">
        <f t="array" ref="K2237">SUMPRODUCT(([2]OUT_FinalEnergyCons!$B$4:$B$10000="var_ncap")*1,ISNUMBER(SEARCH("RH*-SHELCHP",[2]OUT_FinalEnergyCons!$A$4:$A$10000))*1,[2]OUT_FinalEnergyCons!I$4:I$10000)</f>
        <v>2.188156744477074</v>
      </c>
      <c r="L2237" s="1" cm="1">
        <f t="array" ref="L2237">SUMPRODUCT(([2]OUT_FinalEnergyCons!$B$4:$B$10000="var_ncap")*1,ISNUMBER(SEARCH("RH*-SHELCHP",[2]OUT_FinalEnergyCons!$A$4:$A$10000))*1,[2]OUT_FinalEnergyCons!J$4:J$10000)</f>
        <v>2.049100027171233</v>
      </c>
      <c r="N2237" s="1"/>
    </row>
    <row r="2238" spans="2:14" x14ac:dyDescent="0.35">
      <c r="B2238" s="5" t="str">
        <f t="shared" si="2135"/>
        <v>SPS1</v>
      </c>
      <c r="C2238" s="5" t="str">
        <f t="shared" si="2136"/>
        <v>CH</v>
      </c>
      <c r="D2238" t="s">
        <v>2372</v>
      </c>
      <c r="E2238" t="str">
        <f t="shared" si="2137"/>
        <v>GWth/yr.</v>
      </c>
      <c r="F2238" s="1">
        <f t="shared" ref="F2238:L2238" si="2138">F2239</f>
        <v>0</v>
      </c>
      <c r="G2238" s="1">
        <f t="shared" si="2138"/>
        <v>7.9887420814087558E-5</v>
      </c>
      <c r="H2238" s="1">
        <f t="shared" si="2138"/>
        <v>3.8447676658650759E-2</v>
      </c>
      <c r="I2238" s="1">
        <f t="shared" si="2138"/>
        <v>1.0515923657831531E-6</v>
      </c>
      <c r="J2238" s="1">
        <f t="shared" si="2138"/>
        <v>2.7509176719043113E-2</v>
      </c>
      <c r="K2238" s="1">
        <f t="shared" si="2138"/>
        <v>0.1521152694715803</v>
      </c>
      <c r="L2238" s="1">
        <f t="shared" si="2138"/>
        <v>3.51465530534859E-7</v>
      </c>
      <c r="N2238" s="1"/>
    </row>
    <row r="2239" spans="2:14" x14ac:dyDescent="0.35">
      <c r="B2239" s="5" t="str">
        <f t="shared" si="2135"/>
        <v>SPS1</v>
      </c>
      <c r="C2239" s="5" t="str">
        <f t="shared" si="2136"/>
        <v>CH</v>
      </c>
      <c r="D2239" t="s">
        <v>2373</v>
      </c>
      <c r="E2239" t="str">
        <f t="shared" si="2137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7.9887420814087558E-5</v>
      </c>
      <c r="H2239" s="1" cm="1">
        <f t="array" ref="H2239">SUMPRODUCT(([1]OUT_FinalEnergyCons!$B$4:$B$10000="var_ncap")*1, (ISNUMBER(SEARCH("RH*-SHLFOBR",[1]OUT_FinalEnergyCons!$A$4:$A$10000)))*1,[1]OUT_FinalEnergyCons!F$4:F$10000)</f>
        <v>3.8447676658650759E-2</v>
      </c>
      <c r="I2239" s="1" cm="1">
        <f t="array" ref="I2239">SUMPRODUCT(([1]OUT_FinalEnergyCons!$B$4:$B$10000="var_ncap")*1, (ISNUMBER(SEARCH("RH*-SHLFOBR",[1]OUT_FinalEnergyCons!$A$4:$A$10000)))*1,[1]OUT_FinalEnergyCons!G$4:G$10000)</f>
        <v>1.0515923657831531E-6</v>
      </c>
      <c r="J2239" s="1" cm="1">
        <f t="array" ref="J2239">SUMPRODUCT(([2]OUT_FinalEnergyCons!$B$4:$B$10000="var_ncap")*1, (ISNUMBER(SEARCH("RH*-SHLFOBR",[2]OUT_FinalEnergyCons!$A$4:$A$10000)))*1,[2]OUT_FinalEnergyCons!H$4:H$10000)</f>
        <v>2.7509176719043113E-2</v>
      </c>
      <c r="K2239" s="1" cm="1">
        <f t="array" ref="K2239">SUMPRODUCT(([2]OUT_FinalEnergyCons!$B$4:$B$10000="var_ncap")*1, (ISNUMBER(SEARCH("RH*-SHLFOBR",[2]OUT_FinalEnergyCons!$A$4:$A$10000)))*1,[2]OUT_FinalEnergyCons!I$4:I$10000)</f>
        <v>0.1521152694715803</v>
      </c>
      <c r="L2239" s="1" cm="1">
        <f t="array" ref="L2239">SUMPRODUCT(([2]OUT_FinalEnergyCons!$B$4:$B$10000="var_ncap")*1, (ISNUMBER(SEARCH("RH*-SHLFOBR",[2]OUT_FinalEnergyCons!$A$4:$A$10000)))*1,[2]OUT_FinalEnergyCons!J$4:J$10000)</f>
        <v>3.51465530534859E-7</v>
      </c>
      <c r="N2239" s="1"/>
    </row>
    <row r="2240" spans="2:14" x14ac:dyDescent="0.35">
      <c r="B2240" s="5" t="str">
        <f t="shared" si="2135"/>
        <v>SPS1</v>
      </c>
      <c r="C2240" s="5" t="str">
        <f t="shared" si="2136"/>
        <v>CH</v>
      </c>
      <c r="D2240" t="s">
        <v>2374</v>
      </c>
      <c r="E2240" t="str">
        <f t="shared" si="2137"/>
        <v>GWth/yr.</v>
      </c>
      <c r="F2240" s="1">
        <f t="shared" ref="F2240:K2240" si="2139">SUM(F2241:F2242)</f>
        <v>2.5228321053852198E-7</v>
      </c>
      <c r="G2240" s="1">
        <f t="shared" si="2139"/>
        <v>0.1735394234343518</v>
      </c>
      <c r="H2240" s="1">
        <f t="shared" si="2139"/>
        <v>0.41764392889221907</v>
      </c>
      <c r="I2240" s="1">
        <f t="shared" si="2139"/>
        <v>0.16324370646659467</v>
      </c>
      <c r="J2240" s="1">
        <f t="shared" si="2139"/>
        <v>0.13304295108321476</v>
      </c>
      <c r="K2240" s="1">
        <f t="shared" si="2139"/>
        <v>0.5787943278661839</v>
      </c>
      <c r="L2240" s="1">
        <f t="shared" ref="L2240" si="2140">SUM(L2241:L2242)</f>
        <v>0.2187850641932465</v>
      </c>
      <c r="N2240" s="1"/>
    </row>
    <row r="2241" spans="2:14" x14ac:dyDescent="0.35">
      <c r="B2241" s="5" t="str">
        <f t="shared" si="2135"/>
        <v>SPS1</v>
      </c>
      <c r="C2241" s="5" t="str">
        <f t="shared" si="2136"/>
        <v>CH</v>
      </c>
      <c r="D2241" t="s">
        <v>2375</v>
      </c>
      <c r="E2241" t="str">
        <f t="shared" si="2137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0.17353391972907575</v>
      </c>
      <c r="H2241" s="1" cm="1">
        <f t="array" ref="H2241">SUMPRODUCT(([1]OUT_FinalEnergyCons!$B$4:$B$10000="var_ncap")*1, (ISNUMBER(SEARCH("RH*-SHNGABR",[1]OUT_FinalEnergyCons!$A$4:$A$10000)))*1,[1]OUT_FinalEnergyCons!F$4:F$10000)</f>
        <v>0.1025438916508828</v>
      </c>
      <c r="I2241" s="1" cm="1">
        <f t="array" ref="I2241">SUMPRODUCT(([1]OUT_FinalEnergyCons!$B$4:$B$10000="var_ncap")*1, (ISNUMBER(SEARCH("RH*-SHNGABR",[1]OUT_FinalEnergyCons!$A$4:$A$10000)))*1,[1]OUT_FinalEnergyCons!G$4:G$10000)</f>
        <v>3.7907978236111703E-6</v>
      </c>
      <c r="J2241" s="1" cm="1">
        <f t="array" ref="J2241">SUMPRODUCT(([2]OUT_FinalEnergyCons!$B$4:$B$10000="var_ncap")*1, (ISNUMBER(SEARCH("RH*-SHNGABR",[2]OUT_FinalEnergyCons!$A$4:$A$10000)))*1,[2]OUT_FinalEnergyCons!H$4:H$10000)</f>
        <v>5.2211324967743389E-2</v>
      </c>
      <c r="K2241" s="1" cm="1">
        <f t="array" ref="K2241">SUMPRODUCT(([2]OUT_FinalEnergyCons!$B$4:$B$10000="var_ncap")*1, (ISNUMBER(SEARCH("RH*-SHNGABR",[2]OUT_FinalEnergyCons!$A$4:$A$10000)))*1,[2]OUT_FinalEnergyCons!I$4:I$10000)</f>
        <v>0.21565651508763314</v>
      </c>
      <c r="L2241" s="1" cm="1">
        <f t="array" ref="L2241">SUMPRODUCT(([2]OUT_FinalEnergyCons!$B$4:$B$10000="var_ncap")*1, (ISNUMBER(SEARCH("RH*-SHNGABR",[2]OUT_FinalEnergyCons!$A$4:$A$10000)))*1,[2]OUT_FinalEnergyCons!J$4:J$10000)</f>
        <v>3.2312752094085952E-6</v>
      </c>
      <c r="N2241" s="1"/>
    </row>
    <row r="2242" spans="2:14" x14ac:dyDescent="0.35">
      <c r="B2242" s="5" t="str">
        <f t="shared" si="2135"/>
        <v>SPS1</v>
      </c>
      <c r="C2242" s="5" t="str">
        <f t="shared" si="2136"/>
        <v>CH</v>
      </c>
      <c r="D2242" t="s">
        <v>2376</v>
      </c>
      <c r="E2242" t="str">
        <f t="shared" si="2137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2.5228321053852198E-7</v>
      </c>
      <c r="G2242" s="1" cm="1">
        <f t="array" ref="G2242">SUMPRODUCT(([1]OUT_FinalEnergyCons!$B$4:$B$10000="var_ncap")*1,ISNUMBER(SEARCH("RH*-SHngahp",[1]OUT_FinalEnergyCons!$A$4:$A$10000))*1,[1]OUT_FinalEnergyCons!E$4:E$10000)</f>
        <v>5.5037052760475037E-6</v>
      </c>
      <c r="H2242" s="1" cm="1">
        <f t="array" ref="H2242">SUMPRODUCT(([1]OUT_FinalEnergyCons!$B$4:$B$10000="var_ncap")*1,ISNUMBER(SEARCH("RH*-SHngahp",[1]OUT_FinalEnergyCons!$A$4:$A$10000))*1,[1]OUT_FinalEnergyCons!F$4:F$10000)</f>
        <v>0.31510003724133628</v>
      </c>
      <c r="I2242" s="1" cm="1">
        <f t="array" ref="I2242">SUMPRODUCT(([1]OUT_FinalEnergyCons!$B$4:$B$10000="var_ncap")*1,ISNUMBER(SEARCH("RH*-SHngahp",[1]OUT_FinalEnergyCons!$A$4:$A$10000))*1,[1]OUT_FinalEnergyCons!G$4:G$10000)</f>
        <v>0.16323991566877105</v>
      </c>
      <c r="J2242" s="1" cm="1">
        <f t="array" ref="J2242">SUMPRODUCT(([2]OUT_FinalEnergyCons!$B$4:$B$10000="var_ncap")*1,ISNUMBER(SEARCH("RH*-SHngahp",[2]OUT_FinalEnergyCons!$A$4:$A$10000))*1,[2]OUT_FinalEnergyCons!H$4:H$10000)</f>
        <v>8.0831626115471372E-2</v>
      </c>
      <c r="K2242" s="1" cm="1">
        <f t="array" ref="K2242">SUMPRODUCT(([2]OUT_FinalEnergyCons!$B$4:$B$10000="var_ncap")*1,ISNUMBER(SEARCH("RH*-SHngahp",[2]OUT_FinalEnergyCons!$A$4:$A$10000))*1,[2]OUT_FinalEnergyCons!I$4:I$10000)</f>
        <v>0.36313781277855073</v>
      </c>
      <c r="L2242" s="1" cm="1">
        <f t="array" ref="L2242">SUMPRODUCT(([2]OUT_FinalEnergyCons!$B$4:$B$10000="var_ncap")*1,ISNUMBER(SEARCH("RH*-SHngahp",[2]OUT_FinalEnergyCons!$A$4:$A$10000))*1,[2]OUT_FinalEnergyCons!J$4:J$10000)</f>
        <v>0.2187818329180371</v>
      </c>
      <c r="N2242" s="1"/>
    </row>
    <row r="2243" spans="2:14" x14ac:dyDescent="0.35">
      <c r="B2243" s="5" t="str">
        <f t="shared" si="2135"/>
        <v>SPS1</v>
      </c>
      <c r="C2243" s="5" t="str">
        <f t="shared" si="2136"/>
        <v>CH</v>
      </c>
      <c r="D2243" t="s">
        <v>2377</v>
      </c>
      <c r="E2243" t="str">
        <f t="shared" si="2137"/>
        <v>GWth/yr.</v>
      </c>
      <c r="F2243" s="1">
        <f t="shared" ref="F2243:L2243" si="2141">F2244</f>
        <v>0</v>
      </c>
      <c r="G2243" s="1">
        <f t="shared" si="2141"/>
        <v>0</v>
      </c>
      <c r="H2243" s="1">
        <f t="shared" si="2141"/>
        <v>0</v>
      </c>
      <c r="I2243" s="1">
        <f t="shared" si="2141"/>
        <v>0</v>
      </c>
      <c r="J2243" s="1">
        <f t="shared" si="2141"/>
        <v>0</v>
      </c>
      <c r="K2243" s="1">
        <f t="shared" si="2141"/>
        <v>0</v>
      </c>
      <c r="L2243" s="1">
        <f t="shared" si="2141"/>
        <v>0</v>
      </c>
      <c r="N2243" s="1"/>
    </row>
    <row r="2244" spans="2:14" x14ac:dyDescent="0.35">
      <c r="B2244" s="5" t="str">
        <f t="shared" si="2135"/>
        <v>SPS1</v>
      </c>
      <c r="C2244" s="5" t="str">
        <f t="shared" si="2136"/>
        <v>CH</v>
      </c>
      <c r="D2244" t="s">
        <v>2378</v>
      </c>
      <c r="E2244" t="str">
        <f t="shared" si="2137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5"/>
        <v>SPS1</v>
      </c>
      <c r="C2245" s="5" t="str">
        <f t="shared" si="2136"/>
        <v>CH</v>
      </c>
      <c r="D2245" t="s">
        <v>2379</v>
      </c>
      <c r="E2245" t="str">
        <f t="shared" si="2137"/>
        <v>GWth/yr.</v>
      </c>
      <c r="F2245" s="1">
        <f t="shared" ref="F2245:L2245" si="2142">F2246</f>
        <v>1.4094596715811501E-6</v>
      </c>
      <c r="G2245" s="1">
        <f t="shared" si="2142"/>
        <v>6.0431678725202539E-2</v>
      </c>
      <c r="H2245" s="1">
        <f t="shared" si="2142"/>
        <v>5.5158260241497979E-6</v>
      </c>
      <c r="I2245" s="1">
        <f t="shared" si="2142"/>
        <v>2.0885883454746609E-6</v>
      </c>
      <c r="J2245" s="1">
        <f t="shared" si="2142"/>
        <v>0.23306134556439417</v>
      </c>
      <c r="K2245" s="1">
        <f t="shared" si="2142"/>
        <v>6.8897674688137803E-2</v>
      </c>
      <c r="L2245" s="1">
        <f t="shared" si="2142"/>
        <v>3.5057638812115301E-7</v>
      </c>
      <c r="N2245" s="1"/>
    </row>
    <row r="2246" spans="2:14" x14ac:dyDescent="0.35">
      <c r="B2246" s="5" t="str">
        <f t="shared" si="2135"/>
        <v>SPS1</v>
      </c>
      <c r="C2246" s="5" t="str">
        <f t="shared" si="2136"/>
        <v>CH</v>
      </c>
      <c r="D2246" t="s">
        <v>2380</v>
      </c>
      <c r="E2246" t="str">
        <f t="shared" si="2137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1.4094596715811501E-6</v>
      </c>
      <c r="G2246" s="1" cm="1">
        <f t="array" ref="G2246">SUMPRODUCT(([1]OUT_FinalEnergyCons!$B$4:$B$10000="var_ncap")*1, (ISNUMBER(SEARCH("RH*-SHWODBR",[1]OUT_FinalEnergyCons!$A$4:$A$10000)))*1,[1]OUT_FinalEnergyCons!E$4:E$10000)</f>
        <v>6.0431678725202539E-2</v>
      </c>
      <c r="H2246" s="1" cm="1">
        <f t="array" ref="H2246">SUMPRODUCT(([1]OUT_FinalEnergyCons!$B$4:$B$10000="var_ncap")*1, (ISNUMBER(SEARCH("RH*-SHWODBR",[1]OUT_FinalEnergyCons!$A$4:$A$10000)))*1,[1]OUT_FinalEnergyCons!F$4:F$10000)</f>
        <v>5.5158260241497979E-6</v>
      </c>
      <c r="I2246" s="1" cm="1">
        <f t="array" ref="I2246">SUMPRODUCT(([1]OUT_FinalEnergyCons!$B$4:$B$10000="var_ncap")*1, (ISNUMBER(SEARCH("RH*-SHWODBR",[1]OUT_FinalEnergyCons!$A$4:$A$10000)))*1,[1]OUT_FinalEnergyCons!G$4:G$10000)</f>
        <v>2.0885883454746609E-6</v>
      </c>
      <c r="J2246" s="1" cm="1">
        <f t="array" ref="J2246">SUMPRODUCT(([2]OUT_FinalEnergyCons!$B$4:$B$10000="var_ncap")*1, (ISNUMBER(SEARCH("RH*-SHWODBR",[2]OUT_FinalEnergyCons!$A$4:$A$10000)))*1,[2]OUT_FinalEnergyCons!H$4:H$10000)</f>
        <v>0.23306134556439417</v>
      </c>
      <c r="K2246" s="1" cm="1">
        <f t="array" ref="K2246">SUMPRODUCT(([2]OUT_FinalEnergyCons!$B$4:$B$10000="var_ncap")*1, (ISNUMBER(SEARCH("RH*-SHWODBR",[2]OUT_FinalEnergyCons!$A$4:$A$10000)))*1,[2]OUT_FinalEnergyCons!I$4:I$10000)</f>
        <v>6.8897674688137803E-2</v>
      </c>
      <c r="L2246" s="1" cm="1">
        <f t="array" ref="L2246">SUMPRODUCT(([2]OUT_FinalEnergyCons!$B$4:$B$10000="var_ncap")*1, (ISNUMBER(SEARCH("RH*-SHWODBR",[2]OUT_FinalEnergyCons!$A$4:$A$10000)))*1,[2]OUT_FinalEnergyCons!J$4:J$10000)</f>
        <v>3.5057638812115301E-7</v>
      </c>
      <c r="N2246" s="1"/>
    </row>
    <row r="2247" spans="2:14" x14ac:dyDescent="0.35">
      <c r="B2247" s="5" t="str">
        <f t="shared" si="2135"/>
        <v>SPS1</v>
      </c>
      <c r="C2247" s="5" t="str">
        <f t="shared" si="2136"/>
        <v>CH</v>
      </c>
      <c r="D2247" t="s">
        <v>2381</v>
      </c>
      <c r="E2247" t="str">
        <f t="shared" si="2137"/>
        <v>GWth/yr.</v>
      </c>
      <c r="F2247" s="1">
        <f t="shared" ref="F2247:L2247" si="2143">F2248</f>
        <v>1.0087048691343301E-5</v>
      </c>
      <c r="G2247" s="1">
        <f t="shared" si="2143"/>
        <v>3.5944896646139847E-2</v>
      </c>
      <c r="H2247" s="1">
        <f t="shared" si="2143"/>
        <v>9.0610371762758104E-7</v>
      </c>
      <c r="I2247" s="1">
        <f t="shared" si="2143"/>
        <v>2.0370624545508839E-6</v>
      </c>
      <c r="J2247" s="1">
        <f t="shared" si="2143"/>
        <v>3.0605549781396449E-4</v>
      </c>
      <c r="K2247" s="1">
        <f t="shared" si="2143"/>
        <v>5.4803514294665505E-3</v>
      </c>
      <c r="L2247" s="1">
        <f t="shared" si="2143"/>
        <v>4.673485728382576E-7</v>
      </c>
      <c r="N2247" s="1"/>
    </row>
    <row r="2248" spans="2:14" x14ac:dyDescent="0.35">
      <c r="B2248" s="5" t="str">
        <f t="shared" si="2135"/>
        <v>SPS1</v>
      </c>
      <c r="C2248" s="5" t="str">
        <f t="shared" si="2136"/>
        <v>CH</v>
      </c>
      <c r="D2248" t="s">
        <v>2382</v>
      </c>
      <c r="E2248" t="str">
        <f t="shared" si="2137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1.0087048691343301E-5</v>
      </c>
      <c r="G2248" s="1" cm="1">
        <f t="array" ref="G2248">SUMPRODUCT(([1]OUT_FinalEnergyCons!$B$4:$B$10000="var_ncap")*1, (ISNUMBER(SEARCH("RH*-SHPLTBR",[1]OUT_FinalEnergyCons!$A$4:$A$10000)))*1,[1]OUT_FinalEnergyCons!E$4:E$10000)</f>
        <v>3.5944896646139847E-2</v>
      </c>
      <c r="H2248" s="1" cm="1">
        <f t="array" ref="H2248">SUMPRODUCT(([1]OUT_FinalEnergyCons!$B$4:$B$10000="var_ncap")*1, (ISNUMBER(SEARCH("RH*-SHPLTBR",[1]OUT_FinalEnergyCons!$A$4:$A$10000)))*1,[1]OUT_FinalEnergyCons!F$4:F$10000)</f>
        <v>9.0610371762758104E-7</v>
      </c>
      <c r="I2248" s="1" cm="1">
        <f t="array" ref="I2248">SUMPRODUCT(([1]OUT_FinalEnergyCons!$B$4:$B$10000="var_ncap")*1, (ISNUMBER(SEARCH("RH*-SHPLTBR",[1]OUT_FinalEnergyCons!$A$4:$A$10000)))*1,[1]OUT_FinalEnergyCons!G$4:G$10000)</f>
        <v>2.0370624545508839E-6</v>
      </c>
      <c r="J2248" s="1" cm="1">
        <f t="array" ref="J2248">SUMPRODUCT(([2]OUT_FinalEnergyCons!$B$4:$B$10000="var_ncap")*1, (ISNUMBER(SEARCH("RH*-SHPLTBR",[2]OUT_FinalEnergyCons!$A$4:$A$10000)))*1,[2]OUT_FinalEnergyCons!H$4:H$10000)</f>
        <v>3.0605549781396449E-4</v>
      </c>
      <c r="K2248" s="1" cm="1">
        <f t="array" ref="K2248">SUMPRODUCT(([2]OUT_FinalEnergyCons!$B$4:$B$10000="var_ncap")*1, (ISNUMBER(SEARCH("RH*-SHPLTBR",[2]OUT_FinalEnergyCons!$A$4:$A$10000)))*1,[2]OUT_FinalEnergyCons!I$4:I$10000)</f>
        <v>5.4803514294665505E-3</v>
      </c>
      <c r="L2248" s="1" cm="1">
        <f t="array" ref="L2248">SUMPRODUCT(([2]OUT_FinalEnergyCons!$B$4:$B$10000="var_ncap")*1, (ISNUMBER(SEARCH("RH*-SHPLTBR",[2]OUT_FinalEnergyCons!$A$4:$A$10000)))*1,[2]OUT_FinalEnergyCons!J$4:J$10000)</f>
        <v>4.673485728382576E-7</v>
      </c>
      <c r="N2248" s="1"/>
    </row>
    <row r="2249" spans="2:14" x14ac:dyDescent="0.35">
      <c r="B2249" s="5" t="str">
        <f t="shared" si="2135"/>
        <v>SPS1</v>
      </c>
      <c r="C2249" s="5" t="str">
        <f t="shared" si="2136"/>
        <v>CH</v>
      </c>
      <c r="D2249" t="s">
        <v>2383</v>
      </c>
      <c r="E2249" t="str">
        <f t="shared" si="2137"/>
        <v>GWth/yr.</v>
      </c>
      <c r="F2249" s="1">
        <f t="shared" ref="F2249:L2249" si="2144">F2250</f>
        <v>2.8907643215385102E-5</v>
      </c>
      <c r="G2249" s="1">
        <f t="shared" si="2144"/>
        <v>2.2807138070978179E-2</v>
      </c>
      <c r="H2249" s="1">
        <f t="shared" si="2144"/>
        <v>1.8718836817694307E-5</v>
      </c>
      <c r="I2249" s="1">
        <f t="shared" si="2144"/>
        <v>5.1066367655980477E-5</v>
      </c>
      <c r="J2249" s="1">
        <f t="shared" si="2144"/>
        <v>2.2800633611406225E-4</v>
      </c>
      <c r="K2249" s="1">
        <f t="shared" si="2144"/>
        <v>7.4592023015081638E-3</v>
      </c>
      <c r="L2249" s="1">
        <f t="shared" si="2144"/>
        <v>1.6101588837944215E-3</v>
      </c>
      <c r="N2249" s="1"/>
    </row>
    <row r="2250" spans="2:14" x14ac:dyDescent="0.35">
      <c r="B2250" s="5" t="str">
        <f t="shared" si="2135"/>
        <v>SPS1</v>
      </c>
      <c r="C2250" s="5" t="str">
        <f t="shared" si="2136"/>
        <v>CH</v>
      </c>
      <c r="D2250" t="s">
        <v>2384</v>
      </c>
      <c r="E2250" t="str">
        <f t="shared" si="2137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2.8907643215385102E-5</v>
      </c>
      <c r="G2250" s="1" cm="1">
        <f t="array" ref="G2250">SUMPRODUCT(([1]OUT_FinalEnergyCons!$B$4:$B$10000="var_ncap")*1, (ISNUMBER(SEARCH("RH*-SHSOLBR",[1]OUT_FinalEnergyCons!$A$4:$A$10000)))*1,[1]OUT_FinalEnergyCons!E$4:E$10000)</f>
        <v>2.2807138070978179E-2</v>
      </c>
      <c r="H2250" s="1" cm="1">
        <f t="array" ref="H2250">SUMPRODUCT(([1]OUT_FinalEnergyCons!$B$4:$B$10000="var_ncap")*1, (ISNUMBER(SEARCH("RH*-SHSOLBR",[1]OUT_FinalEnergyCons!$A$4:$A$10000)))*1,[1]OUT_FinalEnergyCons!F$4:F$10000)</f>
        <v>1.8718836817694307E-5</v>
      </c>
      <c r="I2250" s="1" cm="1">
        <f t="array" ref="I2250">SUMPRODUCT(([1]OUT_FinalEnergyCons!$B$4:$B$10000="var_ncap")*1, (ISNUMBER(SEARCH("RH*-SHSOLBR",[1]OUT_FinalEnergyCons!$A$4:$A$10000)))*1,[1]OUT_FinalEnergyCons!G$4:G$10000)</f>
        <v>5.1066367655980477E-5</v>
      </c>
      <c r="J2250" s="1" cm="1">
        <f t="array" ref="J2250">SUMPRODUCT(([2]OUT_FinalEnergyCons!$B$4:$B$10000="var_ncap")*1, (ISNUMBER(SEARCH("RH*-SHSOLBR",[2]OUT_FinalEnergyCons!$A$4:$A$10000)))*1,[2]OUT_FinalEnergyCons!H$4:H$10000)</f>
        <v>2.2800633611406225E-4</v>
      </c>
      <c r="K2250" s="1" cm="1">
        <f t="array" ref="K2250">SUMPRODUCT(([2]OUT_FinalEnergyCons!$B$4:$B$10000="var_ncap")*1, (ISNUMBER(SEARCH("RH*-SHSOLBR",[2]OUT_FinalEnergyCons!$A$4:$A$10000)))*1,[2]OUT_FinalEnergyCons!I$4:I$10000)</f>
        <v>7.4592023015081638E-3</v>
      </c>
      <c r="L2250" s="1" cm="1">
        <f t="array" ref="L2250">SUMPRODUCT(([2]OUT_FinalEnergyCons!$B$4:$B$10000="var_ncap")*1, (ISNUMBER(SEARCH("RH*-SHSOLBR",[2]OUT_FinalEnergyCons!$A$4:$A$10000)))*1,[2]OUT_FinalEnergyCons!J$4:J$10000)</f>
        <v>1.6101588837944215E-3</v>
      </c>
      <c r="N2250" s="1"/>
    </row>
    <row r="2251" spans="2:14" x14ac:dyDescent="0.35">
      <c r="B2251" s="5" t="str">
        <f t="shared" si="2135"/>
        <v>SPS1</v>
      </c>
      <c r="C2251" s="5" t="str">
        <f t="shared" si="2136"/>
        <v>CH</v>
      </c>
      <c r="D2251" t="s">
        <v>2385</v>
      </c>
      <c r="E2251" t="str">
        <f t="shared" si="2137"/>
        <v>GWth/yr.</v>
      </c>
      <c r="F2251" s="1">
        <f t="shared" ref="F2251:L2251" si="2145">F2252</f>
        <v>0</v>
      </c>
      <c r="G2251" s="1">
        <f t="shared" si="2145"/>
        <v>0</v>
      </c>
      <c r="H2251" s="1">
        <f t="shared" si="2145"/>
        <v>0</v>
      </c>
      <c r="I2251" s="1">
        <f t="shared" si="2145"/>
        <v>0</v>
      </c>
      <c r="J2251" s="1">
        <f t="shared" si="2145"/>
        <v>0</v>
      </c>
      <c r="K2251" s="1">
        <f t="shared" si="2145"/>
        <v>0</v>
      </c>
      <c r="L2251" s="1">
        <f t="shared" si="2145"/>
        <v>0</v>
      </c>
      <c r="N2251" s="1"/>
    </row>
    <row r="2252" spans="2:14" x14ac:dyDescent="0.35">
      <c r="B2252" s="5" t="str">
        <f t="shared" si="2135"/>
        <v>SPS1</v>
      </c>
      <c r="C2252" s="5" t="str">
        <f t="shared" si="2136"/>
        <v>CH</v>
      </c>
      <c r="D2252" t="s">
        <v>2386</v>
      </c>
      <c r="E2252" t="str">
        <f t="shared" si="2137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5"/>
        <v>SPS1</v>
      </c>
      <c r="C2253" s="5" t="str">
        <f t="shared" si="2136"/>
        <v>CH</v>
      </c>
      <c r="D2253" t="s">
        <v>2387</v>
      </c>
      <c r="E2253" t="str">
        <f t="shared" si="2137"/>
        <v>GWth/yr.</v>
      </c>
      <c r="F2253" s="1">
        <f t="shared" ref="F2253:K2253" si="2146">SUM(F2254,F2257,F2259,F2262,F2264,F2266,F2268,F2270)</f>
        <v>2.2464472885870951E-5</v>
      </c>
      <c r="G2253" s="1">
        <f t="shared" si="2146"/>
        <v>0.15818704145346901</v>
      </c>
      <c r="H2253" s="1">
        <f t="shared" si="2146"/>
        <v>0.19729937697968558</v>
      </c>
      <c r="I2253" s="1">
        <f t="shared" si="2146"/>
        <v>0.37718310323599408</v>
      </c>
      <c r="J2253" s="1">
        <f t="shared" si="2146"/>
        <v>0.79424760346594248</v>
      </c>
      <c r="K2253" s="1">
        <f t="shared" si="2146"/>
        <v>0.90828048005626016</v>
      </c>
      <c r="L2253" s="1">
        <f t="shared" ref="L2253" si="2147">SUM(L2254,L2257,L2259,L2262,L2264,L2266,L2268,L2270)</f>
        <v>1.1291681338018114</v>
      </c>
      <c r="N2253" s="1"/>
    </row>
    <row r="2254" spans="2:14" x14ac:dyDescent="0.35">
      <c r="B2254" s="5" t="str">
        <f t="shared" si="2135"/>
        <v>SPS1</v>
      </c>
      <c r="C2254" s="5" t="str">
        <f t="shared" si="2136"/>
        <v>CH</v>
      </c>
      <c r="D2254" t="s">
        <v>2388</v>
      </c>
      <c r="E2254" t="str">
        <f t="shared" si="2137"/>
        <v>GWth/yr.</v>
      </c>
      <c r="F2254" s="1">
        <f t="shared" ref="F2254:K2254" si="2148">SUM(F2255:F2256)</f>
        <v>2.2464472885870951E-5</v>
      </c>
      <c r="G2254" s="1">
        <f t="shared" si="2148"/>
        <v>6.6995754072629504E-2</v>
      </c>
      <c r="H2254" s="1">
        <f t="shared" si="2148"/>
        <v>0.10536716044540011</v>
      </c>
      <c r="I2254" s="1">
        <f t="shared" si="2148"/>
        <v>0.26313990236999479</v>
      </c>
      <c r="J2254" s="1">
        <f t="shared" si="2148"/>
        <v>0.38830426503130233</v>
      </c>
      <c r="K2254" s="1">
        <f t="shared" si="2148"/>
        <v>0.49674768076854381</v>
      </c>
      <c r="L2254" s="1">
        <f t="shared" ref="L2254" si="2149">SUM(L2255:L2256)</f>
        <v>0.64468690159013131</v>
      </c>
      <c r="N2254" s="1"/>
    </row>
    <row r="2255" spans="2:14" x14ac:dyDescent="0.35">
      <c r="B2255" s="5" t="str">
        <f t="shared" si="2135"/>
        <v>SPS1</v>
      </c>
      <c r="C2255" s="5" t="str">
        <f t="shared" si="2136"/>
        <v>CH</v>
      </c>
      <c r="D2255" t="s">
        <v>2389</v>
      </c>
      <c r="E2255" t="str">
        <f t="shared" si="2137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1.9689117330224299E-5</v>
      </c>
      <c r="G2255" s="1" cm="1">
        <f t="array" ref="G2255">SUMPRODUCT(([1]OUT_FinalEnergyCons!$B$4:$B$10000="var_ncap")*1,(ISNUMBER(SEARCH("RH*-WHELCBR",[1]OUT_FinalEnergyCons!$A$4:$A$10000)))*1,[1]OUT_FinalEnergyCons!E$4:E$10000)</f>
        <v>3.4218508082022502E-2</v>
      </c>
      <c r="H2255" s="1" cm="1">
        <f t="array" ref="H2255">SUMPRODUCT(([1]OUT_FinalEnergyCons!$B$4:$B$10000="var_ncap")*1,(ISNUMBER(SEARCH("RH*-WHELCBR",[1]OUT_FinalEnergyCons!$A$4:$A$10000)))*1,[1]OUT_FinalEnergyCons!F$4:F$10000)</f>
        <v>5.0705650210585398E-7</v>
      </c>
      <c r="I2255" s="1" cm="1">
        <f t="array" ref="I2255">SUMPRODUCT(([1]OUT_FinalEnergyCons!$B$4:$B$10000="var_ncap")*1,(ISNUMBER(SEARCH("RH*-WHELCBR",[1]OUT_FinalEnergyCons!$A$4:$A$10000)))*1,[1]OUT_FinalEnergyCons!G$4:G$10000)</f>
        <v>1.00579377377495E-6</v>
      </c>
      <c r="J2255" s="1" cm="1">
        <f t="array" ref="J2255">SUMPRODUCT(([2]OUT_FinalEnergyCons!$B$4:$B$10000="var_ncap")*1,(ISNUMBER(SEARCH("RH*-WHELCBR",[2]OUT_FinalEnergyCons!$A$4:$A$10000)))*1,[2]OUT_FinalEnergyCons!H$4:H$10000)</f>
        <v>4.9473423178525301E-2</v>
      </c>
      <c r="K2255" s="1" cm="1">
        <f t="array" ref="K2255">SUMPRODUCT(([2]OUT_FinalEnergyCons!$B$4:$B$10000="var_ncap")*1,(ISNUMBER(SEARCH("RH*-WHELCBR",[2]OUT_FinalEnergyCons!$A$4:$A$10000)))*1,[2]OUT_FinalEnergyCons!I$4:I$10000)</f>
        <v>6.1696354816087803E-2</v>
      </c>
      <c r="L2255" s="1" cm="1">
        <f t="array" ref="L2255">SUMPRODUCT(([2]OUT_FinalEnergyCons!$B$4:$B$10000="var_ncap")*1,(ISNUMBER(SEARCH("RH*-WHELCBR",[2]OUT_FinalEnergyCons!$A$4:$A$10000)))*1,[2]OUT_FinalEnergyCons!J$4:J$10000)</f>
        <v>2.77968382144963E-2</v>
      </c>
      <c r="N2255" s="1"/>
    </row>
    <row r="2256" spans="2:14" x14ac:dyDescent="0.35">
      <c r="B2256" s="5" t="str">
        <f t="shared" si="2135"/>
        <v>SPS1</v>
      </c>
      <c r="C2256" s="5" t="str">
        <f t="shared" si="2136"/>
        <v>CH</v>
      </c>
      <c r="D2256" t="s">
        <v>2390</v>
      </c>
      <c r="E2256" t="str">
        <f t="shared" si="2137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2.7753555556466499E-6</v>
      </c>
      <c r="G2256" s="1" cm="1">
        <f t="array" ref="G2256">SUMPRODUCT(([1]OUT_FinalEnergyCons!$B$4:$B$10000="var_ncap")*1,ISNUMBER(SEARCH("RH*-WHELCHP",[1]OUT_FinalEnergyCons!$A$4:$A$10000))*1,[1]OUT_FinalEnergyCons!E$4:E$10000)</f>
        <v>3.2777245990607003E-2</v>
      </c>
      <c r="H2256" s="1" cm="1">
        <f t="array" ref="H2256">SUMPRODUCT(([1]OUT_FinalEnergyCons!$B$4:$B$10000="var_ncap")*1,ISNUMBER(SEARCH("RH*-WHELCHP",[1]OUT_FinalEnergyCons!$A$4:$A$10000))*1,[1]OUT_FinalEnergyCons!F$4:F$10000)</f>
        <v>0.105366653388898</v>
      </c>
      <c r="I2256" s="1" cm="1">
        <f t="array" ref="I2256">SUMPRODUCT(([1]OUT_FinalEnergyCons!$B$4:$B$10000="var_ncap")*1,ISNUMBER(SEARCH("RH*-WHELCHP",[1]OUT_FinalEnergyCons!$A$4:$A$10000))*1,[1]OUT_FinalEnergyCons!G$4:G$10000)</f>
        <v>0.26313889657622103</v>
      </c>
      <c r="J2256" s="1" cm="1">
        <f t="array" ref="J2256">SUMPRODUCT(([2]OUT_FinalEnergyCons!$B$4:$B$10000="var_ncap")*1,ISNUMBER(SEARCH("RH*-WHELCHP",[2]OUT_FinalEnergyCons!$A$4:$A$10000))*1,[2]OUT_FinalEnergyCons!H$4:H$10000)</f>
        <v>0.33883084185277701</v>
      </c>
      <c r="K2256" s="1" cm="1">
        <f t="array" ref="K2256">SUMPRODUCT(([2]OUT_FinalEnergyCons!$B$4:$B$10000="var_ncap")*1,ISNUMBER(SEARCH("RH*-WHELCHP",[2]OUT_FinalEnergyCons!$A$4:$A$10000))*1,[2]OUT_FinalEnergyCons!I$4:I$10000)</f>
        <v>0.43505132595245599</v>
      </c>
      <c r="L2256" s="1" cm="1">
        <f t="array" ref="L2256">SUMPRODUCT(([2]OUT_FinalEnergyCons!$B$4:$B$10000="var_ncap")*1,ISNUMBER(SEARCH("RH*-WHELCHP",[2]OUT_FinalEnergyCons!$A$4:$A$10000))*1,[2]OUT_FinalEnergyCons!J$4:J$10000)</f>
        <v>0.61689006337563501</v>
      </c>
      <c r="N2256" s="1"/>
    </row>
    <row r="2257" spans="2:14" x14ac:dyDescent="0.35">
      <c r="B2257" s="5" t="str">
        <f t="shared" si="2135"/>
        <v>SPS1</v>
      </c>
      <c r="C2257" s="5" t="str">
        <f t="shared" si="2136"/>
        <v>CH</v>
      </c>
      <c r="D2257" t="s">
        <v>2391</v>
      </c>
      <c r="E2257" t="str">
        <f t="shared" si="2137"/>
        <v>GWth/yr.</v>
      </c>
      <c r="F2257" s="1">
        <f t="shared" ref="F2257:L2257" si="2150">F2258</f>
        <v>0</v>
      </c>
      <c r="G2257" s="1">
        <f t="shared" si="2150"/>
        <v>8.5938721003759096E-7</v>
      </c>
      <c r="H2257" s="1">
        <f t="shared" si="2150"/>
        <v>2.3683463974355999E-7</v>
      </c>
      <c r="I2257" s="1">
        <f t="shared" si="2150"/>
        <v>5.2186213866202805E-7</v>
      </c>
      <c r="J2257" s="1">
        <f t="shared" si="2150"/>
        <v>1.40990303181605E-2</v>
      </c>
      <c r="K2257" s="1">
        <f t="shared" si="2150"/>
        <v>1.6833057579052398E-2</v>
      </c>
      <c r="L2257" s="1">
        <f t="shared" si="2150"/>
        <v>0</v>
      </c>
      <c r="N2257" s="1"/>
    </row>
    <row r="2258" spans="2:14" x14ac:dyDescent="0.35">
      <c r="B2258" s="5" t="str">
        <f t="shared" si="2135"/>
        <v>SPS1</v>
      </c>
      <c r="C2258" s="5" t="str">
        <f t="shared" si="2136"/>
        <v>CH</v>
      </c>
      <c r="D2258" t="s">
        <v>2392</v>
      </c>
      <c r="E2258" t="str">
        <f t="shared" si="2137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8.5938721003759096E-7</v>
      </c>
      <c r="H2258" s="1" cm="1">
        <f t="array" ref="H2258">SUMPRODUCT(([1]OUT_FinalEnergyCons!$B$4:$B$10000="var_ncap")*1, (ISNUMBER(SEARCH("RH*-WHLFOBR",[1]OUT_FinalEnergyCons!$A$4:$A$10000)))*1,[1]OUT_FinalEnergyCons!F$4:F$10000)</f>
        <v>2.3683463974355999E-7</v>
      </c>
      <c r="I2258" s="1" cm="1">
        <f t="array" ref="I2258">SUMPRODUCT(([1]OUT_FinalEnergyCons!$B$4:$B$10000="var_ncap")*1, (ISNUMBER(SEARCH("RH*-WHLFOBR",[1]OUT_FinalEnergyCons!$A$4:$A$10000)))*1,[1]OUT_FinalEnergyCons!G$4:G$10000)</f>
        <v>5.2186213866202805E-7</v>
      </c>
      <c r="J2258" s="1" cm="1">
        <f t="array" ref="J2258">SUMPRODUCT(([2]OUT_FinalEnergyCons!$B$4:$B$10000="var_ncap")*1, (ISNUMBER(SEARCH("RH*-WHLFOBR",[2]OUT_FinalEnergyCons!$A$4:$A$10000)))*1,[2]OUT_FinalEnergyCons!H$4:H$10000)</f>
        <v>1.40990303181605E-2</v>
      </c>
      <c r="K2258" s="1" cm="1">
        <f t="array" ref="K2258">SUMPRODUCT(([2]OUT_FinalEnergyCons!$B$4:$B$10000="var_ncap")*1, (ISNUMBER(SEARCH("RH*-WHLFOBR",[2]OUT_FinalEnergyCons!$A$4:$A$10000)))*1,[2]OUT_FinalEnergyCons!I$4:I$10000)</f>
        <v>1.6833057579052398E-2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5"/>
        <v>SPS1</v>
      </c>
      <c r="C2259" s="5" t="str">
        <f t="shared" si="2136"/>
        <v>CH</v>
      </c>
      <c r="D2259" t="s">
        <v>2393</v>
      </c>
      <c r="E2259" t="str">
        <f t="shared" si="2137"/>
        <v>GWth/yr.</v>
      </c>
      <c r="F2259" s="1">
        <f t="shared" ref="F2259:K2259" si="2151">SUM(F2260:F2261)</f>
        <v>0</v>
      </c>
      <c r="G2259" s="1">
        <f t="shared" si="2151"/>
        <v>1.6911483673667098E-6</v>
      </c>
      <c r="H2259" s="1">
        <f t="shared" si="2151"/>
        <v>6.5126992924813901E-2</v>
      </c>
      <c r="I2259" s="1">
        <f t="shared" si="2151"/>
        <v>7.0781083783908516E-2</v>
      </c>
      <c r="J2259" s="1">
        <f t="shared" si="2151"/>
        <v>7.4904052468221904E-2</v>
      </c>
      <c r="K2259" s="1">
        <f t="shared" si="2151"/>
        <v>0.1552025806523174</v>
      </c>
      <c r="L2259" s="1">
        <f t="shared" ref="L2259" si="2152">SUM(L2260:L2261)</f>
        <v>0.13445483320746243</v>
      </c>
      <c r="N2259" s="1"/>
    </row>
    <row r="2260" spans="2:14" x14ac:dyDescent="0.35">
      <c r="B2260" s="5" t="str">
        <f t="shared" si="2135"/>
        <v>SPS1</v>
      </c>
      <c r="C2260" s="5" t="str">
        <f t="shared" si="2136"/>
        <v>CH</v>
      </c>
      <c r="D2260" t="s">
        <v>2394</v>
      </c>
      <c r="E2260" t="str">
        <f t="shared" si="2137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4.6930488835189999E-7</v>
      </c>
      <c r="H2260" s="1" cm="1">
        <f t="array" ref="H2260">SUMPRODUCT(([1]OUT_FinalEnergyCons!$B$4:$B$10000="var_ncap")*1, (ISNUMBER(SEARCH("RH*-WHNGABR",[1]OUT_FinalEnergyCons!$A$4:$A$10000)))*1,[1]OUT_FinalEnergyCons!F$4:F$10000)</f>
        <v>4.1008366370937001E-7</v>
      </c>
      <c r="I2260" s="1" cm="1">
        <f t="array" ref="I2260">SUMPRODUCT(([1]OUT_FinalEnergyCons!$B$4:$B$10000="var_ncap")*1, (ISNUMBER(SEARCH("RH*-WHNGABR",[1]OUT_FinalEnergyCons!$A$4:$A$10000)))*1,[1]OUT_FinalEnergyCons!G$4:G$10000)</f>
        <v>6.3505763461769001E-7</v>
      </c>
      <c r="J2260" s="1" cm="1">
        <f t="array" ref="J2260">SUMPRODUCT(([2]OUT_FinalEnergyCons!$B$4:$B$10000="var_ncap")*1, (ISNUMBER(SEARCH("RH*-WHNGABR",[2]OUT_FinalEnergyCons!$A$4:$A$10000)))*1,[2]OUT_FinalEnergyCons!H$4:H$10000)</f>
        <v>2.2005411602920799E-2</v>
      </c>
      <c r="K2260" s="1" cm="1">
        <f t="array" ref="K2260">SUMPRODUCT(([2]OUT_FinalEnergyCons!$B$4:$B$10000="var_ncap")*1, (ISNUMBER(SEARCH("RH*-WHNGABR",[2]OUT_FinalEnergyCons!$A$4:$A$10000)))*1,[2]OUT_FinalEnergyCons!I$4:I$10000)</f>
        <v>3.0564955652697401E-2</v>
      </c>
      <c r="L2260" s="1" cm="1">
        <f t="array" ref="L2260">SUMPRODUCT(([2]OUT_FinalEnergyCons!$B$4:$B$10000="var_ncap")*1, (ISNUMBER(SEARCH("RH*-WHNGABR",[2]OUT_FinalEnergyCons!$A$4:$A$10000)))*1,[2]OUT_FinalEnergyCons!J$4:J$10000)</f>
        <v>7.4338408041900095E-7</v>
      </c>
      <c r="N2260" s="1"/>
    </row>
    <row r="2261" spans="2:14" x14ac:dyDescent="0.35">
      <c r="B2261" s="5" t="str">
        <f t="shared" si="2135"/>
        <v>SPS1</v>
      </c>
      <c r="C2261" s="5" t="str">
        <f t="shared" si="2136"/>
        <v>CH</v>
      </c>
      <c r="D2261" t="s">
        <v>2395</v>
      </c>
      <c r="E2261" t="str">
        <f t="shared" si="2137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1.2218434790148099E-6</v>
      </c>
      <c r="H2261" s="1" cm="1">
        <f t="array" ref="H2261">SUMPRODUCT(([1]OUT_FinalEnergyCons!$B$4:$B$10000="var_ncap")*1,ISNUMBER(SEARCH("RH*-WHngahp",[1]OUT_FinalEnergyCons!$A$4:$A$10000))*1,[1]OUT_FinalEnergyCons!F$4:F$10000)</f>
        <v>6.5126582841150193E-2</v>
      </c>
      <c r="I2261" s="1" cm="1">
        <f t="array" ref="I2261">SUMPRODUCT(([1]OUT_FinalEnergyCons!$B$4:$B$10000="var_ncap")*1,ISNUMBER(SEARCH("RH*-WHngahp",[1]OUT_FinalEnergyCons!$A$4:$A$10000))*1,[1]OUT_FinalEnergyCons!G$4:G$10000)</f>
        <v>7.0780448726273898E-2</v>
      </c>
      <c r="J2261" s="1" cm="1">
        <f t="array" ref="J2261">SUMPRODUCT(([2]OUT_FinalEnergyCons!$B$4:$B$10000="var_ncap")*1,ISNUMBER(SEARCH("RH*-WHngahp",[2]OUT_FinalEnergyCons!$A$4:$A$10000))*1,[2]OUT_FinalEnergyCons!H$4:H$10000)</f>
        <v>5.2898640865301098E-2</v>
      </c>
      <c r="K2261" s="1" cm="1">
        <f t="array" ref="K2261">SUMPRODUCT(([2]OUT_FinalEnergyCons!$B$4:$B$10000="var_ncap")*1,ISNUMBER(SEARCH("RH*-WHngahp",[2]OUT_FinalEnergyCons!$A$4:$A$10000))*1,[2]OUT_FinalEnergyCons!I$4:I$10000)</f>
        <v>0.12463762499962</v>
      </c>
      <c r="L2261" s="1" cm="1">
        <f t="array" ref="L2261">SUMPRODUCT(([2]OUT_FinalEnergyCons!$B$4:$B$10000="var_ncap")*1,ISNUMBER(SEARCH("RH*-WHngahp",[2]OUT_FinalEnergyCons!$A$4:$A$10000))*1,[2]OUT_FinalEnergyCons!J$4:J$10000)</f>
        <v>0.134454089823382</v>
      </c>
      <c r="N2261" s="1"/>
    </row>
    <row r="2262" spans="2:14" x14ac:dyDescent="0.35">
      <c r="B2262" s="5" t="str">
        <f t="shared" si="2135"/>
        <v>SPS1</v>
      </c>
      <c r="C2262" s="5" t="str">
        <f t="shared" si="2136"/>
        <v>CH</v>
      </c>
      <c r="D2262" t="s">
        <v>2396</v>
      </c>
      <c r="E2262" t="str">
        <f t="shared" si="2137"/>
        <v>GWth/yr.</v>
      </c>
      <c r="F2262" s="1">
        <f t="shared" ref="F2262:L2262" si="2153">F2263</f>
        <v>0</v>
      </c>
      <c r="G2262" s="1">
        <f t="shared" si="2153"/>
        <v>0</v>
      </c>
      <c r="H2262" s="1">
        <f t="shared" si="2153"/>
        <v>0</v>
      </c>
      <c r="I2262" s="1">
        <f t="shared" si="2153"/>
        <v>0</v>
      </c>
      <c r="J2262" s="1">
        <f t="shared" si="2153"/>
        <v>0</v>
      </c>
      <c r="K2262" s="1">
        <f t="shared" si="2153"/>
        <v>0</v>
      </c>
      <c r="L2262" s="1">
        <f t="shared" si="2153"/>
        <v>0</v>
      </c>
      <c r="N2262" s="1"/>
    </row>
    <row r="2263" spans="2:14" x14ac:dyDescent="0.35">
      <c r="B2263" s="5" t="str">
        <f t="shared" si="2135"/>
        <v>SPS1</v>
      </c>
      <c r="C2263" s="5" t="str">
        <f t="shared" si="2136"/>
        <v>CH</v>
      </c>
      <c r="D2263" t="s">
        <v>2397</v>
      </c>
      <c r="E2263" t="str">
        <f t="shared" si="2137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5"/>
        <v>SPS1</v>
      </c>
      <c r="C2264" s="5" t="str">
        <f t="shared" si="2136"/>
        <v>CH</v>
      </c>
      <c r="D2264" t="s">
        <v>2398</v>
      </c>
      <c r="E2264" t="str">
        <f t="shared" si="2137"/>
        <v>GWth/yr.</v>
      </c>
      <c r="F2264" s="1">
        <f t="shared" ref="F2264:L2264" si="2154">F2265</f>
        <v>0</v>
      </c>
      <c r="G2264" s="1">
        <f t="shared" si="2154"/>
        <v>5.1366973849955597E-3</v>
      </c>
      <c r="H2264" s="1">
        <f t="shared" si="2154"/>
        <v>2.6801681145520399E-2</v>
      </c>
      <c r="I2264" s="1">
        <f t="shared" si="2154"/>
        <v>1.24682596332852E-6</v>
      </c>
      <c r="J2264" s="1">
        <f t="shared" si="2154"/>
        <v>1.00702351431281E-2</v>
      </c>
      <c r="K2264" s="1">
        <f t="shared" si="2154"/>
        <v>2.26627706653727E-2</v>
      </c>
      <c r="L2264" s="1">
        <f t="shared" si="2154"/>
        <v>2.6378787808724099E-7</v>
      </c>
      <c r="N2264" s="1"/>
    </row>
    <row r="2265" spans="2:14" x14ac:dyDescent="0.35">
      <c r="B2265" s="5" t="str">
        <f t="shared" si="2135"/>
        <v>SPS1</v>
      </c>
      <c r="C2265" s="5" t="str">
        <f t="shared" si="2136"/>
        <v>CH</v>
      </c>
      <c r="D2265" t="s">
        <v>2399</v>
      </c>
      <c r="E2265" t="str">
        <f t="shared" si="2137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5.1366973849955597E-3</v>
      </c>
      <c r="H2265" s="1" cm="1">
        <f t="array" ref="H2265">SUMPRODUCT(([1]OUT_FinalEnergyCons!$B$4:$B$10000="var_ncap")*1, (ISNUMBER(SEARCH("RH*-WHWODBR",[1]OUT_FinalEnergyCons!$A$4:$A$10000)))*1,[1]OUT_FinalEnergyCons!F$4:F$10000)</f>
        <v>2.6801681145520399E-2</v>
      </c>
      <c r="I2265" s="1" cm="1">
        <f t="array" ref="I2265">SUMPRODUCT(([1]OUT_FinalEnergyCons!$B$4:$B$10000="var_ncap")*1, (ISNUMBER(SEARCH("RH*-WHWODBR",[1]OUT_FinalEnergyCons!$A$4:$A$10000)))*1,[1]OUT_FinalEnergyCons!G$4:G$10000)</f>
        <v>1.24682596332852E-6</v>
      </c>
      <c r="J2265" s="1" cm="1">
        <f t="array" ref="J2265">SUMPRODUCT(([2]OUT_FinalEnergyCons!$B$4:$B$10000="var_ncap")*1, (ISNUMBER(SEARCH("RH*-WHWODBR",[2]OUT_FinalEnergyCons!$A$4:$A$10000)))*1,[2]OUT_FinalEnergyCons!H$4:H$10000)</f>
        <v>1.00702351431281E-2</v>
      </c>
      <c r="K2265" s="1" cm="1">
        <f t="array" ref="K2265">SUMPRODUCT(([2]OUT_FinalEnergyCons!$B$4:$B$10000="var_ncap")*1, (ISNUMBER(SEARCH("RH*-WHWODBR",[2]OUT_FinalEnergyCons!$A$4:$A$10000)))*1,[2]OUT_FinalEnergyCons!I$4:I$10000)</f>
        <v>2.26627706653727E-2</v>
      </c>
      <c r="L2265" s="1" cm="1">
        <f t="array" ref="L2265">SUMPRODUCT(([2]OUT_FinalEnergyCons!$B$4:$B$10000="var_ncap")*1, (ISNUMBER(SEARCH("RH*-WHWODBR",[2]OUT_FinalEnergyCons!$A$4:$A$10000)))*1,[2]OUT_FinalEnergyCons!J$4:J$10000)</f>
        <v>2.6378787808724099E-7</v>
      </c>
      <c r="N2265" s="1"/>
    </row>
    <row r="2266" spans="2:14" x14ac:dyDescent="0.35">
      <c r="B2266" s="5" t="str">
        <f t="shared" si="2135"/>
        <v>SPS1</v>
      </c>
      <c r="C2266" s="5" t="str">
        <f t="shared" si="2136"/>
        <v>CH</v>
      </c>
      <c r="D2266" t="s">
        <v>2400</v>
      </c>
      <c r="E2266" t="str">
        <f t="shared" si="2137"/>
        <v>GWth/yr.</v>
      </c>
      <c r="F2266" s="1">
        <f t="shared" ref="F2266:L2266" si="2155">F2267</f>
        <v>0</v>
      </c>
      <c r="G2266" s="1">
        <f t="shared" si="2155"/>
        <v>1.9558129176277502E-3</v>
      </c>
      <c r="H2266" s="1">
        <f t="shared" si="2155"/>
        <v>2.4843196530067397E-7</v>
      </c>
      <c r="I2266" s="1">
        <f t="shared" si="2155"/>
        <v>7.98354725879578E-7</v>
      </c>
      <c r="J2266" s="1">
        <f t="shared" si="2155"/>
        <v>6.6278786125859804E-4</v>
      </c>
      <c r="K2266" s="1">
        <f t="shared" si="2155"/>
        <v>8.3649617743389E-4</v>
      </c>
      <c r="L2266" s="1">
        <f t="shared" si="2155"/>
        <v>1.5592078643854599E-7</v>
      </c>
      <c r="N2266" s="1"/>
    </row>
    <row r="2267" spans="2:14" x14ac:dyDescent="0.35">
      <c r="B2267" s="5" t="str">
        <f t="shared" si="2135"/>
        <v>SPS1</v>
      </c>
      <c r="C2267" s="5" t="str">
        <f t="shared" si="2136"/>
        <v>CH</v>
      </c>
      <c r="D2267" t="s">
        <v>2401</v>
      </c>
      <c r="E2267" t="str">
        <f t="shared" si="2137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1.9558129176277502E-3</v>
      </c>
      <c r="H2267" s="1" cm="1">
        <f t="array" ref="H2267">SUMPRODUCT(([1]OUT_FinalEnergyCons!$B$4:$B$10000="var_ncap")*1, (ISNUMBER(SEARCH("RH*-WHPLTBR",[1]OUT_FinalEnergyCons!$A$4:$A$10000)))*1,[1]OUT_FinalEnergyCons!F$4:F$10000)</f>
        <v>2.4843196530067397E-7</v>
      </c>
      <c r="I2267" s="1" cm="1">
        <f t="array" ref="I2267">SUMPRODUCT(([1]OUT_FinalEnergyCons!$B$4:$B$10000="var_ncap")*1, (ISNUMBER(SEARCH("RH*-WHPLTBR",[1]OUT_FinalEnergyCons!$A$4:$A$10000)))*1,[1]OUT_FinalEnergyCons!G$4:G$10000)</f>
        <v>7.98354725879578E-7</v>
      </c>
      <c r="J2267" s="1" cm="1">
        <f t="array" ref="J2267">SUMPRODUCT(([2]OUT_FinalEnergyCons!$B$4:$B$10000="var_ncap")*1, (ISNUMBER(SEARCH("RH*-WHPLTBR",[2]OUT_FinalEnergyCons!$A$4:$A$10000)))*1,[2]OUT_FinalEnergyCons!H$4:H$10000)</f>
        <v>6.6278786125859804E-4</v>
      </c>
      <c r="K2267" s="1" cm="1">
        <f t="array" ref="K2267">SUMPRODUCT(([2]OUT_FinalEnergyCons!$B$4:$B$10000="var_ncap")*1, (ISNUMBER(SEARCH("RH*-WHPLTBR",[2]OUT_FinalEnergyCons!$A$4:$A$10000)))*1,[2]OUT_FinalEnergyCons!I$4:I$10000)</f>
        <v>8.3649617743389E-4</v>
      </c>
      <c r="L2267" s="1" cm="1">
        <f t="array" ref="L2267">SUMPRODUCT(([2]OUT_FinalEnergyCons!$B$4:$B$10000="var_ncap")*1, (ISNUMBER(SEARCH("RH*-WHPLTBR",[2]OUT_FinalEnergyCons!$A$4:$A$10000)))*1,[2]OUT_FinalEnergyCons!J$4:J$10000)</f>
        <v>1.5592078643854599E-7</v>
      </c>
      <c r="N2267" s="1"/>
    </row>
    <row r="2268" spans="2:14" x14ac:dyDescent="0.35">
      <c r="B2268" s="5" t="str">
        <f t="shared" ref="B2268:B2294" si="2156">B2267</f>
        <v>SPS1</v>
      </c>
      <c r="C2268" s="5" t="str">
        <f t="shared" ref="C2268:C2294" si="2157">C2267</f>
        <v>CH</v>
      </c>
      <c r="D2268" t="s">
        <v>2402</v>
      </c>
      <c r="E2268" t="str">
        <f t="shared" ref="E2268:E2299" si="2158">E2267</f>
        <v>GWth/yr.</v>
      </c>
      <c r="F2268" s="1">
        <f t="shared" ref="F2268:L2268" si="2159">F2269</f>
        <v>0</v>
      </c>
      <c r="G2268" s="1">
        <f t="shared" si="2159"/>
        <v>8.4096226542638805E-2</v>
      </c>
      <c r="H2268" s="1">
        <f t="shared" si="2159"/>
        <v>3.0571973461501701E-6</v>
      </c>
      <c r="I2268" s="1">
        <f t="shared" si="2159"/>
        <v>4.3259550039262899E-2</v>
      </c>
      <c r="J2268" s="1">
        <f t="shared" si="2159"/>
        <v>0.30620723264387101</v>
      </c>
      <c r="K2268" s="1">
        <f t="shared" si="2159"/>
        <v>0.21599789421353999</v>
      </c>
      <c r="L2268" s="1">
        <f t="shared" si="2159"/>
        <v>0.35002597929555301</v>
      </c>
      <c r="N2268" s="1"/>
    </row>
    <row r="2269" spans="2:14" x14ac:dyDescent="0.35">
      <c r="B2269" s="5" t="str">
        <f t="shared" si="2156"/>
        <v>SPS1</v>
      </c>
      <c r="C2269" s="5" t="str">
        <f t="shared" si="2157"/>
        <v>CH</v>
      </c>
      <c r="D2269" t="s">
        <v>2403</v>
      </c>
      <c r="E2269" t="str">
        <f t="shared" si="2158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8.4096226542638805E-2</v>
      </c>
      <c r="H2269" s="1" cm="1">
        <f t="array" ref="H2269">SUMPRODUCT(([1]OUT_FinalEnergyCons!$B$4:$B$10000="var_ncap")*1, (ISNUMBER(SEARCH("RH*-WHSOLBR",[1]OUT_FinalEnergyCons!$A$4:$A$10000)))*1,[1]OUT_FinalEnergyCons!F$4:F$10000)</f>
        <v>3.0571973461501701E-6</v>
      </c>
      <c r="I2269" s="1" cm="1">
        <f t="array" ref="I2269">SUMPRODUCT(([1]OUT_FinalEnergyCons!$B$4:$B$10000="var_ncap")*1, (ISNUMBER(SEARCH("RH*-WHSOLBR",[1]OUT_FinalEnergyCons!$A$4:$A$10000)))*1,[1]OUT_FinalEnergyCons!G$4:G$10000)</f>
        <v>4.3259550039262899E-2</v>
      </c>
      <c r="J2269" s="1" cm="1">
        <f t="array" ref="J2269">SUMPRODUCT(([2]OUT_FinalEnergyCons!$B$4:$B$10000="var_ncap")*1, (ISNUMBER(SEARCH("RH*-WHSOLBR",[2]OUT_FinalEnergyCons!$A$4:$A$10000)))*1,[2]OUT_FinalEnergyCons!H$4:H$10000)</f>
        <v>0.30620723264387101</v>
      </c>
      <c r="K2269" s="1" cm="1">
        <f t="array" ref="K2269">SUMPRODUCT(([2]OUT_FinalEnergyCons!$B$4:$B$10000="var_ncap")*1, (ISNUMBER(SEARCH("RH*-WHSOLBR",[2]OUT_FinalEnergyCons!$A$4:$A$10000)))*1,[2]OUT_FinalEnergyCons!I$4:I$10000)</f>
        <v>0.21599789421353999</v>
      </c>
      <c r="L2269" s="1" cm="1">
        <f t="array" ref="L2269">SUMPRODUCT(([2]OUT_FinalEnergyCons!$B$4:$B$10000="var_ncap")*1, (ISNUMBER(SEARCH("RH*-WHSOLBR",[2]OUT_FinalEnergyCons!$A$4:$A$10000)))*1,[2]OUT_FinalEnergyCons!J$4:J$10000)</f>
        <v>0.35002597929555301</v>
      </c>
      <c r="N2269" s="1"/>
    </row>
    <row r="2270" spans="2:14" x14ac:dyDescent="0.35">
      <c r="B2270" s="5" t="str">
        <f t="shared" si="2156"/>
        <v>SPS1</v>
      </c>
      <c r="C2270" s="5" t="str">
        <f t="shared" si="2157"/>
        <v>CH</v>
      </c>
      <c r="D2270" t="s">
        <v>2404</v>
      </c>
      <c r="E2270" t="str">
        <f t="shared" si="2158"/>
        <v>GWth/yr.</v>
      </c>
      <c r="F2270" s="1">
        <f t="shared" ref="F2270:L2270" si="2160">F2271</f>
        <v>0</v>
      </c>
      <c r="G2270" s="1">
        <f t="shared" si="2160"/>
        <v>0</v>
      </c>
      <c r="H2270" s="1">
        <f t="shared" si="2160"/>
        <v>0</v>
      </c>
      <c r="I2270" s="1">
        <f t="shared" si="2160"/>
        <v>0</v>
      </c>
      <c r="J2270" s="1">
        <f t="shared" si="2160"/>
        <v>0</v>
      </c>
      <c r="K2270" s="1">
        <f t="shared" si="2160"/>
        <v>0</v>
      </c>
      <c r="L2270" s="1">
        <f t="shared" si="2160"/>
        <v>0</v>
      </c>
      <c r="N2270" s="1"/>
    </row>
    <row r="2271" spans="2:14" x14ac:dyDescent="0.35">
      <c r="B2271" s="5" t="str">
        <f t="shared" si="2156"/>
        <v>SPS1</v>
      </c>
      <c r="C2271" s="5" t="str">
        <f t="shared" si="2157"/>
        <v>CH</v>
      </c>
      <c r="D2271" t="s">
        <v>2405</v>
      </c>
      <c r="E2271" t="str">
        <f t="shared" si="2158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56"/>
        <v>SPS1</v>
      </c>
      <c r="C2272" s="9" t="str">
        <f t="shared" si="2157"/>
        <v>CH</v>
      </c>
      <c r="D2272" s="2" t="s">
        <v>2406</v>
      </c>
      <c r="E2272" s="9" t="str">
        <f t="shared" si="2158"/>
        <v>GWth/yr.</v>
      </c>
      <c r="F2272" s="17">
        <f t="shared" ref="F2272:K2272" si="2161">SUM(F2273,F2276,F2279,F2283,F2285,F2287,F2289,F2291,F2293)</f>
        <v>2.0721867494158299E-3</v>
      </c>
      <c r="G2272" s="17">
        <f t="shared" si="2161"/>
        <v>0.34424651041227633</v>
      </c>
      <c r="H2272" s="17">
        <f t="shared" si="2161"/>
        <v>1.8600067792814703E-3</v>
      </c>
      <c r="I2272" s="17">
        <f t="shared" si="2161"/>
        <v>0.11821061355266854</v>
      </c>
      <c r="J2272" s="17">
        <f t="shared" si="2161"/>
        <v>2.0974337274270511</v>
      </c>
      <c r="K2272" s="17">
        <f t="shared" si="2161"/>
        <v>1.1436686225898383</v>
      </c>
      <c r="L2272" s="17">
        <f t="shared" ref="L2272" si="2162">SUM(L2273,L2276,L2279,L2283,L2285,L2287,L2289,L2291,L2293)</f>
        <v>1.49065467631184</v>
      </c>
      <c r="N2272" s="1"/>
    </row>
    <row r="2273" spans="2:14" x14ac:dyDescent="0.35">
      <c r="B2273" s="5" t="str">
        <f t="shared" si="2156"/>
        <v>SPS1</v>
      </c>
      <c r="C2273" s="5" t="str">
        <f t="shared" si="2157"/>
        <v>CH</v>
      </c>
      <c r="D2273" t="s">
        <v>2407</v>
      </c>
      <c r="E2273" t="str">
        <f t="shared" si="2158"/>
        <v>GWth/yr.</v>
      </c>
      <c r="F2273" s="18">
        <f t="shared" ref="F2273:K2273" si="2163">SUM(F2274:F2275)</f>
        <v>0</v>
      </c>
      <c r="G2273" s="18">
        <f t="shared" si="2163"/>
        <v>0.21485786273890059</v>
      </c>
      <c r="H2273" s="18">
        <f t="shared" si="2163"/>
        <v>9.7752883351660607E-4</v>
      </c>
      <c r="I2273" s="18">
        <f t="shared" si="2163"/>
        <v>0.11798867080567038</v>
      </c>
      <c r="J2273" s="18">
        <f t="shared" si="2163"/>
        <v>1.0460410008002001</v>
      </c>
      <c r="K2273" s="18">
        <f t="shared" si="2163"/>
        <v>0.435916279953729</v>
      </c>
      <c r="L2273" s="18">
        <f t="shared" ref="L2273" si="2164">SUM(L2274:L2275)</f>
        <v>0.95243396494465904</v>
      </c>
      <c r="N2273" s="1"/>
    </row>
    <row r="2274" spans="2:14" x14ac:dyDescent="0.35">
      <c r="B2274" s="5" t="str">
        <f t="shared" si="2156"/>
        <v>SPS1</v>
      </c>
      <c r="C2274" s="5" t="str">
        <f t="shared" si="2157"/>
        <v>CH</v>
      </c>
      <c r="D2274" t="s">
        <v>2408</v>
      </c>
      <c r="E2274" t="str">
        <f t="shared" si="2158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0.198647821397168</v>
      </c>
      <c r="H2274" s="1" cm="1">
        <f t="array" ref="H2274">SUMPRODUCT(([1]OUT_FinalEnergyCons!$B$4:$B$10000="var_ncap")*1,  (ISNUMBER(SEARCH("ITOT-SWHELCBR",[1]OUT_FinalEnergyCons!$A$4:$A$10000)))*1,[1]OUT_FinalEnergyCons!F$4:F$10000)</f>
        <v>3.23620482200469E-4</v>
      </c>
      <c r="I2274" s="1" cm="1">
        <f t="array" ref="I2274">SUMPRODUCT(([1]OUT_FinalEnergyCons!$B$4:$B$10000="var_ncap")*1,  (ISNUMBER(SEARCH("ITOT-SWHELCBR",[1]OUT_FinalEnergyCons!$A$4:$A$10000)))*1,[1]OUT_FinalEnergyCons!G$4:G$10000)</f>
        <v>3.2792576169938202E-4</v>
      </c>
      <c r="J2274" s="1" cm="1">
        <f t="array" ref="J2274">SUMPRODUCT(([2]OUT_FinalEnergyCons!$B$4:$B$10000="var_ncap")*1,  (ISNUMBER(SEARCH("ITOT-SWHELCBR",[2]OUT_FinalEnergyCons!$A$4:$A$10000)))*1,[2]OUT_FinalEnergyCons!H$4:H$10000)</f>
        <v>0.77462645738305003</v>
      </c>
      <c r="K2274" s="1" cm="1">
        <f t="array" ref="K2274">SUMPRODUCT(([2]OUT_FinalEnergyCons!$B$4:$B$10000="var_ncap")*1,  (ISNUMBER(SEARCH("ITOT-SWHELCBR",[2]OUT_FinalEnergyCons!$A$4:$A$10000)))*1,[2]OUT_FinalEnergyCons!I$4:I$10000)</f>
        <v>0.25725808669713701</v>
      </c>
      <c r="L2274" s="1" cm="1">
        <f t="array" ref="L2274">SUMPRODUCT(([2]OUT_FinalEnergyCons!$B$4:$B$10000="var_ncap")*1,  (ISNUMBER(SEARCH("ITOT-SWHELCBR",[2]OUT_FinalEnergyCons!$A$4:$A$10000)))*1,[2]OUT_FinalEnergyCons!J$4:J$10000)</f>
        <v>0.57802188861168802</v>
      </c>
      <c r="N2274" s="1"/>
    </row>
    <row r="2275" spans="2:14" x14ac:dyDescent="0.35">
      <c r="B2275" s="5" t="str">
        <f t="shared" si="2156"/>
        <v>SPS1</v>
      </c>
      <c r="C2275" s="5" t="str">
        <f t="shared" si="2157"/>
        <v>CH</v>
      </c>
      <c r="D2275" t="s">
        <v>2409</v>
      </c>
      <c r="E2275" t="str">
        <f t="shared" si="2158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1.6210041341732599E-2</v>
      </c>
      <c r="H2275" s="1" cm="1">
        <f t="array" ref="H2275">SUMPRODUCT(([1]OUT_FinalEnergyCons!$B$4:$B$10000="var_ncap")*1,  (ISNUMBER(SEARCH("ITOT-SWHELCHP",[1]OUT_FinalEnergyCons!$A$4:$A$10000)))*1,[1]OUT_FinalEnergyCons!F$4:F$10000)</f>
        <v>6.5390835131613702E-4</v>
      </c>
      <c r="I2275" s="1" cm="1">
        <f t="array" ref="I2275">SUMPRODUCT(([1]OUT_FinalEnergyCons!$B$4:$B$10000="var_ncap")*1,  (ISNUMBER(SEARCH("ITOT-SWHELCHP",[1]OUT_FinalEnergyCons!$A$4:$A$10000)))*1,[1]OUT_FinalEnergyCons!G$4:G$10000)</f>
        <v>0.117660745043971</v>
      </c>
      <c r="J2275" s="1" cm="1">
        <f t="array" ref="J2275">SUMPRODUCT(([2]OUT_FinalEnergyCons!$B$4:$B$10000="var_ncap")*1,  (ISNUMBER(SEARCH("ITOT-SWHELCHP",[2]OUT_FinalEnergyCons!$A$4:$A$10000)))*1,[2]OUT_FinalEnergyCons!H$4:H$10000)</f>
        <v>0.27141454341714999</v>
      </c>
      <c r="K2275" s="1" cm="1">
        <f t="array" ref="K2275">SUMPRODUCT(([2]OUT_FinalEnergyCons!$B$4:$B$10000="var_ncap")*1,  (ISNUMBER(SEARCH("ITOT-SWHELCHP",[2]OUT_FinalEnergyCons!$A$4:$A$10000)))*1,[2]OUT_FinalEnergyCons!I$4:I$10000)</f>
        <v>0.17865819325659199</v>
      </c>
      <c r="L2275" s="1" cm="1">
        <f t="array" ref="L2275">SUMPRODUCT(([2]OUT_FinalEnergyCons!$B$4:$B$10000="var_ncap")*1,  (ISNUMBER(SEARCH("ITOT-SWHELCHP",[2]OUT_FinalEnergyCons!$A$4:$A$10000)))*1,[2]OUT_FinalEnergyCons!J$4:J$10000)</f>
        <v>0.37441207633297102</v>
      </c>
      <c r="N2275" s="1"/>
    </row>
    <row r="2276" spans="2:14" x14ac:dyDescent="0.35">
      <c r="B2276" s="5" t="str">
        <f t="shared" si="2156"/>
        <v>SPS1</v>
      </c>
      <c r="C2276" s="5" t="str">
        <f t="shared" si="2157"/>
        <v>CH</v>
      </c>
      <c r="D2276" t="s">
        <v>2410</v>
      </c>
      <c r="E2276" t="str">
        <f t="shared" si="2158"/>
        <v>GWth/yr.</v>
      </c>
      <c r="F2276" s="18">
        <f t="shared" ref="F2276:K2276" si="2165">SUM(F2277:F2278)</f>
        <v>2.0721867494158299E-3</v>
      </c>
      <c r="G2276" s="18">
        <f t="shared" si="2165"/>
        <v>1.2491138861053977E-2</v>
      </c>
      <c r="H2276" s="18">
        <f t="shared" si="2165"/>
        <v>7.5283306381636198E-5</v>
      </c>
      <c r="I2276" s="18">
        <f t="shared" si="2165"/>
        <v>7.9256715433094198E-5</v>
      </c>
      <c r="J2276" s="18">
        <f t="shared" si="2165"/>
        <v>0.14319280227205414</v>
      </c>
      <c r="K2276" s="18">
        <f t="shared" si="2165"/>
        <v>1.5441892480315038E-3</v>
      </c>
      <c r="L2276" s="18">
        <f t="shared" ref="L2276" si="2166">SUM(L2277:L2278)</f>
        <v>2.7989568714475462E-5</v>
      </c>
      <c r="N2276" s="1"/>
    </row>
    <row r="2277" spans="2:14" x14ac:dyDescent="0.35">
      <c r="B2277" s="5" t="str">
        <f t="shared" si="2156"/>
        <v>SPS1</v>
      </c>
      <c r="C2277" s="5" t="str">
        <f t="shared" si="2157"/>
        <v>CH</v>
      </c>
      <c r="D2277" t="s">
        <v>2411</v>
      </c>
      <c r="E2277" t="str">
        <f t="shared" si="2158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1.2433276134912101E-2</v>
      </c>
      <c r="H2277" s="1" cm="1">
        <f t="array" ref="H2277">SUMPRODUCT(([1]OUT_FinalEnergyCons!$B$4:$B$10000="var_ncap")*1,  (ISNUMBER(SEARCH("ITOT-SWHLFOBR",[1]OUT_FinalEnergyCons!$A$4:$A$10000)))*1,[1]OUT_FinalEnergyCons!F$4:F$10000)</f>
        <v>4.9944001974286398E-5</v>
      </c>
      <c r="I2277" s="1" cm="1">
        <f t="array" ref="I2277">SUMPRODUCT(([1]OUT_FinalEnergyCons!$B$4:$B$10000="var_ncap")*1,  (ISNUMBER(SEARCH("ITOT-SWHLFOBR",[1]OUT_FinalEnergyCons!$A$4:$A$10000)))*1,[1]OUT_FinalEnergyCons!G$4:G$10000)</f>
        <v>6.0248759045245498E-5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0.14312148897246299</v>
      </c>
      <c r="K2277" s="1" cm="1">
        <f t="array" ref="K2277">SUMPRODUCT(([2]OUT_FinalEnergyCons!$B$4:$B$10000="var_ncap")*1,  (ISNUMBER(SEARCH("ITOT-SWHLFOBR",[2]OUT_FinalEnergyCons!$A$4:$A$10000)))*1,[2]OUT_FinalEnergyCons!I$4:I$10000)</f>
        <v>1.5360891305386301E-3</v>
      </c>
      <c r="L2277" s="1" cm="1">
        <f t="array" ref="L2277">SUMPRODUCT(([2]OUT_FinalEnergyCons!$B$4:$B$10000="var_ncap")*1,  (ISNUMBER(SEARCH("ITOT-SWHLFOBR",[2]OUT_FinalEnergyCons!$A$4:$A$10000)))*1,[2]OUT_FinalEnergyCons!J$4:J$10000)</f>
        <v>2.6638730369847201E-5</v>
      </c>
      <c r="N2277" s="1"/>
    </row>
    <row r="2278" spans="2:14" x14ac:dyDescent="0.35">
      <c r="B2278" s="5" t="str">
        <f t="shared" si="2156"/>
        <v>SPS1</v>
      </c>
      <c r="C2278" s="5" t="str">
        <f t="shared" si="2157"/>
        <v>CH</v>
      </c>
      <c r="D2278" t="s">
        <v>2412</v>
      </c>
      <c r="E2278" t="str">
        <f t="shared" si="2158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2.0721867494158299E-3</v>
      </c>
      <c r="G2278" s="1" cm="1">
        <f t="array" ref="G2278">SUMPRODUCT(([1]OUT_FinalEnergyCons!$B$4:$B$10000="var_ncap")*1,  (ISNUMBER(SEARCH("ITOT-SWHHFOBR",[1]OUT_FinalEnergyCons!$A$4:$A$10000)))*1,[1]OUT_FinalEnergyCons!E$4:E$10000)</f>
        <v>5.7862726141876699E-5</v>
      </c>
      <c r="H2278" s="1" cm="1">
        <f t="array" ref="H2278">SUMPRODUCT(([1]OUT_FinalEnergyCons!$B$4:$B$10000="var_ncap")*1,  (ISNUMBER(SEARCH("ITOT-SWHHFOBR",[1]OUT_FinalEnergyCons!$A$4:$A$10000)))*1,[1]OUT_FinalEnergyCons!F$4:F$10000)</f>
        <v>2.53393044073498E-5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1.90079563878487E-5</v>
      </c>
      <c r="J2278" s="1" cm="1">
        <f t="array" ref="J2278">SUMPRODUCT(([2]OUT_FinalEnergyCons!$B$4:$B$10000="var_ncap")*1,  (ISNUMBER(SEARCH("ITOT-SWHHFOBR",[2]OUT_FinalEnergyCons!$A$4:$A$10000)))*1,[2]OUT_FinalEnergyCons!H$4:H$10000)</f>
        <v>7.1313299591149198E-5</v>
      </c>
      <c r="K2278" s="1" cm="1">
        <f t="array" ref="K2278">SUMPRODUCT(([2]OUT_FinalEnergyCons!$B$4:$B$10000="var_ncap")*1,  (ISNUMBER(SEARCH("ITOT-SWHHFOBR",[2]OUT_FinalEnergyCons!$A$4:$A$10000)))*1,[2]OUT_FinalEnergyCons!I$4:I$10000)</f>
        <v>8.1001174928738493E-6</v>
      </c>
      <c r="L2278" s="1" cm="1">
        <f t="array" ref="L2278">SUMPRODUCT(([2]OUT_FinalEnergyCons!$B$4:$B$10000="var_ncap")*1,  (ISNUMBER(SEARCH("ITOT-SWHHFOBR",[2]OUT_FinalEnergyCons!$A$4:$A$10000)))*1,[2]OUT_FinalEnergyCons!J$4:J$10000)</f>
        <v>1.35083834462826E-6</v>
      </c>
      <c r="N2278" s="1"/>
    </row>
    <row r="2279" spans="2:14" x14ac:dyDescent="0.35">
      <c r="B2279" s="5" t="str">
        <f t="shared" si="2156"/>
        <v>SPS1</v>
      </c>
      <c r="C2279" s="5" t="str">
        <f t="shared" si="2157"/>
        <v>CH</v>
      </c>
      <c r="D2279" t="s">
        <v>2413</v>
      </c>
      <c r="E2279" t="str">
        <f t="shared" si="2158"/>
        <v>GWth/yr.</v>
      </c>
      <c r="F2279" s="18">
        <f t="shared" ref="F2279:K2279" si="2167">SUM(F2280:F2281)</f>
        <v>0</v>
      </c>
      <c r="G2279" s="18">
        <f t="shared" si="2167"/>
        <v>1.3530577279506371E-4</v>
      </c>
      <c r="H2279" s="18">
        <f t="shared" si="2167"/>
        <v>6.3725868146422178E-4</v>
      </c>
      <c r="I2279" s="18">
        <f t="shared" si="2167"/>
        <v>4.3118620482005886E-5</v>
      </c>
      <c r="J2279" s="18">
        <f t="shared" si="2167"/>
        <v>0.14725949616470829</v>
      </c>
      <c r="K2279" s="18">
        <f t="shared" si="2167"/>
        <v>5.9991025388587117E-2</v>
      </c>
      <c r="L2279" s="18">
        <f t="shared" ref="L2279" si="2168">SUM(L2280:L2281)</f>
        <v>2.060888310049332E-3</v>
      </c>
      <c r="N2279" s="1"/>
    </row>
    <row r="2280" spans="2:14" x14ac:dyDescent="0.35">
      <c r="B2280" s="5" t="str">
        <f t="shared" si="2156"/>
        <v>SPS1</v>
      </c>
      <c r="C2280" s="5" t="str">
        <f t="shared" si="2157"/>
        <v>CH</v>
      </c>
      <c r="D2280" t="s">
        <v>2414</v>
      </c>
      <c r="E2280" t="str">
        <f t="shared" si="2158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5.4967396519694003E-5</v>
      </c>
      <c r="H2280" s="1" cm="1">
        <f t="array" ref="H2280">SUMPRODUCT(([1]OUT_FinalEnergyCons!$B$4:$B$10000="var_ncap")*1,  (ISNUMBER(SEARCH("ITOT-SWHNGA*BR",[1]OUT_FinalEnergyCons!$A$4:$A$10000)))*1,[1]OUT_FinalEnergyCons!F$4:F$10000)</f>
        <v>9.1410532516734803E-5</v>
      </c>
      <c r="I2280" s="1" cm="1">
        <f t="array" ref="I2280">SUMPRODUCT(([1]OUT_FinalEnergyCons!$B$4:$B$10000="var_ncap")*1,  (ISNUMBER(SEARCH("ITOT-SWHNGA*BR",[1]OUT_FinalEnergyCons!$A$4:$A$10000)))*1,[1]OUT_FinalEnergyCons!G$4:G$10000)</f>
        <v>3.8144516044905497E-5</v>
      </c>
      <c r="J2280" s="1" cm="1">
        <f t="array" ref="J2280">SUMPRODUCT(([2]OUT_FinalEnergyCons!$B$4:$B$10000="var_ncap")*1,  (ISNUMBER(SEARCH("ITOT-SWHNGA*BR",[2]OUT_FinalEnergyCons!$A$4:$A$10000)))*1,[2]OUT_FinalEnergyCons!H$4:H$10000)</f>
        <v>0.147169609295729</v>
      </c>
      <c r="K2280" s="1" cm="1">
        <f t="array" ref="K2280">SUMPRODUCT(([2]OUT_FinalEnergyCons!$B$4:$B$10000="var_ncap")*1,  (ISNUMBER(SEARCH("ITOT-SWHNGA*BR",[2]OUT_FinalEnergyCons!$A$4:$A$10000)))*1,[2]OUT_FinalEnergyCons!I$4:I$10000)</f>
        <v>5.9942241677564199E-2</v>
      </c>
      <c r="L2280" s="1" cm="1">
        <f t="array" ref="L2280">SUMPRODUCT(([2]OUT_FinalEnergyCons!$B$4:$B$10000="var_ncap")*1,  (ISNUMBER(SEARCH("ITOT-SWHNGA*BR",[2]OUT_FinalEnergyCons!$A$4:$A$10000)))*1,[2]OUT_FinalEnergyCons!J$4:J$10000)</f>
        <v>1.55639613876926E-3</v>
      </c>
      <c r="N2280" s="1"/>
    </row>
    <row r="2281" spans="2:14" x14ac:dyDescent="0.35">
      <c r="B2281" s="5" t="str">
        <f t="shared" si="2156"/>
        <v>SPS1</v>
      </c>
      <c r="C2281" s="5" t="str">
        <f t="shared" si="2157"/>
        <v>CH</v>
      </c>
      <c r="D2281" t="s">
        <v>2415</v>
      </c>
      <c r="E2281" t="str">
        <f t="shared" si="2158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8.0338376275369697E-5</v>
      </c>
      <c r="H2281" s="1" cm="1">
        <f t="array" ref="H2281">SUMPRODUCT(([1]OUT_FinalEnergyCons!$B$4:$B$10000="var_ncap")*1,  (ISNUMBER(SEARCH("ITOT-SWHNGAHP",[1]OUT_FinalEnergyCons!$A$4:$A$10000)))*1,[1]OUT_FinalEnergyCons!F$4:F$10000)</f>
        <v>5.4584814894748698E-4</v>
      </c>
      <c r="I2281" s="1" cm="1">
        <f t="array" ref="I2281">SUMPRODUCT(([1]OUT_FinalEnergyCons!$B$4:$B$10000="var_ncap")*1,  (ISNUMBER(SEARCH("ITOT-SWHNGAHP",[1]OUT_FinalEnergyCons!$A$4:$A$10000)))*1,[1]OUT_FinalEnergyCons!G$4:G$10000)</f>
        <v>4.9741044371003898E-6</v>
      </c>
      <c r="J2281" s="1" cm="1">
        <f t="array" ref="J2281">SUMPRODUCT(([2]OUT_FinalEnergyCons!$B$4:$B$10000="var_ncap")*1,  (ISNUMBER(SEARCH("ITOT-SWHNGAHP",[2]OUT_FinalEnergyCons!$A$4:$A$10000)))*1,[2]OUT_FinalEnergyCons!H$4:H$10000)</f>
        <v>8.9886868979298606E-5</v>
      </c>
      <c r="K2281" s="1" cm="1">
        <f t="array" ref="K2281">SUMPRODUCT(([2]OUT_FinalEnergyCons!$B$4:$B$10000="var_ncap")*1,  (ISNUMBER(SEARCH("ITOT-SWHNGAHP",[2]OUT_FinalEnergyCons!$A$4:$A$10000)))*1,[2]OUT_FinalEnergyCons!I$4:I$10000)</f>
        <v>4.8783711022916898E-5</v>
      </c>
      <c r="L2281" s="1" cm="1">
        <f t="array" ref="L2281">SUMPRODUCT(([2]OUT_FinalEnergyCons!$B$4:$B$10000="var_ncap")*1,  (ISNUMBER(SEARCH("ITOT-SWHNGAHP",[2]OUT_FinalEnergyCons!$A$4:$A$10000)))*1,[2]OUT_FinalEnergyCons!J$4:J$10000)</f>
        <v>5.0449217128007199E-4</v>
      </c>
      <c r="N2281" s="1"/>
    </row>
    <row r="2282" spans="2:14" x14ac:dyDescent="0.35">
      <c r="B2282" s="5" t="str">
        <f t="shared" si="2156"/>
        <v>SPS1</v>
      </c>
      <c r="C2282" s="5" t="str">
        <f t="shared" si="2157"/>
        <v>CH</v>
      </c>
      <c r="D2282" t="s">
        <v>2416</v>
      </c>
      <c r="E2282" t="str">
        <f t="shared" si="2158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1.5976592288144801E-2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2.68600453448447E-2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1.05925217381086E-4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2.87347422759613E-2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9.7273563165220803E-2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5.2427063268943898E-2</v>
      </c>
      <c r="N2282" s="1"/>
    </row>
    <row r="2283" spans="2:14" x14ac:dyDescent="0.35">
      <c r="B2283" s="5" t="str">
        <f t="shared" si="2156"/>
        <v>SPS1</v>
      </c>
      <c r="C2283" s="5" t="str">
        <f t="shared" si="2157"/>
        <v>CH</v>
      </c>
      <c r="D2283" t="s">
        <v>2417</v>
      </c>
      <c r="E2283" t="str">
        <f t="shared" si="2158"/>
        <v>GWth/yr.</v>
      </c>
      <c r="F2283" s="1">
        <f t="shared" ref="F2283:L2283" si="2169">F2284</f>
        <v>0</v>
      </c>
      <c r="G2283" s="1">
        <f t="shared" si="2169"/>
        <v>1.42592357857725E-5</v>
      </c>
      <c r="H2283" s="1">
        <f t="shared" si="2169"/>
        <v>1.3495378759131599E-5</v>
      </c>
      <c r="I2283" s="1">
        <f t="shared" si="2169"/>
        <v>1.1602172271724801E-5</v>
      </c>
      <c r="J2283" s="1">
        <f t="shared" si="2169"/>
        <v>5.3717158742069702E-5</v>
      </c>
      <c r="K2283" s="1">
        <f t="shared" si="2169"/>
        <v>3.6105961288268E-6</v>
      </c>
      <c r="L2283" s="1">
        <f t="shared" si="2169"/>
        <v>3.2668456948332897E-5</v>
      </c>
      <c r="N2283" s="1"/>
    </row>
    <row r="2284" spans="2:14" x14ac:dyDescent="0.35">
      <c r="B2284" s="5" t="str">
        <f t="shared" si="2156"/>
        <v>SPS1</v>
      </c>
      <c r="C2284" s="5" t="str">
        <f t="shared" si="2157"/>
        <v>CH</v>
      </c>
      <c r="D2284" t="s">
        <v>2418</v>
      </c>
      <c r="E2284" t="str">
        <f t="shared" si="2158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1.42592357857725E-5</v>
      </c>
      <c r="H2284" s="1" cm="1">
        <f t="array" ref="H2284">SUMPRODUCT(([1]OUT_FinalEnergyCons!$B$4:$B$10000="var_ncap")*1,  (ISNUMBER(SEARCH("ITOT-SWHCOA*BR",[1]OUT_FinalEnergyCons!$A$4:$A$10000)))*1,[1]OUT_FinalEnergyCons!F$4:F$10000)</f>
        <v>1.3495378759131599E-5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1.1602172271724801E-5</v>
      </c>
      <c r="J2284" s="1" cm="1">
        <f t="array" ref="J2284">SUMPRODUCT(([2]OUT_FinalEnergyCons!$B$4:$B$10000="var_ncap")*1,  (ISNUMBER(SEARCH("ITOT-SWHCOA*BR",[2]OUT_FinalEnergyCons!$A$4:$A$10000)))*1,[2]OUT_FinalEnergyCons!H$4:H$10000)</f>
        <v>5.3717158742069702E-5</v>
      </c>
      <c r="K2284" s="1" cm="1">
        <f t="array" ref="K2284">SUMPRODUCT(([2]OUT_FinalEnergyCons!$B$4:$B$10000="var_ncap")*1,  (ISNUMBER(SEARCH("ITOT-SWHCOA*BR",[2]OUT_FinalEnergyCons!$A$4:$A$10000)))*1,[2]OUT_FinalEnergyCons!I$4:I$10000)</f>
        <v>3.6105961288268E-6</v>
      </c>
      <c r="L2284" s="1" cm="1">
        <f t="array" ref="L2284">SUMPRODUCT(([2]OUT_FinalEnergyCons!$B$4:$B$10000="var_ncap")*1,  (ISNUMBER(SEARCH("ITOT-SWHCOA*BR",[2]OUT_FinalEnergyCons!$A$4:$A$10000)))*1,[2]OUT_FinalEnergyCons!J$4:J$10000)</f>
        <v>3.2668456948332897E-5</v>
      </c>
      <c r="N2284" s="1"/>
    </row>
    <row r="2285" spans="2:14" x14ac:dyDescent="0.35">
      <c r="B2285" s="5" t="str">
        <f t="shared" si="2156"/>
        <v>SPS1</v>
      </c>
      <c r="C2285" s="5" t="str">
        <f t="shared" si="2157"/>
        <v>CH</v>
      </c>
      <c r="D2285" t="s">
        <v>2419</v>
      </c>
      <c r="E2285" t="str">
        <f t="shared" si="2158"/>
        <v>GWth/yr.</v>
      </c>
      <c r="F2285" s="1">
        <f t="shared" ref="F2285:L2285" si="2170">F2286</f>
        <v>0</v>
      </c>
      <c r="G2285" s="1">
        <f t="shared" si="2170"/>
        <v>5.2654075770206699E-2</v>
      </c>
      <c r="H2285" s="1">
        <f t="shared" si="2170"/>
        <v>4.8074174048250903E-5</v>
      </c>
      <c r="I2285" s="1">
        <f t="shared" si="2170"/>
        <v>2.5368062039438899E-5</v>
      </c>
      <c r="J2285" s="1">
        <f t="shared" si="2170"/>
        <v>0.272931838799433</v>
      </c>
      <c r="K2285" s="1">
        <f t="shared" si="2170"/>
        <v>0.14377584708000099</v>
      </c>
      <c r="L2285" s="1">
        <f t="shared" si="2170"/>
        <v>0.26862555203462202</v>
      </c>
      <c r="N2285" s="1"/>
    </row>
    <row r="2286" spans="2:14" x14ac:dyDescent="0.35">
      <c r="B2286" s="5" t="str">
        <f t="shared" si="2156"/>
        <v>SPS1</v>
      </c>
      <c r="C2286" s="5" t="str">
        <f t="shared" si="2157"/>
        <v>CH</v>
      </c>
      <c r="D2286" t="s">
        <v>2420</v>
      </c>
      <c r="E2286" t="str">
        <f t="shared" si="2158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5.2654075770206699E-2</v>
      </c>
      <c r="H2286" s="1" cm="1">
        <f t="array" ref="H2286">SUMPRODUCT(([1]OUT_FinalEnergyCons!$B$4:$B$10000="var_ncap")*1,  (ISNUMBER(SEARCH("ITOT-SWHWOD*BR",[1]OUT_FinalEnergyCons!$A$4:$A$10000)))*1,[1]OUT_FinalEnergyCons!F$4:F$10000)</f>
        <v>4.8074174048250903E-5</v>
      </c>
      <c r="I2286" s="1" cm="1">
        <f t="array" ref="I2286">SUMPRODUCT(([1]OUT_FinalEnergyCons!$B$4:$B$10000="var_ncap")*1,  (ISNUMBER(SEARCH("ITOT-SWHWOD*BR",[1]OUT_FinalEnergyCons!$A$4:$A$10000)))*1,[1]OUT_FinalEnergyCons!G$4:G$10000)</f>
        <v>2.5368062039438899E-5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0.272931838799433</v>
      </c>
      <c r="K2286" s="1" cm="1">
        <f t="array" ref="K2286">SUMPRODUCT(([2]OUT_FinalEnergyCons!$B$4:$B$10000="var_ncap")*1,  (ISNUMBER(SEARCH("ITOT-SWHWOD*BR",[2]OUT_FinalEnergyCons!$A$4:$A$10000)))*1,[2]OUT_FinalEnergyCons!I$4:I$10000)</f>
        <v>0.14377584708000099</v>
      </c>
      <c r="L2286" s="1" cm="1">
        <f t="array" ref="L2286">SUMPRODUCT(([2]OUT_FinalEnergyCons!$B$4:$B$10000="var_ncap")*1,  (ISNUMBER(SEARCH("ITOT-SWHWOD*BR",[2]OUT_FinalEnergyCons!$A$4:$A$10000)))*1,[2]OUT_FinalEnergyCons!J$4:J$10000)</f>
        <v>0.26862555203462202</v>
      </c>
      <c r="N2286" s="1"/>
    </row>
    <row r="2287" spans="2:14" x14ac:dyDescent="0.35">
      <c r="B2287" s="5" t="str">
        <f t="shared" si="2156"/>
        <v>SPS1</v>
      </c>
      <c r="C2287" s="5" t="str">
        <f t="shared" si="2157"/>
        <v>CH</v>
      </c>
      <c r="D2287" t="s">
        <v>2421</v>
      </c>
      <c r="E2287" t="str">
        <f t="shared" si="2158"/>
        <v>GWth/yr.</v>
      </c>
      <c r="F2287" s="1">
        <f t="shared" ref="F2287:L2287" si="2171">F2288</f>
        <v>0</v>
      </c>
      <c r="G2287" s="1">
        <f t="shared" si="2171"/>
        <v>8.1800199808040302E-3</v>
      </c>
      <c r="H2287" s="1">
        <f t="shared" si="2171"/>
        <v>5.3469323997206701E-5</v>
      </c>
      <c r="I2287" s="1">
        <f t="shared" si="2171"/>
        <v>1.7970751817863101E-5</v>
      </c>
      <c r="J2287" s="1">
        <f t="shared" si="2171"/>
        <v>1.9512266734332599E-2</v>
      </c>
      <c r="K2287" s="1">
        <f t="shared" si="2171"/>
        <v>1.8065771388010701E-2</v>
      </c>
      <c r="L2287" s="1">
        <f t="shared" si="2171"/>
        <v>1.2079221522988799E-2</v>
      </c>
      <c r="N2287" s="1"/>
    </row>
    <row r="2288" spans="2:14" x14ac:dyDescent="0.35">
      <c r="B2288" s="5" t="str">
        <f t="shared" si="2156"/>
        <v>SPS1</v>
      </c>
      <c r="C2288" s="5" t="str">
        <f t="shared" si="2157"/>
        <v>CH</v>
      </c>
      <c r="D2288" t="s">
        <v>2422</v>
      </c>
      <c r="E2288" t="str">
        <f t="shared" si="2158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8.1800199808040302E-3</v>
      </c>
      <c r="H2288" s="1" cm="1">
        <f t="array" ref="H2288">SUMPRODUCT(([1]OUT_FinalEnergyCons!$B$4:$B$10000="var_ncap")*1,  (ISNUMBER(SEARCH("ITOT-SWHPLT*BR",[1]OUT_FinalEnergyCons!$A$4:$A$10000)))*1,[1]OUT_FinalEnergyCons!F$4:F$10000)</f>
        <v>5.3469323997206701E-5</v>
      </c>
      <c r="I2288" s="1" cm="1">
        <f t="array" ref="I2288">SUMPRODUCT(([1]OUT_FinalEnergyCons!$B$4:$B$10000="var_ncap")*1,  (ISNUMBER(SEARCH("ITOT-SWHPLT*BR",[1]OUT_FinalEnergyCons!$A$4:$A$10000)))*1,[1]OUT_FinalEnergyCons!G$4:G$10000)</f>
        <v>1.7970751817863101E-5</v>
      </c>
      <c r="J2288" s="1" cm="1">
        <f t="array" ref="J2288">SUMPRODUCT(([2]OUT_FinalEnergyCons!$B$4:$B$10000="var_ncap")*1,  (ISNUMBER(SEARCH("ITOT-SWHPLT*BR",[2]OUT_FinalEnergyCons!$A$4:$A$10000)))*1,[2]OUT_FinalEnergyCons!H$4:H$10000)</f>
        <v>1.9512266734332599E-2</v>
      </c>
      <c r="K2288" s="1" cm="1">
        <f t="array" ref="K2288">SUMPRODUCT(([2]OUT_FinalEnergyCons!$B$4:$B$10000="var_ncap")*1,  (ISNUMBER(SEARCH("ITOT-SWHPLT*BR",[2]OUT_FinalEnergyCons!$A$4:$A$10000)))*1,[2]OUT_FinalEnergyCons!I$4:I$10000)</f>
        <v>1.8065771388010701E-2</v>
      </c>
      <c r="L2288" s="1" cm="1">
        <f t="array" ref="L2288">SUMPRODUCT(([2]OUT_FinalEnergyCons!$B$4:$B$10000="var_ncap")*1,  (ISNUMBER(SEARCH("ITOT-SWHPLT*BR",[2]OUT_FinalEnergyCons!$A$4:$A$10000)))*1,[2]OUT_FinalEnergyCons!J$4:J$10000)</f>
        <v>1.2079221522988799E-2</v>
      </c>
      <c r="N2288" s="1"/>
    </row>
    <row r="2289" spans="2:14" x14ac:dyDescent="0.35">
      <c r="B2289" s="5" t="str">
        <f t="shared" si="2156"/>
        <v>SPS1</v>
      </c>
      <c r="C2289" s="5" t="str">
        <f t="shared" si="2157"/>
        <v>CH</v>
      </c>
      <c r="D2289" t="s">
        <v>2423</v>
      </c>
      <c r="E2289" t="str">
        <f t="shared" si="2158"/>
        <v>GWth/yr.</v>
      </c>
      <c r="F2289" s="1">
        <f t="shared" ref="F2289:L2289" si="2172">F2290</f>
        <v>0</v>
      </c>
      <c r="G2289" s="1">
        <f t="shared" si="2172"/>
        <v>1.93677519744774E-5</v>
      </c>
      <c r="H2289" s="1">
        <f t="shared" si="2172"/>
        <v>5.4754971392016098E-5</v>
      </c>
      <c r="I2289" s="1">
        <f t="shared" si="2172"/>
        <v>4.4429388593344397E-5</v>
      </c>
      <c r="J2289" s="1">
        <f t="shared" si="2172"/>
        <v>0.23859288250702401</v>
      </c>
      <c r="K2289" s="1">
        <f t="shared" si="2172"/>
        <v>0.112538115651469</v>
      </c>
      <c r="L2289" s="1">
        <f t="shared" si="2172"/>
        <v>2.5239487262857799E-2</v>
      </c>
      <c r="N2289" s="1"/>
    </row>
    <row r="2290" spans="2:14" x14ac:dyDescent="0.35">
      <c r="B2290" s="5" t="str">
        <f t="shared" si="2156"/>
        <v>SPS1</v>
      </c>
      <c r="C2290" s="5" t="str">
        <f t="shared" si="2157"/>
        <v>CH</v>
      </c>
      <c r="D2290" t="s">
        <v>2424</v>
      </c>
      <c r="E2290" t="str">
        <f t="shared" si="2158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1.93677519744774E-5</v>
      </c>
      <c r="H2290" s="1" cm="1">
        <f t="array" ref="H2290">SUMPRODUCT(([1]OUT_FinalEnergyCons!$B$4:$B$10000="var_ncap")*1,  (ISNUMBER(SEARCH("ITOT-SWHWST*BR",[1]OUT_FinalEnergyCons!$A$4:$A$10000)))*1,[1]OUT_FinalEnergyCons!F$4:F$10000)</f>
        <v>5.4754971392016098E-5</v>
      </c>
      <c r="I2290" s="1" cm="1">
        <f t="array" ref="I2290">SUMPRODUCT(([1]OUT_FinalEnergyCons!$B$4:$B$10000="var_ncap")*1,  (ISNUMBER(SEARCH("ITOT-SWHWST*BR",[1]OUT_FinalEnergyCons!$A$4:$A$10000)))*1,[1]OUT_FinalEnergyCons!G$4:G$10000)</f>
        <v>4.4429388593344397E-5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0.23859288250702401</v>
      </c>
      <c r="K2290" s="1" cm="1">
        <f t="array" ref="K2290">SUMPRODUCT(([2]OUT_FinalEnergyCons!$B$4:$B$10000="var_ncap")*1,  (ISNUMBER(SEARCH("ITOT-SWHWST*BR",[2]OUT_FinalEnergyCons!$A$4:$A$10000)))*1,[2]OUT_FinalEnergyCons!I$4:I$10000)</f>
        <v>0.112538115651469</v>
      </c>
      <c r="L2290" s="1" cm="1">
        <f t="array" ref="L2290">SUMPRODUCT(([2]OUT_FinalEnergyCons!$B$4:$B$10000="var_ncap")*1,  (ISNUMBER(SEARCH("ITOT-SWHWST*BR",[2]OUT_FinalEnergyCons!$A$4:$A$10000)))*1,[2]OUT_FinalEnergyCons!J$4:J$10000)</f>
        <v>2.5239487262857799E-2</v>
      </c>
      <c r="N2290" s="1"/>
    </row>
    <row r="2291" spans="2:14" x14ac:dyDescent="0.35">
      <c r="B2291" s="5" t="str">
        <f t="shared" si="2156"/>
        <v>SPS1</v>
      </c>
      <c r="C2291" s="5" t="str">
        <f t="shared" si="2157"/>
        <v>CH</v>
      </c>
      <c r="D2291" t="s">
        <v>2425</v>
      </c>
      <c r="E2291" t="str">
        <f t="shared" si="2158"/>
        <v>GWth/yr.</v>
      </c>
      <c r="F2291" s="1">
        <f t="shared" ref="F2291:L2291" si="2173">F2292</f>
        <v>0</v>
      </c>
      <c r="G2291" s="1">
        <f t="shared" si="2173"/>
        <v>5.5894480300755701E-2</v>
      </c>
      <c r="H2291" s="1">
        <f t="shared" si="2173"/>
        <v>1.42109722401099E-7</v>
      </c>
      <c r="I2291" s="1">
        <f t="shared" si="2173"/>
        <v>1.9703636068248301E-7</v>
      </c>
      <c r="J2291" s="1">
        <f t="shared" si="2173"/>
        <v>1.6323982947781101E-2</v>
      </c>
      <c r="K2291" s="1">
        <f t="shared" si="2173"/>
        <v>1.20557618392351E-2</v>
      </c>
      <c r="L2291" s="1">
        <f t="shared" si="2173"/>
        <v>1.27251622098581E-2</v>
      </c>
      <c r="N2291" s="1"/>
    </row>
    <row r="2292" spans="2:14" x14ac:dyDescent="0.35">
      <c r="B2292" s="5" t="str">
        <f t="shared" si="2156"/>
        <v>SPS1</v>
      </c>
      <c r="C2292" s="5" t="str">
        <f t="shared" si="2157"/>
        <v>CH</v>
      </c>
      <c r="D2292" t="s">
        <v>2426</v>
      </c>
      <c r="E2292" t="str">
        <f t="shared" si="2158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5.5894480300755701E-2</v>
      </c>
      <c r="H2292" s="1" cm="1">
        <f t="array" ref="H2292">SUMPRODUCT(([1]OUT_FinalEnergyCons!$B$4:$B$10000="var_ncap")*1, (ISNUMBER(SEARCH("ITOT-SWHSOLBR",[1]OUT_FinalEnergyCons!$A$4:$A$10000)))*1,[1]OUT_FinalEnergyCons!F$4:F$10000)</f>
        <v>1.42109722401099E-7</v>
      </c>
      <c r="I2292" s="1" cm="1">
        <f t="array" ref="I2292">SUMPRODUCT(([1]OUT_FinalEnergyCons!$B$4:$B$10000="var_ncap")*1, (ISNUMBER(SEARCH("ITOT-SWHSOLBR",[1]OUT_FinalEnergyCons!$A$4:$A$10000)))*1,[1]OUT_FinalEnergyCons!G$4:G$10000)</f>
        <v>1.9703636068248301E-7</v>
      </c>
      <c r="J2292" s="1" cm="1">
        <f t="array" ref="J2292">SUMPRODUCT(([2]OUT_FinalEnergyCons!$B$4:$B$10000="var_ncap")*1, (ISNUMBER(SEARCH("ITOT-SWHSOLBR",[2]OUT_FinalEnergyCons!$A$4:$A$10000)))*1,[2]OUT_FinalEnergyCons!H$4:H$10000)</f>
        <v>1.6323982947781101E-2</v>
      </c>
      <c r="K2292" s="1" cm="1">
        <f t="array" ref="K2292">SUMPRODUCT(([2]OUT_FinalEnergyCons!$B$4:$B$10000="var_ncap")*1, (ISNUMBER(SEARCH("ITOT-SWHSOLBR",[2]OUT_FinalEnergyCons!$A$4:$A$10000)))*1,[2]OUT_FinalEnergyCons!I$4:I$10000)</f>
        <v>1.20557618392351E-2</v>
      </c>
      <c r="L2292" s="1" cm="1">
        <f t="array" ref="L2292">SUMPRODUCT(([2]OUT_FinalEnergyCons!$B$4:$B$10000="var_ncap")*1, (ISNUMBER(SEARCH("ITOT-SWHSOLBR",[2]OUT_FinalEnergyCons!$A$4:$A$10000)))*1,[2]OUT_FinalEnergyCons!J$4:J$10000)</f>
        <v>1.27251622098581E-2</v>
      </c>
      <c r="N2292" s="1"/>
    </row>
    <row r="2293" spans="2:14" x14ac:dyDescent="0.35">
      <c r="B2293" s="5" t="str">
        <f t="shared" si="2156"/>
        <v>SPS1</v>
      </c>
      <c r="C2293" s="5" t="str">
        <f t="shared" si="2157"/>
        <v>CH</v>
      </c>
      <c r="D2293" t="s">
        <v>2427</v>
      </c>
      <c r="E2293" t="str">
        <f t="shared" si="2158"/>
        <v>GWth/yr.</v>
      </c>
      <c r="F2293" s="1">
        <f t="shared" ref="F2293:L2293" si="2174">F2294</f>
        <v>0</v>
      </c>
      <c r="G2293" s="1">
        <f t="shared" si="2174"/>
        <v>0</v>
      </c>
      <c r="H2293" s="1">
        <f t="shared" si="2174"/>
        <v>0</v>
      </c>
      <c r="I2293" s="1">
        <f t="shared" si="2174"/>
        <v>0</v>
      </c>
      <c r="J2293" s="1">
        <f t="shared" si="2174"/>
        <v>0.213525740042776</v>
      </c>
      <c r="K2293" s="1">
        <f t="shared" si="2174"/>
        <v>0.35977802144464599</v>
      </c>
      <c r="L2293" s="1">
        <f t="shared" si="2174"/>
        <v>0.21742974200114201</v>
      </c>
      <c r="N2293" s="1"/>
    </row>
    <row r="2294" spans="2:14" x14ac:dyDescent="0.35">
      <c r="B2294" s="5" t="str">
        <f t="shared" si="2156"/>
        <v>SPS1</v>
      </c>
      <c r="C2294" s="5" t="str">
        <f t="shared" si="2157"/>
        <v>CH</v>
      </c>
      <c r="D2294" t="s">
        <v>2428</v>
      </c>
      <c r="E2294" t="str">
        <f t="shared" si="2158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0.213525740042776</v>
      </c>
      <c r="K2294" s="1" cm="1">
        <f t="array" ref="K2294">SUMPRODUCT(([2]OUT_FinalEnergyCons!$B$4:$B$10000="var_ncap")*1, (ISNUMBER(SEARCH("ITOT-SWHH2BR",[2]OUT_FinalEnergyCons!$A$4:$A$10000)))*1,[2]OUT_FinalEnergyCons!I$4:I$10000)</f>
        <v>0.35977802144464599</v>
      </c>
      <c r="L2294" s="1" cm="1">
        <f t="array" ref="L2294">SUMPRODUCT(([2]OUT_FinalEnergyCons!$B$4:$B$10000="var_ncap")*1, (ISNUMBER(SEARCH("ITOT-SWHH2BR",[2]OUT_FinalEnergyCons!$A$4:$A$10000)))*1,[2]OUT_FinalEnergyCons!J$4:J$10000)</f>
        <v>0.21742974200114201</v>
      </c>
      <c r="N2294" s="1"/>
    </row>
    <row r="2295" spans="2:14" x14ac:dyDescent="0.35">
      <c r="B2295" s="9" t="str">
        <f>SPS3_NUC_Low!B1813</f>
        <v>SPS1</v>
      </c>
      <c r="C2295" s="9" t="str">
        <f>SPS3_NUC_Low!C1813</f>
        <v>CH</v>
      </c>
      <c r="D2295" s="2" t="s">
        <v>2429</v>
      </c>
      <c r="E2295" s="9" t="str">
        <f t="shared" si="2158"/>
        <v>GWth/yr.</v>
      </c>
      <c r="F2295" s="17">
        <f t="shared" ref="F2295:K2295" si="2175">SUM(F2296,F2299,F2301,F2305,F2307,F2309,F2311)</f>
        <v>7.3687719175381046E-5</v>
      </c>
      <c r="G2295" s="17">
        <f t="shared" si="2175"/>
        <v>0.1103925931677273</v>
      </c>
      <c r="H2295" s="17">
        <f t="shared" si="2175"/>
        <v>0.24577246012099244</v>
      </c>
      <c r="I2295" s="17">
        <f t="shared" si="2175"/>
        <v>0.74102469287165695</v>
      </c>
      <c r="J2295" s="17">
        <f t="shared" si="2175"/>
        <v>2.4207730479918212</v>
      </c>
      <c r="K2295" s="17">
        <f t="shared" si="2175"/>
        <v>1.7447632946152098</v>
      </c>
      <c r="L2295" s="17">
        <f t="shared" ref="L2295" si="2176">SUM(L2296,L2299,L2301,L2305,L2307,L2309,L2311)</f>
        <v>1.8212936403500368</v>
      </c>
      <c r="N2295" s="1"/>
    </row>
    <row r="2296" spans="2:14" x14ac:dyDescent="0.35">
      <c r="B2296" s="5" t="str">
        <f t="shared" ref="B2296:B2312" si="2177">B2295</f>
        <v>SPS1</v>
      </c>
      <c r="C2296" s="5" t="str">
        <f t="shared" ref="C2296:C2312" si="2178">C2295</f>
        <v>CH</v>
      </c>
      <c r="D2296" t="s">
        <v>2430</v>
      </c>
      <c r="E2296" t="str">
        <f t="shared" si="2158"/>
        <v>GWth/yr.</v>
      </c>
      <c r="F2296" s="1">
        <f t="shared" ref="F2296:K2296" si="2179">SUM(F2297:F2298)</f>
        <v>4.2276438320730419E-6</v>
      </c>
      <c r="G2296" s="1">
        <f t="shared" si="2179"/>
        <v>3.5966019011499393E-6</v>
      </c>
      <c r="H2296" s="1">
        <f t="shared" si="2179"/>
        <v>6.9932527237505954E-2</v>
      </c>
      <c r="I2296" s="1">
        <f t="shared" si="2179"/>
        <v>0.59194479193316352</v>
      </c>
      <c r="J2296" s="1">
        <f t="shared" si="2179"/>
        <v>0.63591612369988726</v>
      </c>
      <c r="K2296" s="1">
        <f t="shared" si="2179"/>
        <v>0.78488447446767073</v>
      </c>
      <c r="L2296" s="1">
        <f t="shared" ref="L2296" si="2180">SUM(L2297:L2298)</f>
        <v>0.92852146067006269</v>
      </c>
      <c r="N2296" s="1"/>
    </row>
    <row r="2297" spans="2:14" x14ac:dyDescent="0.35">
      <c r="B2297" s="5" t="str">
        <f t="shared" si="2177"/>
        <v>SPS1</v>
      </c>
      <c r="C2297" s="5" t="str">
        <f t="shared" si="2178"/>
        <v>CH</v>
      </c>
      <c r="D2297" t="s">
        <v>2431</v>
      </c>
      <c r="E2297" t="str">
        <f t="shared" si="2158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3.8314763043542403E-6</v>
      </c>
      <c r="G2297" s="1" cm="1">
        <f t="array" ref="G2297">SUMPRODUCT(([1]OUT_FinalEnergyCons!$B$4:$B$10000="var_ncap")*1, (ISNUMBER(SEARCH("SCOM-SHELCBR",[1]OUT_FinalEnergyCons!$A$4:$A$10000)))*1,[1]OUT_FinalEnergyCons!E$4:E$10000)</f>
        <v>2.6572734584695502E-6</v>
      </c>
      <c r="H2297" s="1" cm="1">
        <f t="array" ref="H2297">SUMPRODUCT(([1]OUT_FinalEnergyCons!$B$4:$B$10000="var_ncap")*1, (ISNUMBER(SEARCH("SCOM-SHELCBR",[1]OUT_FinalEnergyCons!$A$4:$A$10000)))*1,[1]OUT_FinalEnergyCons!F$4:F$10000)</f>
        <v>2.9268315856413998E-6</v>
      </c>
      <c r="I2297" s="1" cm="1">
        <f t="array" ref="I2297">SUMPRODUCT(([1]OUT_FinalEnergyCons!$B$4:$B$10000="var_ncap")*1, (ISNUMBER(SEARCH("SCOM-SHELCBR",[1]OUT_FinalEnergyCons!$A$4:$A$10000)))*1,[1]OUT_FinalEnergyCons!G$4:G$10000)</f>
        <v>3.3877422744304901E-6</v>
      </c>
      <c r="J2297" s="1" cm="1">
        <f t="array" ref="J2297">SUMPRODUCT(([2]OUT_FinalEnergyCons!$B$4:$B$10000="var_ncap")*1, (ISNUMBER(SEARCH("SCOM-SHELCBR",[2]OUT_FinalEnergyCons!$A$4:$A$10000)))*1,[2]OUT_FinalEnergyCons!H$4:H$10000)</f>
        <v>1.15369040180583E-2</v>
      </c>
      <c r="K2297" s="1" cm="1">
        <f t="array" ref="K2297">SUMPRODUCT(([2]OUT_FinalEnergyCons!$B$4:$B$10000="var_ncap")*1, (ISNUMBER(SEARCH("SCOM-SHELCBR",[2]OUT_FinalEnergyCons!$A$4:$A$10000)))*1,[2]OUT_FinalEnergyCons!I$4:I$10000)</f>
        <v>1.2324189228368801E-2</v>
      </c>
      <c r="L2297" s="1" cm="1">
        <f t="array" ref="L2297">SUMPRODUCT(([2]OUT_FinalEnergyCons!$B$4:$B$10000="var_ncap")*1, (ISNUMBER(SEARCH("SCOM-SHELCBR",[2]OUT_FinalEnergyCons!$A$4:$A$10000)))*1,[2]OUT_FinalEnergyCons!J$4:J$10000)</f>
        <v>2.3624120667761799E-4</v>
      </c>
      <c r="N2297" s="1"/>
    </row>
    <row r="2298" spans="2:14" x14ac:dyDescent="0.35">
      <c r="B2298" s="5" t="str">
        <f t="shared" si="2177"/>
        <v>SPS1</v>
      </c>
      <c r="C2298" s="5" t="str">
        <f t="shared" si="2178"/>
        <v>CH</v>
      </c>
      <c r="D2298" t="s">
        <v>2432</v>
      </c>
      <c r="E2298" t="str">
        <f t="shared" si="2158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3.9616752771880201E-7</v>
      </c>
      <c r="G2298" s="1" cm="1">
        <f t="array" ref="G2298">SUMPRODUCT(([1]OUT_FinalEnergyCons!$B$4:$B$10000="var_ncap")*1, (ISNUMBER(SEARCH("SCOM-SHELCHP",[1]OUT_FinalEnergyCons!$A$4:$A$10000)))*1,[1]OUT_FinalEnergyCons!E$4:E$10000)</f>
        <v>9.3932844268038895E-7</v>
      </c>
      <c r="H2298" s="1" cm="1">
        <f t="array" ref="H2298">SUMPRODUCT(([1]OUT_FinalEnergyCons!$B$4:$B$10000="var_ncap")*1, (ISNUMBER(SEARCH("SCOM-SHELCHP",[1]OUT_FinalEnergyCons!$A$4:$A$10000)))*1,[1]OUT_FinalEnergyCons!F$4:F$10000)</f>
        <v>6.9929600405920306E-2</v>
      </c>
      <c r="I2298" s="1" cm="1">
        <f t="array" ref="I2298">SUMPRODUCT(([1]OUT_FinalEnergyCons!$B$4:$B$10000="var_ncap")*1, (ISNUMBER(SEARCH("SCOM-SHELCHP",[1]OUT_FinalEnergyCons!$A$4:$A$10000)))*1,[1]OUT_FinalEnergyCons!G$4:G$10000)</f>
        <v>0.59194140419088903</v>
      </c>
      <c r="J2298" s="1" cm="1">
        <f t="array" ref="J2298">SUMPRODUCT(([2]OUT_FinalEnergyCons!$B$4:$B$10000="var_ncap")*1, (ISNUMBER(SEARCH("SCOM-SHELCHP",[2]OUT_FinalEnergyCons!$A$4:$A$10000)))*1,[2]OUT_FinalEnergyCons!H$4:H$10000)</f>
        <v>0.62437921968182897</v>
      </c>
      <c r="K2298" s="1" cm="1">
        <f t="array" ref="K2298">SUMPRODUCT(([2]OUT_FinalEnergyCons!$B$4:$B$10000="var_ncap")*1, (ISNUMBER(SEARCH("SCOM-SHELCHP",[2]OUT_FinalEnergyCons!$A$4:$A$10000)))*1,[2]OUT_FinalEnergyCons!I$4:I$10000)</f>
        <v>0.77256028523930198</v>
      </c>
      <c r="L2298" s="1" cm="1">
        <f t="array" ref="L2298">SUMPRODUCT(([2]OUT_FinalEnergyCons!$B$4:$B$10000="var_ncap")*1, (ISNUMBER(SEARCH("SCOM-SHELCHP",[2]OUT_FinalEnergyCons!$A$4:$A$10000)))*1,[2]OUT_FinalEnergyCons!J$4:J$10000)</f>
        <v>0.92828521946338505</v>
      </c>
      <c r="N2298" s="1"/>
    </row>
    <row r="2299" spans="2:14" x14ac:dyDescent="0.35">
      <c r="B2299" s="5" t="str">
        <f t="shared" si="2177"/>
        <v>SPS1</v>
      </c>
      <c r="C2299" s="5" t="str">
        <f t="shared" si="2178"/>
        <v>CH</v>
      </c>
      <c r="D2299" t="s">
        <v>2433</v>
      </c>
      <c r="E2299" t="str">
        <f t="shared" si="2158"/>
        <v>GWth/yr.</v>
      </c>
      <c r="F2299" s="1">
        <f t="shared" ref="F2299:L2299" si="2181">F2300</f>
        <v>2.32413958126165E-6</v>
      </c>
      <c r="G2299" s="1">
        <f t="shared" si="2181"/>
        <v>1.62985990115554E-6</v>
      </c>
      <c r="H2299" s="1">
        <f t="shared" si="2181"/>
        <v>1.52209550494033E-6</v>
      </c>
      <c r="I2299" s="1">
        <f t="shared" si="2181"/>
        <v>1.86076836266184E-6</v>
      </c>
      <c r="J2299" s="1">
        <f t="shared" si="2181"/>
        <v>0.18856866563107699</v>
      </c>
      <c r="K2299" s="1">
        <f t="shared" si="2181"/>
        <v>7.6244269790178596E-6</v>
      </c>
      <c r="L2299" s="1">
        <f t="shared" si="2181"/>
        <v>4.2704927595564303E-7</v>
      </c>
      <c r="N2299" s="1"/>
    </row>
    <row r="2300" spans="2:14" x14ac:dyDescent="0.35">
      <c r="B2300" s="5" t="str">
        <f t="shared" si="2177"/>
        <v>SPS1</v>
      </c>
      <c r="C2300" s="5" t="str">
        <f t="shared" si="2178"/>
        <v>CH</v>
      </c>
      <c r="D2300" t="s">
        <v>2434</v>
      </c>
      <c r="E2300" t="str">
        <f t="shared" ref="E2300:E2312" si="2182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2.32413958126165E-6</v>
      </c>
      <c r="G2300" s="1" cm="1">
        <f t="array" ref="G2300">SUMPRODUCT(([1]OUT_FinalEnergyCons!$B$4:$B$10000="var_ncap")*1,(ISNUMBER(SEARCH("SCOM-SHLFOBR",[1]OUT_FinalEnergyCons!$A$4:$A$10000)))*1,[1]OUT_FinalEnergyCons!E$4:E$10000)</f>
        <v>1.62985990115554E-6</v>
      </c>
      <c r="H2300" s="1" cm="1">
        <f t="array" ref="H2300">SUMPRODUCT(([1]OUT_FinalEnergyCons!$B$4:$B$10000="var_ncap")*1,(ISNUMBER(SEARCH("SCOM-SHLFOBR",[1]OUT_FinalEnergyCons!$A$4:$A$10000)))*1,[1]OUT_FinalEnergyCons!F$4:F$10000)</f>
        <v>1.52209550494033E-6</v>
      </c>
      <c r="I2300" s="1" cm="1">
        <f t="array" ref="I2300">SUMPRODUCT(([1]OUT_FinalEnergyCons!$B$4:$B$10000="var_ncap")*1,(ISNUMBER(SEARCH("SCOM-SHLFOBR",[1]OUT_FinalEnergyCons!$A$4:$A$10000)))*1,[1]OUT_FinalEnergyCons!G$4:G$10000)</f>
        <v>1.86076836266184E-6</v>
      </c>
      <c r="J2300" s="1" cm="1">
        <f t="array" ref="J2300">SUMPRODUCT(([2]OUT_FinalEnergyCons!$B$4:$B$10000="var_ncap")*1,(ISNUMBER(SEARCH("SCOM-SHLFOBR",[2]OUT_FinalEnergyCons!$A$4:$A$10000)))*1,[2]OUT_FinalEnergyCons!H$4:H$10000)</f>
        <v>0.18856866563107699</v>
      </c>
      <c r="K2300" s="1" cm="1">
        <f t="array" ref="K2300">SUMPRODUCT(([2]OUT_FinalEnergyCons!$B$4:$B$10000="var_ncap")*1,(ISNUMBER(SEARCH("SCOM-SHLFOBR",[2]OUT_FinalEnergyCons!$A$4:$A$10000)))*1,[2]OUT_FinalEnergyCons!I$4:I$10000)</f>
        <v>7.6244269790178596E-6</v>
      </c>
      <c r="L2300" s="1" cm="1">
        <f t="array" ref="L2300">SUMPRODUCT(([2]OUT_FinalEnergyCons!$B$4:$B$10000="var_ncap")*1,(ISNUMBER(SEARCH("SCOM-SHLFOBR",[2]OUT_FinalEnergyCons!$A$4:$A$10000)))*1,[2]OUT_FinalEnergyCons!J$4:J$10000)</f>
        <v>4.2704927595564303E-7</v>
      </c>
      <c r="N2300" s="1"/>
    </row>
    <row r="2301" spans="2:14" x14ac:dyDescent="0.35">
      <c r="B2301" s="5" t="str">
        <f t="shared" si="2177"/>
        <v>SPS1</v>
      </c>
      <c r="C2301" s="5" t="str">
        <f t="shared" si="2178"/>
        <v>CH</v>
      </c>
      <c r="D2301" t="s">
        <v>2435</v>
      </c>
      <c r="E2301" t="str">
        <f t="shared" si="2182"/>
        <v>GWth/yr.</v>
      </c>
      <c r="F2301" s="1">
        <f t="shared" ref="F2301:K2301" si="2183">SUM(F2302:F2304)</f>
        <v>2.3297496233326951E-6</v>
      </c>
      <c r="G2301" s="1">
        <f t="shared" si="2183"/>
        <v>1.0695073032803771E-4</v>
      </c>
      <c r="H2301" s="1">
        <f t="shared" si="2183"/>
        <v>0.17583262600420232</v>
      </c>
      <c r="I2301" s="1">
        <f t="shared" si="2183"/>
        <v>0.13040385289045681</v>
      </c>
      <c r="J2301" s="1">
        <f t="shared" si="2183"/>
        <v>0.33560998967215044</v>
      </c>
      <c r="K2301" s="1">
        <f t="shared" si="2183"/>
        <v>0.26349005928911384</v>
      </c>
      <c r="L2301" s="1">
        <f t="shared" ref="L2301" si="2184">SUM(L2302:L2304)</f>
        <v>0.17662751229874543</v>
      </c>
      <c r="N2301" s="1"/>
    </row>
    <row r="2302" spans="2:14" x14ac:dyDescent="0.35">
      <c r="B2302" s="5" t="str">
        <f t="shared" si="2177"/>
        <v>SPS1</v>
      </c>
      <c r="C2302" s="5" t="str">
        <f t="shared" si="2178"/>
        <v>CH</v>
      </c>
      <c r="D2302" t="s">
        <v>2436</v>
      </c>
      <c r="E2302" t="str">
        <f t="shared" si="2182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3.1617264601462198E-7</v>
      </c>
      <c r="G2302" s="1" cm="1">
        <f t="array" ref="G2302">SUMPRODUCT(([1]OUT_FinalEnergyCons!$B$4:$B$10000="var_ncap")*1, (ISNUMBER(SEARCH("SCOM-SHNGABR",[1]OUT_FinalEnergyCons!$A$4:$A$10000)))*1,[1]OUT_FinalEnergyCons!E$4:E$10000)</f>
        <v>1.77704191481172E-6</v>
      </c>
      <c r="H2302" s="1" cm="1">
        <f t="array" ref="H2302">SUMPRODUCT(([1]OUT_FinalEnergyCons!$B$4:$B$10000="var_ncap")*1, (ISNUMBER(SEARCH("SCOM-SHNGABR",[1]OUT_FinalEnergyCons!$A$4:$A$10000)))*1,[1]OUT_FinalEnergyCons!F$4:F$10000)</f>
        <v>1.8831879861825799E-6</v>
      </c>
      <c r="I2302" s="1" cm="1">
        <f t="array" ref="I2302">SUMPRODUCT(([1]OUT_FinalEnergyCons!$B$4:$B$10000="var_ncap")*1, (ISNUMBER(SEARCH("SCOM-SHNGABR",[1]OUT_FinalEnergyCons!$A$4:$A$10000)))*1,[1]OUT_FinalEnergyCons!G$4:G$10000)</f>
        <v>2.4525097866152199E-6</v>
      </c>
      <c r="J2302" s="1" cm="1">
        <f t="array" ref="J2302">SUMPRODUCT(([2]OUT_FinalEnergyCons!$B$4:$B$10000="var_ncap")*1, (ISNUMBER(SEARCH("SCOM-SHNGABR",[2]OUT_FinalEnergyCons!$A$4:$A$10000)))*1,[2]OUT_FinalEnergyCons!H$4:H$10000)</f>
        <v>0.26280919325074997</v>
      </c>
      <c r="K2302" s="1" cm="1">
        <f t="array" ref="K2302">SUMPRODUCT(([2]OUT_FinalEnergyCons!$B$4:$B$10000="var_ncap")*1, (ISNUMBER(SEARCH("SCOM-SHNGABR",[2]OUT_FinalEnergyCons!$A$4:$A$10000)))*1,[2]OUT_FinalEnergyCons!I$4:I$10000)</f>
        <v>1.7002073452468701E-5</v>
      </c>
      <c r="L2302" s="1" cm="1">
        <f t="array" ref="L2302">SUMPRODUCT(([2]OUT_FinalEnergyCons!$B$4:$B$10000="var_ncap")*1, (ISNUMBER(SEARCH("SCOM-SHNGABR",[2]OUT_FinalEnergyCons!$A$4:$A$10000)))*1,[2]OUT_FinalEnergyCons!J$4:J$10000)</f>
        <v>2.6223100949048398E-6</v>
      </c>
      <c r="N2302" s="1"/>
    </row>
    <row r="2303" spans="2:14" x14ac:dyDescent="0.35">
      <c r="B2303" s="5" t="str">
        <f t="shared" si="2177"/>
        <v>SPS1</v>
      </c>
      <c r="C2303" s="5" t="str">
        <f t="shared" si="2178"/>
        <v>CH</v>
      </c>
      <c r="D2303" t="s">
        <v>2437</v>
      </c>
      <c r="E2303" t="str">
        <f t="shared" si="2182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8.4581462926904301E-7</v>
      </c>
      <c r="G2303" s="1" cm="1">
        <f t="array" ref="G2303">SUMPRODUCT(([1]OUT_FinalEnergyCons!$B$4:$B$10000="var_ncap")*1, (ISNUMBER(SEARCH("SCOM-SHngahp",[1]OUT_FinalEnergyCons!$A$4:$A$10000)))*1,[1]OUT_FinalEnergyCons!E$4:E$10000)</f>
        <v>9.3020942927322296E-5</v>
      </c>
      <c r="H2303" s="1" cm="1">
        <f t="array" ref="H2303">SUMPRODUCT(([1]OUT_FinalEnergyCons!$B$4:$B$10000="var_ncap")*1, (ISNUMBER(SEARCH("SCOM-SHngahp",[1]OUT_FinalEnergyCons!$A$4:$A$10000)))*1,[1]OUT_FinalEnergyCons!F$4:F$10000)</f>
        <v>0.17582970091314401</v>
      </c>
      <c r="I2303" s="1" cm="1">
        <f t="array" ref="I2303">SUMPRODUCT(([1]OUT_FinalEnergyCons!$B$4:$B$10000="var_ncap")*1, (ISNUMBER(SEARCH("SCOM-SHngahp",[1]OUT_FinalEnergyCons!$A$4:$A$10000)))*1,[1]OUT_FinalEnergyCons!G$4:G$10000)</f>
        <v>0.13039956952555301</v>
      </c>
      <c r="J2303" s="1" cm="1">
        <f t="array" ref="J2303">SUMPRODUCT(([2]OUT_FinalEnergyCons!$B$4:$B$10000="var_ncap")*1, (ISNUMBER(SEARCH("SCOM-SHngahp",[2]OUT_FinalEnergyCons!$A$4:$A$10000)))*1,[2]OUT_FinalEnergyCons!H$4:H$10000)</f>
        <v>7.2739909696096505E-2</v>
      </c>
      <c r="K2303" s="1" cm="1">
        <f t="array" ref="K2303">SUMPRODUCT(([2]OUT_FinalEnergyCons!$B$4:$B$10000="var_ncap")*1, (ISNUMBER(SEARCH("SCOM-SHngahp",[2]OUT_FinalEnergyCons!$A$4:$A$10000)))*1,[2]OUT_FinalEnergyCons!I$4:I$10000)</f>
        <v>0.263403500528962</v>
      </c>
      <c r="L2303" s="1" cm="1">
        <f t="array" ref="L2303">SUMPRODUCT(([2]OUT_FinalEnergyCons!$B$4:$B$10000="var_ncap")*1, (ISNUMBER(SEARCH("SCOM-SHngahp",[2]OUT_FinalEnergyCons!$A$4:$A$10000)))*1,[2]OUT_FinalEnergyCons!J$4:J$10000)</f>
        <v>0.17659150345473201</v>
      </c>
      <c r="N2303" s="1"/>
    </row>
    <row r="2304" spans="2:14" x14ac:dyDescent="0.35">
      <c r="B2304" s="5" t="str">
        <f t="shared" si="2177"/>
        <v>SPS1</v>
      </c>
      <c r="C2304" s="5" t="str">
        <f t="shared" si="2178"/>
        <v>CH</v>
      </c>
      <c r="D2304" t="s">
        <v>2438</v>
      </c>
      <c r="E2304" t="str">
        <f t="shared" si="2182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1.1677623480490299E-6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1.2152745485903701E-5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1.04190307211049E-6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1.83085511718802E-6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6.0886725303975103E-5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6.9556686699404204E-5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3.3386533918526302E-5</v>
      </c>
      <c r="N2304" s="1"/>
    </row>
    <row r="2305" spans="2:14" x14ac:dyDescent="0.35">
      <c r="B2305" s="5" t="str">
        <f t="shared" si="2177"/>
        <v>SPS1</v>
      </c>
      <c r="C2305" s="5" t="str">
        <f t="shared" si="2178"/>
        <v>CH</v>
      </c>
      <c r="D2305" t="s">
        <v>2439</v>
      </c>
      <c r="E2305" t="str">
        <f t="shared" si="2182"/>
        <v>GWth/yr.</v>
      </c>
      <c r="F2305" s="1">
        <f t="shared" ref="F2305:L2305" si="2185">F2306</f>
        <v>2.60520127497197E-5</v>
      </c>
      <c r="G2305" s="1">
        <f t="shared" si="2185"/>
        <v>7.7137754269244296E-2</v>
      </c>
      <c r="H2305" s="1">
        <f t="shared" si="2185"/>
        <v>1.58610599839601E-6</v>
      </c>
      <c r="I2305" s="1">
        <f t="shared" si="2185"/>
        <v>2.4223013300442198E-6</v>
      </c>
      <c r="J2305" s="1">
        <f t="shared" si="2185"/>
        <v>0.177180988297198</v>
      </c>
      <c r="K2305" s="1">
        <f t="shared" si="2185"/>
        <v>3.7429457809895698E-2</v>
      </c>
      <c r="L2305" s="1">
        <f t="shared" si="2185"/>
        <v>9.1469980041315103E-7</v>
      </c>
      <c r="N2305" s="1"/>
    </row>
    <row r="2306" spans="2:14" x14ac:dyDescent="0.35">
      <c r="B2306" s="5" t="str">
        <f t="shared" si="2177"/>
        <v>SPS1</v>
      </c>
      <c r="C2306" s="5" t="str">
        <f t="shared" si="2178"/>
        <v>CH</v>
      </c>
      <c r="D2306" t="s">
        <v>2440</v>
      </c>
      <c r="E2306" t="str">
        <f t="shared" si="2182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2.60520127497197E-5</v>
      </c>
      <c r="G2306" s="1" cm="1">
        <f t="array" ref="G2306">SUMPRODUCT(([1]OUT_FinalEnergyCons!$B$4:$B$10000="var_ncap")*1, (ISNUMBER(SEARCH("SCOM-SHWODBR",[1]OUT_FinalEnergyCons!$A$4:$A$10000)))*1,[1]OUT_FinalEnergyCons!E$4:E$10000)</f>
        <v>7.7137754269244296E-2</v>
      </c>
      <c r="H2306" s="1" cm="1">
        <f t="array" ref="H2306">SUMPRODUCT(([1]OUT_FinalEnergyCons!$B$4:$B$10000="var_ncap")*1, (ISNUMBER(SEARCH("SCOM-SHWODBR",[1]OUT_FinalEnergyCons!$A$4:$A$10000)))*1,[1]OUT_FinalEnergyCons!F$4:F$10000)</f>
        <v>1.58610599839601E-6</v>
      </c>
      <c r="I2306" s="1" cm="1">
        <f t="array" ref="I2306">SUMPRODUCT(([1]OUT_FinalEnergyCons!$B$4:$B$10000="var_ncap")*1, (ISNUMBER(SEARCH("SCOM-SHWODBR",[1]OUT_FinalEnergyCons!$A$4:$A$10000)))*1,[1]OUT_FinalEnergyCons!G$4:G$10000)</f>
        <v>2.4223013300442198E-6</v>
      </c>
      <c r="J2306" s="1" cm="1">
        <f t="array" ref="J2306">SUMPRODUCT(([2]OUT_FinalEnergyCons!$B$4:$B$10000="var_ncap")*1, (ISNUMBER(SEARCH("SCOM-SHWODBR",[2]OUT_FinalEnergyCons!$A$4:$A$10000)))*1,[2]OUT_FinalEnergyCons!H$4:H$10000)</f>
        <v>0.177180988297198</v>
      </c>
      <c r="K2306" s="1" cm="1">
        <f t="array" ref="K2306">SUMPRODUCT(([2]OUT_FinalEnergyCons!$B$4:$B$10000="var_ncap")*1, (ISNUMBER(SEARCH("SCOM-SHWODBR",[2]OUT_FinalEnergyCons!$A$4:$A$10000)))*1,[2]OUT_FinalEnergyCons!I$4:I$10000)</f>
        <v>3.7429457809895698E-2</v>
      </c>
      <c r="L2306" s="1" cm="1">
        <f t="array" ref="L2306">SUMPRODUCT(([2]OUT_FinalEnergyCons!$B$4:$B$10000="var_ncap")*1, (ISNUMBER(SEARCH("SCOM-SHWODBR",[2]OUT_FinalEnergyCons!$A$4:$A$10000)))*1,[2]OUT_FinalEnergyCons!J$4:J$10000)</f>
        <v>9.1469980041315103E-7</v>
      </c>
      <c r="N2306" s="1"/>
    </row>
    <row r="2307" spans="2:14" x14ac:dyDescent="0.35">
      <c r="B2307" s="5" t="str">
        <f t="shared" si="2177"/>
        <v>SPS1</v>
      </c>
      <c r="C2307" s="5" t="str">
        <f t="shared" si="2178"/>
        <v>CH</v>
      </c>
      <c r="D2307" t="s">
        <v>2441</v>
      </c>
      <c r="E2307" t="str">
        <f t="shared" si="2182"/>
        <v>GWth/yr.</v>
      </c>
      <c r="F2307" s="1">
        <f t="shared" ref="F2307:L2307" si="2186">F2308</f>
        <v>4.6778508406623502E-6</v>
      </c>
      <c r="G2307" s="1">
        <f t="shared" si="2186"/>
        <v>2.4367091578579001E-2</v>
      </c>
      <c r="H2307" s="1">
        <f t="shared" si="2186"/>
        <v>8.7691177289598198E-7</v>
      </c>
      <c r="I2307" s="1">
        <f t="shared" si="2186"/>
        <v>1.77443550316708E-6</v>
      </c>
      <c r="J2307" s="1">
        <f t="shared" si="2186"/>
        <v>2.9701461998617399E-3</v>
      </c>
      <c r="K2307" s="1">
        <f t="shared" si="2186"/>
        <v>3.5504476270040199E-3</v>
      </c>
      <c r="L2307" s="1">
        <f t="shared" si="2186"/>
        <v>3.2777992143314E-7</v>
      </c>
      <c r="N2307" s="1"/>
    </row>
    <row r="2308" spans="2:14" x14ac:dyDescent="0.35">
      <c r="B2308" s="5" t="str">
        <f t="shared" si="2177"/>
        <v>SPS1</v>
      </c>
      <c r="C2308" s="5" t="str">
        <f t="shared" si="2178"/>
        <v>CH</v>
      </c>
      <c r="D2308" t="s">
        <v>2442</v>
      </c>
      <c r="E2308" t="str">
        <f t="shared" si="2182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4.6778508406623502E-6</v>
      </c>
      <c r="G2308" s="1" cm="1">
        <f t="array" ref="G2308">SUMPRODUCT(([1]OUT_FinalEnergyCons!$B$4:$B$10000="var_ncap")*1,(ISNUMBER(SEARCH("SCOM-SHPLTBR",[1]OUT_FinalEnergyCons!$A$4:$A$10000)))*1,[1]OUT_FinalEnergyCons!E$4:E$10000)</f>
        <v>2.4367091578579001E-2</v>
      </c>
      <c r="H2308" s="1" cm="1">
        <f t="array" ref="H2308">SUMPRODUCT(([1]OUT_FinalEnergyCons!$B$4:$B$10000="var_ncap")*1,(ISNUMBER(SEARCH("SCOM-SHPLTBR",[1]OUT_FinalEnergyCons!$A$4:$A$10000)))*1,[1]OUT_FinalEnergyCons!F$4:F$10000)</f>
        <v>8.7691177289598198E-7</v>
      </c>
      <c r="I2308" s="1" cm="1">
        <f t="array" ref="I2308">SUMPRODUCT(([1]OUT_FinalEnergyCons!$B$4:$B$10000="var_ncap")*1,(ISNUMBER(SEARCH("SCOM-SHPLTBR",[1]OUT_FinalEnergyCons!$A$4:$A$10000)))*1,[1]OUT_FinalEnergyCons!G$4:G$10000)</f>
        <v>1.77443550316708E-6</v>
      </c>
      <c r="J2308" s="1" cm="1">
        <f t="array" ref="J2308">SUMPRODUCT(([2]OUT_FinalEnergyCons!$B$4:$B$10000="var_ncap")*1,(ISNUMBER(SEARCH("SCOM-SHPLTBR",[2]OUT_FinalEnergyCons!$A$4:$A$10000)))*1,[2]OUT_FinalEnergyCons!H$4:H$10000)</f>
        <v>2.9701461998617399E-3</v>
      </c>
      <c r="K2308" s="1" cm="1">
        <f t="array" ref="K2308">SUMPRODUCT(([2]OUT_FinalEnergyCons!$B$4:$B$10000="var_ncap")*1,(ISNUMBER(SEARCH("SCOM-SHPLTBR",[2]OUT_FinalEnergyCons!$A$4:$A$10000)))*1,[2]OUT_FinalEnergyCons!I$4:I$10000)</f>
        <v>3.5504476270040199E-3</v>
      </c>
      <c r="L2308" s="1" cm="1">
        <f t="array" ref="L2308">SUMPRODUCT(([2]OUT_FinalEnergyCons!$B$4:$B$10000="var_ncap")*1,(ISNUMBER(SEARCH("SCOM-SHPLTBR",[2]OUT_FinalEnergyCons!$A$4:$A$10000)))*1,[2]OUT_FinalEnergyCons!J$4:J$10000)</f>
        <v>3.2777992143314E-7</v>
      </c>
      <c r="N2308" s="1"/>
    </row>
    <row r="2309" spans="2:14" x14ac:dyDescent="0.35">
      <c r="B2309" s="5" t="str">
        <f t="shared" si="2177"/>
        <v>SPS1</v>
      </c>
      <c r="C2309" s="5" t="str">
        <f t="shared" si="2178"/>
        <v>CH</v>
      </c>
      <c r="D2309" t="s">
        <v>2443</v>
      </c>
      <c r="E2309" t="str">
        <f t="shared" si="2182"/>
        <v>GWth/yr.</v>
      </c>
      <c r="F2309" s="1">
        <f t="shared" ref="F2309:L2309" si="2187">F2310</f>
        <v>3.4076322548331601E-5</v>
      </c>
      <c r="G2309" s="1">
        <f t="shared" si="2187"/>
        <v>8.7755701277736596E-3</v>
      </c>
      <c r="H2309" s="1">
        <f t="shared" si="2187"/>
        <v>3.3217660079181102E-6</v>
      </c>
      <c r="I2309" s="1">
        <f t="shared" si="2187"/>
        <v>1.8668359518979698E-2</v>
      </c>
      <c r="J2309" s="1">
        <f t="shared" si="2187"/>
        <v>9.22698671218979E-2</v>
      </c>
      <c r="K2309" s="1">
        <f t="shared" si="2187"/>
        <v>6.0343311482437698E-2</v>
      </c>
      <c r="L2309" s="1">
        <f t="shared" si="2187"/>
        <v>0.10328917962999901</v>
      </c>
      <c r="N2309" s="1"/>
    </row>
    <row r="2310" spans="2:14" x14ac:dyDescent="0.35">
      <c r="B2310" s="5" t="str">
        <f t="shared" si="2177"/>
        <v>SPS1</v>
      </c>
      <c r="C2310" s="5" t="str">
        <f t="shared" si="2178"/>
        <v>CH</v>
      </c>
      <c r="D2310" t="s">
        <v>2444</v>
      </c>
      <c r="E2310" t="str">
        <f t="shared" si="2182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3.4076322548331601E-5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8.7755701277736596E-3</v>
      </c>
      <c r="H2310" s="1" cm="1">
        <f t="array" ref="H2310">SUMPRODUCT(([1]OUT_FinalEnergyCons!$B$4:$B$10000="var_ncap")*1, (ISNUMBER(SEARCH("SCOM-SHSOLBR",[1]OUT_FinalEnergyCons!$A$4:$A$10000)))*1,[1]OUT_FinalEnergyCons!F$4:F$10000)</f>
        <v>3.3217660079181102E-6</v>
      </c>
      <c r="I2310" s="1" cm="1">
        <f t="array" ref="I2310">SUMPRODUCT(([1]OUT_FinalEnergyCons!$B$4:$B$10000="var_ncap")*1, (ISNUMBER(SEARCH("SCOM-SHSOLBR",[1]OUT_FinalEnergyCons!$A$4:$A$10000)))*1,[1]OUT_FinalEnergyCons!G$4:G$10000)</f>
        <v>1.8668359518979698E-2</v>
      </c>
      <c r="J2310" s="1" cm="1">
        <f t="array" ref="J2310">SUMPRODUCT(([2]OUT_FinalEnergyCons!$B$4:$B$10000="var_ncap")*1, (ISNUMBER(SEARCH("SCOM-SHSOLBR",[2]OUT_FinalEnergyCons!$A$4:$A$10000)))*1,[2]OUT_FinalEnergyCons!H$4:H$10000)</f>
        <v>9.22698671218979E-2</v>
      </c>
      <c r="K2310" s="1" cm="1">
        <f t="array" ref="K2310">SUMPRODUCT(([2]OUT_FinalEnergyCons!$B$4:$B$10000="var_ncap")*1, (ISNUMBER(SEARCH("SCOM-SHSOLBR",[2]OUT_FinalEnergyCons!$A$4:$A$10000)))*1,[2]OUT_FinalEnergyCons!I$4:I$10000)</f>
        <v>6.0343311482437698E-2</v>
      </c>
      <c r="L2310" s="1" cm="1">
        <f t="array" ref="L2310">SUMPRODUCT(([2]OUT_FinalEnergyCons!$B$4:$B$10000="var_ncap")*1, (ISNUMBER(SEARCH("SCOM-SHSOLBR",[2]OUT_FinalEnergyCons!$A$4:$A$10000)))*1,[2]OUT_FinalEnergyCons!J$4:J$10000)</f>
        <v>0.10328917962999901</v>
      </c>
      <c r="N2310" s="1"/>
    </row>
    <row r="2311" spans="2:14" x14ac:dyDescent="0.35">
      <c r="B2311" s="5" t="str">
        <f t="shared" si="2177"/>
        <v>SPS1</v>
      </c>
      <c r="C2311" s="5" t="str">
        <f t="shared" si="2178"/>
        <v>CH</v>
      </c>
      <c r="D2311" t="s">
        <v>2445</v>
      </c>
      <c r="E2311" t="str">
        <f t="shared" si="2182"/>
        <v>GWth/yr.</v>
      </c>
      <c r="F2311" s="1">
        <f t="shared" ref="F2311:L2311" si="2188">F2312</f>
        <v>0</v>
      </c>
      <c r="G2311" s="1">
        <f t="shared" si="2188"/>
        <v>0</v>
      </c>
      <c r="H2311" s="1">
        <f t="shared" si="2188"/>
        <v>0</v>
      </c>
      <c r="I2311" s="1">
        <f t="shared" si="2188"/>
        <v>1.6310238609986699E-6</v>
      </c>
      <c r="J2311" s="1">
        <f t="shared" si="2188"/>
        <v>0.98825726736974895</v>
      </c>
      <c r="K2311" s="1">
        <f t="shared" si="2188"/>
        <v>0.59505791951210896</v>
      </c>
      <c r="L2311" s="1">
        <f t="shared" si="2188"/>
        <v>0.61285381822223195</v>
      </c>
      <c r="N2311" s="1"/>
    </row>
    <row r="2312" spans="2:14" x14ac:dyDescent="0.35">
      <c r="B2312" s="5" t="str">
        <f t="shared" si="2177"/>
        <v>SPS1</v>
      </c>
      <c r="C2312" s="5" t="str">
        <f t="shared" si="2178"/>
        <v>CH</v>
      </c>
      <c r="D2312" t="s">
        <v>2446</v>
      </c>
      <c r="E2312" t="str">
        <f t="shared" si="2182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1.6310238609986699E-6</v>
      </c>
      <c r="J2312" s="1" cm="1">
        <f t="array" ref="J2312">SUMPRODUCT(([2]OUT_FinalEnergyCons!$B$4:$B$10000="var_ncap")*1, (ISNUMBER(SEARCH("SCOM-SHH2BR",[2]OUT_FinalEnergyCons!$A$4:$A$10000)))*1,[2]OUT_FinalEnergyCons!H$4:H$10000)</f>
        <v>0.98825726736974895</v>
      </c>
      <c r="K2312" s="1" cm="1">
        <f t="array" ref="K2312">SUMPRODUCT(([2]OUT_FinalEnergyCons!$B$4:$B$10000="var_ncap")*1, (ISNUMBER(SEARCH("SCOM-SHH2BR",[2]OUT_FinalEnergyCons!$A$4:$A$10000)))*1,[2]OUT_FinalEnergyCons!I$4:I$10000)</f>
        <v>0.59505791951210896</v>
      </c>
      <c r="L2312" s="1" cm="1">
        <f t="array" ref="L2312">SUMPRODUCT(([2]OUT_FinalEnergyCons!$B$4:$B$10000="var_ncap")*1, (ISNUMBER(SEARCH("SCOM-SHH2BR",[2]OUT_FinalEnergyCons!$A$4:$A$10000)))*1,[2]OUT_FinalEnergyCons!J$4:J$10000)</f>
        <v>0.61285381822223195</v>
      </c>
      <c r="N2312" s="1"/>
    </row>
    <row r="2313" spans="2:14" x14ac:dyDescent="0.35">
      <c r="B2313" s="5" t="str">
        <f>SPS3_NUC_Low!B2021</f>
        <v>SPS1</v>
      </c>
      <c r="C2313" s="5" t="str">
        <f>SPS3_NUC_Low!C2021</f>
        <v>CH</v>
      </c>
      <c r="D2313" s="2" t="s">
        <v>2448</v>
      </c>
      <c r="E2313" s="2" t="s">
        <v>2154</v>
      </c>
      <c r="F2313" s="3">
        <f t="shared" ref="F2313:K2313" si="2189">SUM(F2314,F2318,F2321)</f>
        <v>4.11416983932213E-4</v>
      </c>
      <c r="G2313" s="3">
        <f t="shared" si="2189"/>
        <v>2.5784491327660198E-6</v>
      </c>
      <c r="H2313" s="3">
        <f t="shared" si="2189"/>
        <v>1.6103811153679899E-6</v>
      </c>
      <c r="I2313" s="3">
        <f t="shared" si="2189"/>
        <v>2.0670713116209868E-5</v>
      </c>
      <c r="J2313" s="3">
        <f t="shared" si="2189"/>
        <v>0.12509062585152814</v>
      </c>
      <c r="K2313" s="3">
        <f t="shared" si="2189"/>
        <v>0.35260050623700223</v>
      </c>
      <c r="L2313" s="3">
        <f t="shared" ref="L2313" si="2190">SUM(L2314,L2318,L2321)</f>
        <v>0.63137755334694456</v>
      </c>
      <c r="N2313" s="1"/>
    </row>
    <row r="2314" spans="2:14" x14ac:dyDescent="0.35">
      <c r="B2314" s="5" t="str">
        <f t="shared" ref="B2314:B2340" si="2191">B2313</f>
        <v>SPS1</v>
      </c>
      <c r="C2314" s="5" t="str">
        <f t="shared" ref="C2314:C2340" si="2192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4.11416983932213E-4</v>
      </c>
      <c r="G2314" s="1" cm="1">
        <f t="array" ref="G2314">SUMPRODUCT(ISNUMBER(SEARCH("SUP_ELCH2*",[1]OUT_SyntheticFuels!$C$4:$C$1000))*1,("var_ncap"=[1]OUT_SyntheticFuels!$B$4:$B$1000)*1,[1]OUT_SyntheticFuels!F$4:F$1000)</f>
        <v>2.5784491327660198E-6</v>
      </c>
      <c r="H2314" s="1" cm="1">
        <f t="array" ref="H2314">SUMPRODUCT(ISNUMBER(SEARCH("SUP_ELCH2*",[1]OUT_SyntheticFuels!$C$4:$C$1000))*1,("var_ncap"=[1]OUT_SyntheticFuels!$B$4:$B$1000)*1,[1]OUT_SyntheticFuels!G$4:G$1000)</f>
        <v>1.6103811153679899E-6</v>
      </c>
      <c r="I2314" s="1" cm="1">
        <f t="array" ref="I2314">SUMPRODUCT(ISNUMBER(SEARCH("SUP_ELCH2*",[1]OUT_SyntheticFuels!$C$4:$C$1000))*1,("var_ncap"=[1]OUT_SyntheticFuels!$B$4:$B$1000)*1,[1]OUT_SyntheticFuels!H$4:H$1000)</f>
        <v>1.9999115011909101E-5</v>
      </c>
      <c r="J2314" s="1" cm="1">
        <f t="array" ref="J2314">SUMPRODUCT(ISNUMBER(SEARCH("SUP_ELCH2*",[2]OUT_SyntheticFuels!$C$4:$C$1000))*1,("var_ncap"=[2]OUT_SyntheticFuels!$B$4:$B$1000)*1,[2]OUT_SyntheticFuels!I$4:I$1000)</f>
        <v>0.12508980943450199</v>
      </c>
      <c r="K2314" s="1" cm="1">
        <f t="array" ref="K2314">SUMPRODUCT(ISNUMBER(SEARCH("SUP_ELCH2*",[2]OUT_SyntheticFuels!$C$4:$C$1000))*1,("var_ncap"=[2]OUT_SyntheticFuels!$B$4:$B$1000)*1,[2]OUT_SyntheticFuels!J$4:J$1000)</f>
        <v>0.35259992546915497</v>
      </c>
      <c r="L2314" s="1" cm="1">
        <f t="array" ref="L2314">SUMPRODUCT(ISNUMBER(SEARCH("SUP_ELCH2*",[2]OUT_SyntheticFuels!$C$4:$C$1000))*1,("var_ncap"=[2]OUT_SyntheticFuels!$B$4:$B$1000)*1,[2]OUT_SyntheticFuels!K$4:K$1000)</f>
        <v>0.63137710379550105</v>
      </c>
      <c r="N2314" s="1"/>
    </row>
    <row r="2315" spans="2:14" x14ac:dyDescent="0.35">
      <c r="B2315" s="5" t="str">
        <f t="shared" si="2191"/>
        <v>SPS1</v>
      </c>
      <c r="C2315" s="5" t="str">
        <f t="shared" si="2192"/>
        <v>CH</v>
      </c>
      <c r="D2315" t="s">
        <v>2450</v>
      </c>
      <c r="E2315" t="s">
        <v>2154</v>
      </c>
      <c r="F2315" s="1">
        <f t="shared" ref="F2315:K2315" si="2193">F2314-F2316-F2317</f>
        <v>4.11416983932213E-4</v>
      </c>
      <c r="G2315" s="1">
        <f t="shared" si="2193"/>
        <v>2.5784491327660198E-6</v>
      </c>
      <c r="H2315" s="1">
        <f t="shared" si="2193"/>
        <v>1.6103811153679899E-6</v>
      </c>
      <c r="I2315" s="1">
        <f t="shared" si="2193"/>
        <v>1.9999115011909101E-5</v>
      </c>
      <c r="J2315" s="1">
        <f t="shared" si="2193"/>
        <v>0.12508980943450199</v>
      </c>
      <c r="K2315" s="1">
        <f t="shared" si="2193"/>
        <v>0.35259992546915497</v>
      </c>
      <c r="L2315" s="1">
        <f t="shared" ref="L2315" si="2194">L2314-L2316-L2317</f>
        <v>0.63137710379550105</v>
      </c>
      <c r="N2315" s="1"/>
    </row>
    <row r="2316" spans="2:14" x14ac:dyDescent="0.35">
      <c r="B2316" s="5" t="str">
        <f t="shared" si="2191"/>
        <v>SPS1</v>
      </c>
      <c r="C2316" s="5" t="str">
        <f t="shared" si="2192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0</v>
      </c>
      <c r="J2316" s="1" cm="1">
        <f t="array" ref="J2316">SUMPRODUCT(ISNUMBER(SEARCH("SUP_ELCH2*D",[2]OUT_SyntheticFuels!$C$4:$C$1000))*1,("var_ncap"=[2]OUT_SyntheticFuels!$B$4:$B$1000)*1,[2]OUT_SyntheticFuels!I$4:I$1000)</f>
        <v>0</v>
      </c>
      <c r="K2316" s="1" cm="1">
        <f t="array" ref="K2316">SUMPRODUCT(ISNUMBER(SEARCH("SUP_ELCH2*D",[2]OUT_SyntheticFuels!$C$4:$C$1000))*1,("var_ncap"=[2]OUT_SyntheticFuels!$B$4:$B$1000)*1,[2]OUT_SyntheticFuels!J$4:J$1000)</f>
        <v>0</v>
      </c>
      <c r="L2316" s="1" cm="1">
        <f t="array" ref="L2316">SUMPRODUCT(ISNUMBER(SEARCH("SUP_ELCH2*D",[2]OUT_SyntheticFuels!$C$4:$C$1000))*1,("var_ncap"=[2]OUT_SyntheticFuels!$B$4:$B$1000)*1,[2]OUT_SyntheticFuels!K$4:K$1000)</f>
        <v>0</v>
      </c>
      <c r="N2316" s="1"/>
    </row>
    <row r="2317" spans="2:14" x14ac:dyDescent="0.35">
      <c r="B2317" s="5" t="str">
        <f t="shared" si="2191"/>
        <v>SPS1</v>
      </c>
      <c r="C2317" s="5" t="str">
        <f t="shared" si="2192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0</v>
      </c>
      <c r="L2317" s="1" cm="1">
        <f t="array" ref="L2317">SUMPRODUCT(ISNUMBER(SEARCH("SUP_ELCH2*SOEC*",[2]OUT_SyntheticFuels!$C$4:$C$1000))*1,("var_ncap"=[2]OUT_SyntheticFuels!$B$4:$B$1000)*1,[2]OUT_SyntheticFuels!K$4:K$1000)</f>
        <v>0</v>
      </c>
      <c r="N2317" s="1"/>
    </row>
    <row r="2318" spans="2:14" x14ac:dyDescent="0.35">
      <c r="B2318" s="5" t="str">
        <f t="shared" si="2191"/>
        <v>SPS1</v>
      </c>
      <c r="C2318" s="5" t="str">
        <f t="shared" si="2192"/>
        <v>CH</v>
      </c>
      <c r="D2318" t="s">
        <v>2453</v>
      </c>
      <c r="E2318" t="s">
        <v>2154</v>
      </c>
      <c r="F2318" s="1">
        <f t="shared" ref="F2318:K2318" si="2195">SUM(F2319:F2320)</f>
        <v>0</v>
      </c>
      <c r="G2318" s="1">
        <f t="shared" si="2195"/>
        <v>0</v>
      </c>
      <c r="H2318" s="1">
        <f t="shared" si="2195"/>
        <v>0</v>
      </c>
      <c r="I2318" s="1">
        <f t="shared" si="2195"/>
        <v>6.7159810430076696E-7</v>
      </c>
      <c r="J2318" s="1">
        <f t="shared" si="2195"/>
        <v>8.1641702614851596E-7</v>
      </c>
      <c r="K2318" s="1">
        <f t="shared" si="2195"/>
        <v>5.8076784726438E-7</v>
      </c>
      <c r="L2318" s="1">
        <f t="shared" ref="L2318" si="2196">SUM(L2319:L2320)</f>
        <v>4.4955144348904002E-7</v>
      </c>
      <c r="N2318" s="1"/>
    </row>
    <row r="2319" spans="2:14" x14ac:dyDescent="0.35">
      <c r="B2319" s="5" t="str">
        <f t="shared" si="2191"/>
        <v>SPS1</v>
      </c>
      <c r="C2319" s="5" t="str">
        <f t="shared" si="2192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6.7159810430076696E-7</v>
      </c>
      <c r="J2319" s="1" cm="1">
        <f t="array" ref="J2319">SUMPRODUCT(ISNUMBER(SEARCH("SUP_NGAH2",[2]OUT_SyntheticFuels!$C$4:$C$1000))*1,("var_ncap"=[2]OUT_SyntheticFuels!$B$4:$B$1000)*1,[2]OUT_SyntheticFuels!I$4:I$1000)-J2320</f>
        <v>8.1641702614851596E-7</v>
      </c>
      <c r="K2319" s="1" cm="1">
        <f t="array" ref="K2319">SUMPRODUCT(ISNUMBER(SEARCH("SUP_NGAH2",[2]OUT_SyntheticFuels!$C$4:$C$1000))*1,("var_ncap"=[2]OUT_SyntheticFuels!$B$4:$B$1000)*1,[2]OUT_SyntheticFuels!J$4:J$1000)-K2320</f>
        <v>5.8076784726438E-7</v>
      </c>
      <c r="L2319" s="1" cm="1">
        <f t="array" ref="L2319">SUMPRODUCT(ISNUMBER(SEARCH("SUP_NGAH2",[2]OUT_SyntheticFuels!$C$4:$C$1000))*1,("var_ncap"=[2]OUT_SyntheticFuels!$B$4:$B$1000)*1,[2]OUT_SyntheticFuels!K$4:K$1000)-L2320</f>
        <v>4.4955144348904002E-7</v>
      </c>
      <c r="N2319" s="1"/>
    </row>
    <row r="2320" spans="2:14" x14ac:dyDescent="0.35">
      <c r="B2320" s="5" t="str">
        <f t="shared" si="2191"/>
        <v>SPS1</v>
      </c>
      <c r="C2320" s="5" t="str">
        <f t="shared" si="2192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1"/>
        <v>SPS1</v>
      </c>
      <c r="C2321" s="5" t="str">
        <f t="shared" si="2192"/>
        <v>CH</v>
      </c>
      <c r="D2321" t="s">
        <v>2456</v>
      </c>
      <c r="E2321" t="s">
        <v>2154</v>
      </c>
      <c r="F2321" s="1">
        <f t="shared" ref="F2321:K2321" si="2197">SUM(F2322:F2323)</f>
        <v>0</v>
      </c>
      <c r="G2321" s="1">
        <f t="shared" si="2197"/>
        <v>0</v>
      </c>
      <c r="H2321" s="1">
        <f t="shared" si="2197"/>
        <v>0</v>
      </c>
      <c r="I2321" s="1">
        <f t="shared" si="2197"/>
        <v>0</v>
      </c>
      <c r="J2321" s="1">
        <f t="shared" si="2197"/>
        <v>0</v>
      </c>
      <c r="K2321" s="1">
        <f t="shared" si="2197"/>
        <v>0</v>
      </c>
      <c r="L2321" s="1">
        <f t="shared" ref="L2321" si="2198">SUM(L2322:L2323)</f>
        <v>0</v>
      </c>
      <c r="N2321" s="1"/>
    </row>
    <row r="2322" spans="2:14" x14ac:dyDescent="0.35">
      <c r="B2322" s="5" t="str">
        <f t="shared" si="2191"/>
        <v>SPS1</v>
      </c>
      <c r="C2322" s="5" t="str">
        <f t="shared" si="2192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1"/>
        <v>SPS1</v>
      </c>
      <c r="C2323" s="5" t="str">
        <f t="shared" si="2192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1"/>
        <v>SPS1</v>
      </c>
      <c r="C2324" s="5" t="str">
        <f t="shared" si="2192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1"/>
        <v>SPS1</v>
      </c>
      <c r="C2325" s="5" t="str">
        <f t="shared" si="2192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0</v>
      </c>
      <c r="G2325" s="7" cm="1">
        <f t="array" ref="G2325">SUMPRODUCT(("CT_CWODBDS"=[1]OUT_SyntheticFuels!$C$4:$C$1000)*1,("var_ncap"=[1]OUT_SyntheticFuels!$B$4:$B$1000)*1,[1]OUT_SyntheticFuels!F$4:F$1000)</f>
        <v>0</v>
      </c>
      <c r="H2325" s="7" cm="1">
        <f t="array" ref="H2325">SUMPRODUCT(("CT_CWODBDS"=[1]OUT_SyntheticFuels!$C$4:$C$1000)*1,("var_ncap"=[1]OUT_SyntheticFuels!$B$4:$B$1000)*1,[1]OUT_SyntheticFuels!G$4:G$1000)</f>
        <v>0</v>
      </c>
      <c r="I2325" s="7" cm="1">
        <f t="array" ref="I2325">SUMPRODUCT(("CT_CWODBDS"=[1]OUT_SyntheticFuels!$C$4:$C$1000)*1,("var_ncap"=[1]OUT_SyntheticFuels!$B$4:$B$1000)*1,[1]OUT_SyntheticFuels!H$4:H$1000)</f>
        <v>0</v>
      </c>
      <c r="J2325" s="7" cm="1">
        <f t="array" ref="J2325">SUMPRODUCT(("CT_CWODBDS"=[2]OUT_SyntheticFuels!$C$4:$C$1000)*1,("var_ncap"=[2]OUT_SyntheticFuels!$B$4:$B$1000)*1,[2]OUT_SyntheticFuels!I$4:I$1000)</f>
        <v>0</v>
      </c>
      <c r="K2325" s="7" cm="1">
        <f t="array" ref="K2325">SUMPRODUCT(("CT_CWODBDS"=[2]OUT_SyntheticFuels!$C$4:$C$1000)*1,("var_ncap"=[2]OUT_SyntheticFuels!$B$4:$B$1000)*1,[2]OUT_SyntheticFuels!J$4:J$1000)</f>
        <v>0</v>
      </c>
      <c r="L2325" s="7" cm="1">
        <f t="array" ref="L2325">SUMPRODUCT(("CT_CWODBDS"=[2]OUT_SyntheticFuels!$C$4:$C$1000)*1,("var_ncap"=[2]OUT_SyntheticFuels!$B$4:$B$1000)*1,[2]OUT_SyntheticFuels!K$4:K$1000)</f>
        <v>0</v>
      </c>
      <c r="N2325" s="1"/>
    </row>
    <row r="2326" spans="2:14" x14ac:dyDescent="0.35">
      <c r="B2326" s="5" t="str">
        <f t="shared" si="2191"/>
        <v>SPS1</v>
      </c>
      <c r="C2326" s="5" t="str">
        <f t="shared" si="2192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1"/>
        <v>SPS1</v>
      </c>
      <c r="C2327" s="5" t="str">
        <f t="shared" si="2192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0</v>
      </c>
      <c r="G2327" s="7" cm="1">
        <f t="array" ref="G2327">SUMPRODUCT(("CT_CWODETH"=[1]OUT_SyntheticFuels!$C$4:$C$1000)*1,("var_ncap"=[1]OUT_SyntheticFuels!$B$4:$B$1000)*1,[1]OUT_SyntheticFuels!F$4:F$1000)</f>
        <v>0</v>
      </c>
      <c r="H2327" s="7" cm="1">
        <f t="array" ref="H2327">SUMPRODUCT(("CT_CWODETH"=[1]OUT_SyntheticFuels!$C$4:$C$1000)*1,("var_ncap"=[1]OUT_SyntheticFuels!$B$4:$B$1000)*1,[1]OUT_SyntheticFuels!G$4:G$1000)</f>
        <v>0</v>
      </c>
      <c r="I2327" s="7" cm="1">
        <f t="array" ref="I2327">SUMPRODUCT(("CT_CWODETH"=[1]OUT_SyntheticFuels!$C$4:$C$1000)*1,("var_ncap"=[1]OUT_SyntheticFuels!$B$4:$B$1000)*1,[1]OUT_SyntheticFuels!H$4:H$1000)</f>
        <v>0</v>
      </c>
      <c r="J2327" s="7" cm="1">
        <f t="array" ref="J2327">SUMPRODUCT(("CT_CWODETH"=[2]OUT_SyntheticFuels!$C$4:$C$1000)*1,("var_ncap"=[2]OUT_SyntheticFuels!$B$4:$B$1000)*1,[2]OUT_SyntheticFuels!I$4:I$1000)</f>
        <v>0</v>
      </c>
      <c r="K2327" s="7" cm="1">
        <f t="array" ref="K2327">SUMPRODUCT(("CT_CWODETH"=[2]OUT_SyntheticFuels!$C$4:$C$1000)*1,("var_ncap"=[2]OUT_SyntheticFuels!$B$4:$B$1000)*1,[2]OUT_SyntheticFuels!J$4:J$1000)</f>
        <v>0</v>
      </c>
      <c r="L2327" s="7" cm="1">
        <f t="array" ref="L2327">SUMPRODUCT(("CT_CWODETH"=[2]OUT_SyntheticFuels!$C$4:$C$1000)*1,("var_ncap"=[2]OUT_SyntheticFuels!$B$4:$B$1000)*1,[2]OUT_SyntheticFuels!K$4:K$1000)</f>
        <v>0</v>
      </c>
      <c r="N2327" s="1"/>
    </row>
    <row r="2328" spans="2:14" x14ac:dyDescent="0.35">
      <c r="B2328" s="5" t="str">
        <f t="shared" si="2191"/>
        <v>SPS1</v>
      </c>
      <c r="C2328" s="5" t="str">
        <f t="shared" si="2192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1"/>
        <v>SPS1</v>
      </c>
      <c r="C2329" s="5" t="str">
        <f t="shared" si="2192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5.1637803348739998E-2</v>
      </c>
      <c r="G2329" s="7" cm="1">
        <f t="array" ref="G2329">SUMPRODUCT(("SUP_MNRBIO"=[1]OUT_SyntheticFuels!$C$4:$C$1000)*1,("var_ncap"=[1]OUT_SyntheticFuels!$B$4:$B$1000)*1,[1]OUT_SyntheticFuels!F$4:F$1000)</f>
        <v>0.110764708926477</v>
      </c>
      <c r="H2329" s="7" cm="1">
        <f t="array" ref="H2329">SUMPRODUCT(("SUP_MNRBIO"=[1]OUT_SyntheticFuels!$C$4:$C$1000)*1,("var_ncap"=[1]OUT_SyntheticFuels!$B$4:$B$1000)*1,[1]OUT_SyntheticFuels!G$4:G$1000)</f>
        <v>3.58579918918031E-6</v>
      </c>
      <c r="I2329" s="7" cm="1">
        <f t="array" ref="I2329">SUMPRODUCT(("SUP_MNRBIO"=[1]OUT_SyntheticFuels!$C$4:$C$1000)*1,("var_ncap"=[1]OUT_SyntheticFuels!$B$4:$B$1000)*1,[1]OUT_SyntheticFuels!H$4:H$1000)</f>
        <v>3.49828054030723E-6</v>
      </c>
      <c r="J2329" s="7" cm="1">
        <f t="array" ref="J2329">SUMPRODUCT(("SUP_MNRBIO"=[2]OUT_SyntheticFuels!$C$4:$C$1000)*1,("var_ncap"=[2]OUT_SyntheticFuels!$B$4:$B$1000)*1,[2]OUT_SyntheticFuels!I$4:I$1000)</f>
        <v>1.14001558446398E-5</v>
      </c>
      <c r="K2329" s="7" cm="1">
        <f t="array" ref="K2329">SUMPRODUCT(("SUP_MNRBIO"=[2]OUT_SyntheticFuels!$C$4:$C$1000)*1,("var_ncap"=[2]OUT_SyntheticFuels!$B$4:$B$1000)*1,[2]OUT_SyntheticFuels!J$4:J$1000)</f>
        <v>0.14445533498976601</v>
      </c>
      <c r="L2329" s="7" cm="1">
        <f t="array" ref="L2329">SUMPRODUCT(("SUP_MNRBIO"=[2]OUT_SyntheticFuels!$C$4:$C$1000)*1,("var_ncap"=[2]OUT_SyntheticFuels!$B$4:$B$1000)*1,[2]OUT_SyntheticFuels!K$4:K$1000)</f>
        <v>9.9159278589604993E-2</v>
      </c>
      <c r="N2329" s="1"/>
    </row>
    <row r="2330" spans="2:14" x14ac:dyDescent="0.35">
      <c r="B2330" s="5" t="str">
        <f t="shared" si="2191"/>
        <v>SPS1</v>
      </c>
      <c r="C2330" s="5" t="str">
        <f t="shared" si="2192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4.1012933118570703E-3</v>
      </c>
      <c r="G2330" s="7" cm="1">
        <f t="array" ref="G2330">SUMPRODUCT(("SUP_WSTBIO"=[1]OUT_SyntheticFuels!$C$4:$C$1000)*1,("var_ncap"=[1]OUT_SyntheticFuels!$B$4:$B$1000)*1,[1]OUT_SyntheticFuels!F$4:F$1000)</f>
        <v>2.2997109440416399E-2</v>
      </c>
      <c r="H2330" s="7" cm="1">
        <f t="array" ref="H2330">SUMPRODUCT(("SUP_WSTBIO"=[1]OUT_SyntheticFuels!$C$4:$C$1000)*1,("var_ncap"=[1]OUT_SyntheticFuels!$B$4:$B$1000)*1,[1]OUT_SyntheticFuels!G$4:G$1000)</f>
        <v>1.43102417532961E-6</v>
      </c>
      <c r="I2330" s="7" cm="1">
        <f t="array" ref="I2330">SUMPRODUCT(("SUP_WSTBIO"=[1]OUT_SyntheticFuels!$C$4:$C$1000)*1,("var_ncap"=[1]OUT_SyntheticFuels!$B$4:$B$1000)*1,[1]OUT_SyntheticFuels!H$4:H$1000)</f>
        <v>9.2781886924524298E-2</v>
      </c>
      <c r="J2330" s="7" cm="1">
        <f t="array" ref="J2330">SUMPRODUCT(("SUP_WSTBIO"=[2]OUT_SyntheticFuels!$C$4:$C$1000)*1,("var_ncap"=[2]OUT_SyntheticFuels!$B$4:$B$1000)*1,[2]OUT_SyntheticFuels!I$4:I$1000)</f>
        <v>0.14474880624193001</v>
      </c>
      <c r="K2330" s="7" cm="1">
        <f t="array" ref="K2330">SUMPRODUCT(("SUP_WSTBIO"=[2]OUT_SyntheticFuels!$C$4:$C$1000)*1,("var_ncap"=[2]OUT_SyntheticFuels!$B$4:$B$1000)*1,[2]OUT_SyntheticFuels!J$4:J$1000)</f>
        <v>6.0145520793316601E-2</v>
      </c>
      <c r="L2330" s="7" cm="1">
        <f t="array" ref="L2330">SUMPRODUCT(("SUP_WSTBIO"=[2]OUT_SyntheticFuels!$C$4:$C$1000)*1,("var_ncap"=[2]OUT_SyntheticFuels!$B$4:$B$1000)*1,[2]OUT_SyntheticFuels!K$4:K$1000)</f>
        <v>0.17057746399958501</v>
      </c>
      <c r="N2330" s="1"/>
    </row>
    <row r="2331" spans="2:14" x14ac:dyDescent="0.35">
      <c r="B2331" s="5" t="str">
        <f t="shared" si="2191"/>
        <v>SPS1</v>
      </c>
      <c r="C2331" s="5" t="str">
        <f t="shared" si="2192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1"/>
        <v>SPS1</v>
      </c>
      <c r="C2332" s="5" t="str">
        <f t="shared" si="2192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2.9007104002940702E-4</v>
      </c>
      <c r="L2332" s="7" cm="1">
        <f t="array" ref="L2332">SUMPRODUCT(("SUP_WSTHTGBIO"=[2]OUT_SyntheticFuels!$C$4:$C$1000)*1,("var_ncap"=[2]OUT_SyntheticFuels!$B$4:$B$1000)*1,[2]OUT_SyntheticFuels!K$4:K$1000)</f>
        <v>3.31266956588276E-6</v>
      </c>
      <c r="N2332" s="1"/>
    </row>
    <row r="2333" spans="2:14" x14ac:dyDescent="0.35">
      <c r="B2333" s="5" t="str">
        <f t="shared" si="2191"/>
        <v>SPS1</v>
      </c>
      <c r="C2333" s="5" t="str">
        <f t="shared" si="2192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1"/>
        <v>SPS1</v>
      </c>
      <c r="C2334" s="5" t="str">
        <f t="shared" si="2192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0</v>
      </c>
      <c r="G2334" s="7" cm="1">
        <f t="array" ref="G2334">SUMPRODUCT(("SUP_WODBIO"=[1]OUT_SyntheticFuels!$C$4:$C$1000)*1,("var_ncap"=[1]OUT_SyntheticFuels!$B$4:$B$1000)*1,[1]OUT_SyntheticFuels!F$4:F$1000)</f>
        <v>0</v>
      </c>
      <c r="H2334" s="7" cm="1">
        <f t="array" ref="H2334">SUMPRODUCT(("SUP_WODBIO"=[1]OUT_SyntheticFuels!$C$4:$C$1000)*1,("var_ncap"=[1]OUT_SyntheticFuels!$B$4:$B$1000)*1,[1]OUT_SyntheticFuels!G$4:G$1000)</f>
        <v>0</v>
      </c>
      <c r="I2334" s="7" cm="1">
        <f t="array" ref="I2334">SUMPRODUCT(("SUP_WODBIO"=[1]OUT_SyntheticFuels!$C$4:$C$1000)*1,("var_ncap"=[1]OUT_SyntheticFuels!$B$4:$B$1000)*1,[1]OUT_SyntheticFuels!H$4:H$1000)</f>
        <v>0</v>
      </c>
      <c r="J2334" s="7" cm="1">
        <f t="array" ref="J2334">SUMPRODUCT(("SUP_WODBIO"=[2]OUT_SyntheticFuels!$C$4:$C$1000)*1,("var_ncap"=[2]OUT_SyntheticFuels!$B$4:$B$1000)*1,[2]OUT_SyntheticFuels!I$4:I$1000)</f>
        <v>0</v>
      </c>
      <c r="K2334" s="7" cm="1">
        <f t="array" ref="K2334">SUMPRODUCT(("SUP_WODBIO"=[2]OUT_SyntheticFuels!$C$4:$C$1000)*1,("var_ncap"=[2]OUT_SyntheticFuels!$B$4:$B$1000)*1,[2]OUT_SyntheticFuels!J$4:J$1000)</f>
        <v>0</v>
      </c>
      <c r="L2334" s="7" cm="1">
        <f t="array" ref="L2334">SUMPRODUCT(("SUP_WODBIO"=[2]OUT_SyntheticFuels!$C$4:$C$1000)*1,("var_ncap"=[2]OUT_SyntheticFuels!$B$4:$B$1000)*1,[2]OUT_SyntheticFuels!K$4:K$1000)</f>
        <v>0</v>
      </c>
      <c r="N2334" s="1"/>
    </row>
    <row r="2335" spans="2:14" x14ac:dyDescent="0.35">
      <c r="B2335" s="5" t="str">
        <f t="shared" si="2191"/>
        <v>SPS1</v>
      </c>
      <c r="C2335" s="5" t="str">
        <f t="shared" si="2192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1"/>
        <v>SPS1</v>
      </c>
      <c r="C2336" s="5" t="str">
        <f t="shared" si="2192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1.43200829059301E-2</v>
      </c>
      <c r="G2336" s="7" cm="1">
        <f t="array" ref="G2336">SUMPRODUCT(("SUP_BIONGA"=[1]OUT_SyntheticFuels!$C$4:$C$1000)*1,("var_ncap"=[1]OUT_SyntheticFuels!$B$4:$B$1000)*1,[1]OUT_SyntheticFuels!F$4:F$1000)</f>
        <v>0.10142873047162</v>
      </c>
      <c r="H2336" s="7" cm="1">
        <f t="array" ref="H2336">SUMPRODUCT(("SUP_BIONGA"=[1]OUT_SyntheticFuels!$C$4:$C$1000)*1,("var_ncap"=[1]OUT_SyntheticFuels!$B$4:$B$1000)*1,[1]OUT_SyntheticFuels!G$4:G$1000)</f>
        <v>2.5649712529139201E-6</v>
      </c>
      <c r="I2336" s="7" cm="1">
        <f t="array" ref="I2336">SUMPRODUCT(("SUP_BIONGA"=[1]OUT_SyntheticFuels!$C$4:$C$1000)*1,("var_ncap"=[1]OUT_SyntheticFuels!$B$4:$B$1000)*1,[1]OUT_SyntheticFuels!H$4:H$1000)</f>
        <v>4.8522800419613004E-3</v>
      </c>
      <c r="J2336" s="7" cm="1">
        <f t="array" ref="J2336">SUMPRODUCT(("SUP_BIONGA"=[2]OUT_SyntheticFuels!$C$4:$C$1000)*1,("var_ncap"=[2]OUT_SyntheticFuels!$B$4:$B$1000)*1,[2]OUT_SyntheticFuels!I$4:I$1000)</f>
        <v>1.8679746370232401E-2</v>
      </c>
      <c r="K2336" s="7" cm="1">
        <f t="array" ref="K2336">SUMPRODUCT(("SUP_BIONGA"=[2]OUT_SyntheticFuels!$C$4:$C$1000)*1,("var_ncap"=[2]OUT_SyntheticFuels!$B$4:$B$1000)*1,[2]OUT_SyntheticFuels!J$4:J$1000)</f>
        <v>1.1569575991020599E-2</v>
      </c>
      <c r="L2336" s="7" cm="1">
        <f t="array" ref="L2336">SUMPRODUCT(("SUP_BIONGA"=[2]OUT_SyntheticFuels!$C$4:$C$1000)*1,("var_ncap"=[2]OUT_SyntheticFuels!$B$4:$B$1000)*1,[2]OUT_SyntheticFuels!K$4:K$1000)</f>
        <v>7.5993467782426799E-2</v>
      </c>
      <c r="N2336" s="1"/>
    </row>
    <row r="2337" spans="2:14" x14ac:dyDescent="0.35">
      <c r="B2337" s="5" t="str">
        <f t="shared" si="2191"/>
        <v>SPS1</v>
      </c>
      <c r="C2337" s="5" t="str">
        <f t="shared" si="2192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0.153788464615393</v>
      </c>
      <c r="G2337" s="7" cm="1">
        <f t="array" ref="G2337">SUMPRODUCT(("CT_CWODPLT"=[1]OUT_SyntheticFuels!$C$4:$C$1000)*1,("var_ncap"=[1]OUT_SyntheticFuels!$B$4:$B$1000)*1,[1]OUT_SyntheticFuels!F$4:F$1000)</f>
        <v>5.3851798965699901E-2</v>
      </c>
      <c r="H2337" s="7" cm="1">
        <f t="array" ref="H2337">SUMPRODUCT(("CT_CWODPLT"=[1]OUT_SyntheticFuels!$C$4:$C$1000)*1,("var_ncap"=[1]OUT_SyntheticFuels!$B$4:$B$1000)*1,[1]OUT_SyntheticFuels!G$4:G$1000)</f>
        <v>2.1998371035125698E-6</v>
      </c>
      <c r="I2337" s="7" cm="1">
        <f t="array" ref="I2337">SUMPRODUCT(("CT_CWODPLT"=[1]OUT_SyntheticFuels!$C$4:$C$1000)*1,("var_ncap"=[1]OUT_SyntheticFuels!$B$4:$B$1000)*1,[1]OUT_SyntheticFuels!H$4:H$1000)</f>
        <v>2.46183297783673E-6</v>
      </c>
      <c r="J2337" s="7" cm="1">
        <f t="array" ref="J2337">SUMPRODUCT(("CT_CWODPLT"=[2]OUT_SyntheticFuels!$C$4:$C$1000)*1,("var_ncap"=[2]OUT_SyntheticFuels!$B$4:$B$1000)*1,[2]OUT_SyntheticFuels!I$4:I$1000)</f>
        <v>6.2102209999602498E-6</v>
      </c>
      <c r="K2337" s="7" cm="1">
        <f t="array" ref="K2337">SUMPRODUCT(("CT_CWODPLT"=[2]OUT_SyntheticFuels!$C$4:$C$1000)*1,("var_ncap"=[2]OUT_SyntheticFuels!$B$4:$B$1000)*1,[2]OUT_SyntheticFuels!J$4:J$1000)</f>
        <v>1.5687744084318399E-2</v>
      </c>
      <c r="L2337" s="7" cm="1">
        <f t="array" ref="L2337">SUMPRODUCT(("CT_CWODPLT"=[2]OUT_SyntheticFuels!$C$4:$C$1000)*1,("var_ncap"=[2]OUT_SyntheticFuels!$B$4:$B$1000)*1,[2]OUT_SyntheticFuels!K$4:K$1000)</f>
        <v>1.79498766401089E-2</v>
      </c>
      <c r="N2337" s="1"/>
    </row>
    <row r="2338" spans="2:14" x14ac:dyDescent="0.35">
      <c r="B2338" s="5" t="str">
        <f t="shared" si="2191"/>
        <v>SPS1</v>
      </c>
      <c r="C2338" s="5" t="str">
        <f t="shared" si="2192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1.3337328998883199E-6</v>
      </c>
      <c r="J2338" s="7" cm="1">
        <f t="array" ref="J2338">SUMPRODUCT(("SUP_H2NGA"=[2]OUT_SyntheticFuels!$C$4:$C$1000)*1,("var_ncap"=[2]OUT_SyntheticFuels!$B$4:$B$1000)*1,[2]OUT_SyntheticFuels!I$4:I$1000)</f>
        <v>1.82453978874794E-6</v>
      </c>
      <c r="K2338" s="7" cm="1">
        <f t="array" ref="K2338">SUMPRODUCT(("SUP_H2NGA"=[2]OUT_SyntheticFuels!$C$4:$C$1000)*1,("var_ncap"=[2]OUT_SyntheticFuels!$B$4:$B$1000)*1,[2]OUT_SyntheticFuels!J$4:J$1000)</f>
        <v>1.0058797288121099E-6</v>
      </c>
      <c r="L2338" s="7" cm="1">
        <f t="array" ref="L2338">SUMPRODUCT(("SUP_H2NGA"=[2]OUT_SyntheticFuels!$C$4:$C$1000)*1,("var_ncap"=[2]OUT_SyntheticFuels!$B$4:$B$1000)*1,[2]OUT_SyntheticFuels!K$4:K$1000)</f>
        <v>7.1315003271585996E-7</v>
      </c>
      <c r="N2338" s="1"/>
    </row>
    <row r="2339" spans="2:14" x14ac:dyDescent="0.35">
      <c r="B2339" s="5" t="str">
        <f t="shared" si="2191"/>
        <v>SPS1</v>
      </c>
      <c r="C2339" s="5" t="str">
        <f t="shared" si="2192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1.3176430047381799E-6</v>
      </c>
      <c r="J2339" s="7" cm="1">
        <f t="array" ref="J2339">SUMPRODUCT(("SUP_H2DSL"=[2]OUT_SyntheticFuels!$C$4:$C$1000)*1,("var_ncap"=[2]OUT_SyntheticFuels!$B$4:$B$1000)*1,[2]OUT_SyntheticFuels!I$4:I$1000)</f>
        <v>2.3881305743763399E-6</v>
      </c>
      <c r="K2339" s="7" cm="1">
        <f t="array" ref="K2339">SUMPRODUCT(("SUP_H2DSL"=[2]OUT_SyntheticFuels!$C$4:$C$1000)*1,("var_ncap"=[2]OUT_SyntheticFuels!$B$4:$B$1000)*1,[2]OUT_SyntheticFuels!J$4:J$1000)</f>
        <v>1.3629090809916101E-6</v>
      </c>
      <c r="L2339" s="7" cm="1">
        <f t="array" ref="L2339">SUMPRODUCT(("SUP_H2DSL"=[2]OUT_SyntheticFuels!$C$4:$C$1000)*1,("var_ncap"=[2]OUT_SyntheticFuels!$B$4:$B$1000)*1,[2]OUT_SyntheticFuels!K$4:K$1000)</f>
        <v>1.0558431912653401E-6</v>
      </c>
      <c r="N2339" s="1"/>
    </row>
    <row r="2340" spans="2:14" x14ac:dyDescent="0.35">
      <c r="B2340" s="5" t="str">
        <f t="shared" si="2191"/>
        <v>SPS1</v>
      </c>
      <c r="C2340" s="5" t="str">
        <f t="shared" si="2192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1.40711351287848E-6</v>
      </c>
      <c r="J2340" s="7" cm="1">
        <f t="array" ref="J2340">SUMPRODUCT(("SUP_H2GSL"=[2]OUT_SyntheticFuels!$C$4:$C$1000)*1,("var_ncap"=[2]OUT_SyntheticFuels!$B$4:$B$1000)*1,[2]OUT_SyntheticFuels!I$4:I$1000)</f>
        <v>2.2346645626624399E-6</v>
      </c>
      <c r="K2340" s="7" cm="1">
        <f t="array" ref="K2340">SUMPRODUCT(("SUP_H2GSL"=[2]OUT_SyntheticFuels!$C$4:$C$1000)*1,("var_ncap"=[2]OUT_SyntheticFuels!$B$4:$B$1000)*1,[2]OUT_SyntheticFuels!J$4:J$1000)</f>
        <v>1.26166846370275E-6</v>
      </c>
      <c r="L2340" s="7" cm="1">
        <f t="array" ref="L2340">SUMPRODUCT(("SUP_H2GSL"=[2]OUT_SyntheticFuels!$C$4:$C$1000)*1,("var_ncap"=[2]OUT_SyntheticFuels!$B$4:$B$1000)*1,[2]OUT_SyntheticFuels!K$4:K$1000)</f>
        <v>9.7137071986642101E-7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717.51423832968521</v>
      </c>
      <c r="D3" s="3">
        <f t="shared" ref="D3:H3" si="0">SUM(D4:D7)</f>
        <v>699.55115607651419</v>
      </c>
      <c r="E3" s="3">
        <f t="shared" si="0"/>
        <v>684.87044382008423</v>
      </c>
      <c r="F3" s="3">
        <f t="shared" si="0"/>
        <v>607.79783265169294</v>
      </c>
      <c r="G3" s="3">
        <f t="shared" si="0"/>
        <v>541.61461014194515</v>
      </c>
      <c r="H3" s="3">
        <f t="shared" si="0"/>
        <v>504.6293121269029</v>
      </c>
    </row>
    <row r="4" spans="2:8" x14ac:dyDescent="0.35">
      <c r="B4" s="25" t="s">
        <v>1727</v>
      </c>
      <c r="C4" s="1">
        <f>SPS3_NUC_Low!F763</f>
        <v>142.21760158700843</v>
      </c>
      <c r="D4" s="1">
        <f>SPS3_NUC_Low!G763</f>
        <v>139.06071934956051</v>
      </c>
      <c r="E4" s="1">
        <f>SPS3_NUC_Low!H763</f>
        <v>144.60837035759988</v>
      </c>
      <c r="F4" s="1">
        <f>SPS3_NUC_Low!I763</f>
        <v>134.30391156555439</v>
      </c>
      <c r="G4" s="1">
        <f>SPS3_NUC_Low!J763</f>
        <v>135.41089067221586</v>
      </c>
      <c r="H4" s="1">
        <f>SPS3_NUC_Low!K763</f>
        <v>134.51825330379438</v>
      </c>
    </row>
    <row r="5" spans="2:8" x14ac:dyDescent="0.35">
      <c r="B5" s="25" t="s">
        <v>1728</v>
      </c>
      <c r="C5" s="1">
        <f>SPS3_NUC_Low!F882</f>
        <v>140.10115563936907</v>
      </c>
      <c r="D5" s="1">
        <f>SPS3_NUC_Low!G882</f>
        <v>137.10230581612601</v>
      </c>
      <c r="E5" s="1">
        <f>SPS3_NUC_Low!H882</f>
        <v>132.14774722520764</v>
      </c>
      <c r="F5" s="1">
        <f>SPS3_NUC_Low!I882</f>
        <v>118.3132511459926</v>
      </c>
      <c r="G5" s="1">
        <f>SPS3_NUC_Low!J882</f>
        <v>108.72921439136367</v>
      </c>
      <c r="H5" s="1">
        <f>SPS3_NUC_Low!K882</f>
        <v>98.969872435371769</v>
      </c>
    </row>
    <row r="6" spans="2:8" x14ac:dyDescent="0.35">
      <c r="B6" s="25" t="s">
        <v>1729</v>
      </c>
      <c r="C6" s="1">
        <f>SPS3_NUC_Low!F972</f>
        <v>219.87423080493457</v>
      </c>
      <c r="D6" s="1">
        <f>SPS3_NUC_Low!G972</f>
        <v>216.46301812830364</v>
      </c>
      <c r="E6" s="1">
        <f>SPS3_NUC_Low!H972</f>
        <v>219.07144003015637</v>
      </c>
      <c r="F6" s="1">
        <f>SPS3_NUC_Low!I972</f>
        <v>196.14900403904147</v>
      </c>
      <c r="G6" s="1">
        <f>SPS3_NUC_Low!J972</f>
        <v>181.80754072696601</v>
      </c>
      <c r="H6" s="1">
        <f>SPS3_NUC_Low!K972</f>
        <v>168.67463050144752</v>
      </c>
    </row>
    <row r="7" spans="2:8" x14ac:dyDescent="0.35">
      <c r="B7" s="25" t="s">
        <v>1730</v>
      </c>
      <c r="C7" s="1">
        <f>SPS3_NUC_Low!F1136+SPS3_NUC_Low!F1315+SPS3_NUC_Low!F1399+SPS3_NUC_Low!F1483+SPS3_NUC_Low!F1490+SPS3_NUC_Low!F1497+SPS3_NUC_Low!F1546+SPS3_NUC_Low!F1593+SPS3_NUC_Low!F1640</f>
        <v>215.32125029837306</v>
      </c>
      <c r="D7" s="1">
        <f>SPS3_NUC_Low!G1136+SPS3_NUC_Low!G1315+SPS3_NUC_Low!G1399+SPS3_NUC_Low!G1483+SPS3_NUC_Low!G1490+SPS3_NUC_Low!G1497+SPS3_NUC_Low!G1546+SPS3_NUC_Low!G1593+SPS3_NUC_Low!G1640</f>
        <v>206.92511278252408</v>
      </c>
      <c r="E7" s="1">
        <f>SPS3_NUC_Low!H1136+SPS3_NUC_Low!H1315+SPS3_NUC_Low!H1399+SPS3_NUC_Low!H1483+SPS3_NUC_Low!H1490+SPS3_NUC_Low!H1497+SPS3_NUC_Low!H1546+SPS3_NUC_Low!H1593+SPS3_NUC_Low!H1640</f>
        <v>189.04288620712029</v>
      </c>
      <c r="F7" s="1">
        <f>SPS3_NUC_Low!I1136+SPS3_NUC_Low!I1315+SPS3_NUC_Low!I1399+SPS3_NUC_Low!I1483+SPS3_NUC_Low!I1490+SPS3_NUC_Low!I1497+SPS3_NUC_Low!I1546+SPS3_NUC_Low!I1593+SPS3_NUC_Low!I1640</f>
        <v>159.03166590110453</v>
      </c>
      <c r="G7" s="1">
        <f>SPS3_NUC_Low!J1136+SPS3_NUC_Low!J1315+SPS3_NUC_Low!J1399+SPS3_NUC_Low!J1483+SPS3_NUC_Low!J1490+SPS3_NUC_Low!J1497+SPS3_NUC_Low!J1546+SPS3_NUC_Low!J1593+SPS3_NUC_Low!J1640</f>
        <v>115.6669643513996</v>
      </c>
      <c r="H7" s="1">
        <f>SPS3_NUC_Low!K1136+SPS3_NUC_Low!K1315+SPS3_NUC_Low!K1399+SPS3_NUC_Low!K1483+SPS3_NUC_Low!K1490+SPS3_NUC_Low!K1497+SPS3_NUC_Low!K1546+SPS3_NUC_Low!K1593+SPS3_NUC_Low!K1640</f>
        <v>102.4665558862892</v>
      </c>
    </row>
    <row r="8" spans="2:8" x14ac:dyDescent="0.35">
      <c r="B8" s="2" t="s">
        <v>1735</v>
      </c>
      <c r="C8" s="3">
        <f>SUM(C9:C12)</f>
        <v>509.55160259563098</v>
      </c>
      <c r="D8" s="3">
        <f t="shared" ref="D8:H8" si="1">SUM(D9:D12)</f>
        <v>505.04068625965851</v>
      </c>
      <c r="E8" s="3">
        <f t="shared" si="1"/>
        <v>510.58733857824137</v>
      </c>
      <c r="F8" s="3">
        <f t="shared" si="1"/>
        <v>529.19798107954296</v>
      </c>
      <c r="G8" s="3">
        <f t="shared" si="1"/>
        <v>538.68912255491625</v>
      </c>
      <c r="H8" s="3">
        <f t="shared" si="1"/>
        <v>570.05443624799511</v>
      </c>
    </row>
    <row r="9" spans="2:8" x14ac:dyDescent="0.35">
      <c r="B9" s="25" t="s">
        <v>1732</v>
      </c>
      <c r="C9" s="1">
        <f>SPS3_NUC_Low!F291+SPS3_NUC_Low!F409</f>
        <v>493.35034555354048</v>
      </c>
      <c r="D9" s="1">
        <f>SPS3_NUC_Low!G291+SPS3_NUC_Low!G409</f>
        <v>479.71939018565234</v>
      </c>
      <c r="E9" s="1">
        <f>SPS3_NUC_Low!H291+SPS3_NUC_Low!H409</f>
        <v>484.03300339055238</v>
      </c>
      <c r="F9" s="1">
        <f>SPS3_NUC_Low!I291+SPS3_NUC_Low!I409</f>
        <v>504.95288850558825</v>
      </c>
      <c r="G9" s="1">
        <f>SPS3_NUC_Low!J291+SPS3_NUC_Low!J409</f>
        <v>506.99160015374133</v>
      </c>
      <c r="H9" s="1">
        <f>SPS3_NUC_Low!K291+SPS3_NUC_Low!K409</f>
        <v>522.81031251282809</v>
      </c>
    </row>
    <row r="10" spans="2:8" x14ac:dyDescent="0.35">
      <c r="B10" s="25" t="s">
        <v>1733</v>
      </c>
      <c r="C10" s="1">
        <f>SPS3_NUC_Low!F590+SPS3_NUC_Low!F604+SPS3_NUC_Low!F644</f>
        <v>16.194736936115465</v>
      </c>
      <c r="D10" s="1">
        <f>SPS3_NUC_Low!G590+SPS3_NUC_Low!G604+SPS3_NUC_Low!G644</f>
        <v>25.311941448724667</v>
      </c>
      <c r="E10" s="1">
        <f>SPS3_NUC_Low!H590+SPS3_NUC_Low!H604+SPS3_NUC_Low!H644</f>
        <v>26.544943759351252</v>
      </c>
      <c r="F10" s="1">
        <f>SPS3_NUC_Low!I590+SPS3_NUC_Low!I604+SPS3_NUC_Low!I644</f>
        <v>24.231868340281498</v>
      </c>
      <c r="G10" s="1">
        <f>SPS3_NUC_Low!J590+SPS3_NUC_Low!J604+SPS3_NUC_Low!J644</f>
        <v>25.68959277075847</v>
      </c>
      <c r="H10" s="1">
        <f>SPS3_NUC_Low!K590+SPS3_NUC_Low!K604+SPS3_NUC_Low!K644</f>
        <v>31.454667561675219</v>
      </c>
    </row>
    <row r="11" spans="2:8" x14ac:dyDescent="0.35">
      <c r="B11" s="25" t="s">
        <v>1731</v>
      </c>
      <c r="C11" s="1">
        <f>SPS3_NUC_Low!F679</f>
        <v>6.5201059750009645E-3</v>
      </c>
      <c r="D11" s="1">
        <f>SPS3_NUC_Low!G679</f>
        <v>9.3546252815172488E-3</v>
      </c>
      <c r="E11" s="1">
        <f>SPS3_NUC_Low!H679</f>
        <v>9.3914283377240088E-3</v>
      </c>
      <c r="F11" s="1">
        <f>SPS3_NUC_Low!I679</f>
        <v>1.3224233673157285E-2</v>
      </c>
      <c r="G11" s="1">
        <f>SPS3_NUC_Low!J679</f>
        <v>6.0079296304164345</v>
      </c>
      <c r="H11" s="1">
        <f>SPS3_NUC_Low!K679</f>
        <v>15.78945617349174</v>
      </c>
    </row>
    <row r="12" spans="2:8" x14ac:dyDescent="0.35">
      <c r="B12" s="25" t="s">
        <v>1734</v>
      </c>
      <c r="C12" s="1">
        <f>SPS3_NUC_Low!F1707</f>
        <v>0</v>
      </c>
      <c r="D12" s="1">
        <f>SPS3_NUC_Low!G1707</f>
        <v>0</v>
      </c>
      <c r="E12" s="1">
        <f>SPS3_NUC_Low!H1707</f>
        <v>0</v>
      </c>
      <c r="F12" s="1">
        <f>SPS3_NUC_Low!I1707</f>
        <v>0</v>
      </c>
      <c r="G12" s="1">
        <f>SPS3_NUC_Low!J1707</f>
        <v>0</v>
      </c>
      <c r="H12" s="1">
        <f>SPS3_NUC_Low!K1707</f>
        <v>0</v>
      </c>
    </row>
    <row r="13" spans="2:8" x14ac:dyDescent="0.35">
      <c r="B13" s="2" t="s">
        <v>1736</v>
      </c>
      <c r="C13" s="3">
        <f>SPS3_NUC_Low!F2+SPS3_NUC_Low!F20-SPS3_NUC_Low!F57</f>
        <v>963.90607471923227</v>
      </c>
      <c r="D13" s="3">
        <f>SPS3_NUC_Low!G2+SPS3_NUC_Low!G20-SPS3_NUC_Low!G57</f>
        <v>961.7925757747754</v>
      </c>
      <c r="E13" s="3">
        <f>SPS3_NUC_Low!H2+SPS3_NUC_Low!H20-SPS3_NUC_Low!H57</f>
        <v>908.27532365117929</v>
      </c>
      <c r="F13" s="3">
        <f>SPS3_NUC_Low!I2+SPS3_NUC_Low!I20-SPS3_NUC_Low!I57</f>
        <v>858.90533272457424</v>
      </c>
      <c r="G13" s="3">
        <f>SPS3_NUC_Low!J2+SPS3_NUC_Low!J20-SPS3_NUC_Low!J57</f>
        <v>772.60391170245896</v>
      </c>
      <c r="H13" s="3">
        <f>SPS3_NUC_Low!K2+SPS3_NUC_Low!K20-SPS3_NUC_Low!K57</f>
        <v>754.12563387459556</v>
      </c>
    </row>
    <row r="14" spans="2:8" x14ac:dyDescent="0.35">
      <c r="B14" s="25" t="s">
        <v>1737</v>
      </c>
      <c r="C14" s="1">
        <f>SPS3_NUC_Low!F2</f>
        <v>300.18621340525118</v>
      </c>
      <c r="D14" s="1">
        <f>SPS3_NUC_Low!G2</f>
        <v>295.40136239813279</v>
      </c>
      <c r="E14" s="1">
        <f>SPS3_NUC_Low!H2</f>
        <v>332.78994579956441</v>
      </c>
      <c r="F14" s="1">
        <f>SPS3_NUC_Low!I2</f>
        <v>403.54133984502317</v>
      </c>
      <c r="G14" s="1">
        <f>SPS3_NUC_Low!J2</f>
        <v>407.54650741124362</v>
      </c>
      <c r="H14" s="1">
        <f>SPS3_NUC_Low!K2</f>
        <v>437.72062924862462</v>
      </c>
    </row>
    <row r="15" spans="2:8" x14ac:dyDescent="0.35">
      <c r="B15" s="25" t="s">
        <v>19</v>
      </c>
      <c r="C15" s="1">
        <f>SPS3_NUC_Low!F20</f>
        <v>780.8898825531777</v>
      </c>
      <c r="D15" s="1">
        <f>SPS3_NUC_Low!G20</f>
        <v>703.03717422868715</v>
      </c>
      <c r="E15" s="1">
        <f>SPS3_NUC_Low!H20</f>
        <v>651.20694316298079</v>
      </c>
      <c r="F15" s="1">
        <f>SPS3_NUC_Low!I20</f>
        <v>506.11044461011778</v>
      </c>
      <c r="G15" s="1">
        <f>SPS3_NUC_Low!J20</f>
        <v>407.80546536782583</v>
      </c>
      <c r="H15" s="1">
        <f>SPS3_NUC_Low!K20</f>
        <v>340.12194219994376</v>
      </c>
    </row>
    <row r="16" spans="2:8" x14ac:dyDescent="0.35">
      <c r="B16" s="25" t="s">
        <v>24</v>
      </c>
      <c r="C16" s="1">
        <f>SPS3_NUC_Low!F57</f>
        <v>117.17002123919661</v>
      </c>
      <c r="D16" s="1">
        <f>SPS3_NUC_Low!G57</f>
        <v>36.645960852044595</v>
      </c>
      <c r="E16" s="1">
        <f>SPS3_NUC_Low!H57</f>
        <v>75.721565311365879</v>
      </c>
      <c r="F16" s="1">
        <f>SPS3_NUC_Low!I57</f>
        <v>50.746451730566761</v>
      </c>
      <c r="G16" s="1">
        <f>SPS3_NUC_Low!J57</f>
        <v>42.748061076610497</v>
      </c>
      <c r="H16" s="1">
        <f>SPS3_NUC_Low!K57</f>
        <v>23.716937573972789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5FC0034A-A8C3-4A0F-BAC6-0C999DBD9A5E}"/>
</file>

<file path=customXml/itemProps2.xml><?xml version="1.0" encoding="utf-8"?>
<ds:datastoreItem xmlns:ds="http://schemas.openxmlformats.org/officeDocument/2006/customXml" ds:itemID="{90BCDCF0-234F-4C1E-96AF-2354BE50E701}"/>
</file>

<file path=customXml/itemProps3.xml><?xml version="1.0" encoding="utf-8"?>
<ds:datastoreItem xmlns:ds="http://schemas.openxmlformats.org/officeDocument/2006/customXml" ds:itemID="{B99E9E8E-9830-4E56-84EC-322944E4F47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SPS3_NUC_Low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