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9059EF5C-08B5-422F-8CA1-B726E24DCC53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_SOC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SPS3_SOC_Mid!$A$1:$K$2232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/>
  <c r="F2034" i="1" a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I925" i="1" s="1"/>
  <c r="I924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F786" i="1" s="1"/>
  <c r="F787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G283" i="1" s="1"/>
  <c r="G382" i="1" s="1"/>
  <c r="G513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H216" i="1"/>
  <c r="G216" i="1"/>
  <c r="G212" i="1" s="1"/>
  <c r="F216" i="1"/>
  <c r="F212" i="1" s="1"/>
  <c r="I212" i="1"/>
  <c r="H212" i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I133" i="1"/>
  <c r="H133" i="1"/>
  <c r="G133" i="1"/>
  <c r="F133" i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115" i="1"/>
  <c r="I97" i="1"/>
  <c r="H97" i="1"/>
  <c r="G97" i="1"/>
  <c r="F97" i="1"/>
  <c r="F129" i="1" s="1"/>
  <c r="I96" i="1"/>
  <c r="I128" i="1" s="1"/>
  <c r="H96" i="1"/>
  <c r="H128" i="1" s="1"/>
  <c r="G96" i="1"/>
  <c r="F96" i="1"/>
  <c r="F128" i="1" s="1"/>
  <c r="I95" i="1"/>
  <c r="H95" i="1"/>
  <c r="G95" i="1"/>
  <c r="F95" i="1"/>
  <c r="I94" i="1"/>
  <c r="H94" i="1"/>
  <c r="G94" i="1"/>
  <c r="G126" i="1" s="1"/>
  <c r="F94" i="1"/>
  <c r="I93" i="1"/>
  <c r="I125" i="1" s="1"/>
  <c r="H93" i="1"/>
  <c r="G93" i="1"/>
  <c r="G125" i="1" s="1"/>
  <c r="F93" i="1"/>
  <c r="I92" i="1"/>
  <c r="H92" i="1"/>
  <c r="H124" i="1" s="1"/>
  <c r="G92" i="1"/>
  <c r="F92" i="1"/>
  <c r="F124" i="1" s="1"/>
  <c r="I91" i="1"/>
  <c r="I123" i="1" s="1"/>
  <c r="H91" i="1"/>
  <c r="H123" i="1" s="1"/>
  <c r="G91" i="1"/>
  <c r="G123" i="1" s="1"/>
  <c r="F91" i="1"/>
  <c r="F123" i="1" s="1"/>
  <c r="I90" i="1"/>
  <c r="I122" i="1" s="1"/>
  <c r="H90" i="1"/>
  <c r="G90" i="1"/>
  <c r="F90" i="1"/>
  <c r="I89" i="1"/>
  <c r="I121" i="1" s="1"/>
  <c r="H89" i="1"/>
  <c r="H121" i="1" s="1"/>
  <c r="G89" i="1"/>
  <c r="G121" i="1" s="1"/>
  <c r="F89" i="1"/>
  <c r="I88" i="1"/>
  <c r="H88" i="1"/>
  <c r="G88" i="1"/>
  <c r="G120" i="1" s="1"/>
  <c r="F88" i="1"/>
  <c r="F120" i="1" s="1"/>
  <c r="I87" i="1"/>
  <c r="I119" i="1" s="1"/>
  <c r="H87" i="1"/>
  <c r="H119" i="1" s="1"/>
  <c r="G87" i="1"/>
  <c r="F87" i="1"/>
  <c r="F119" i="1" s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85" i="1" l="1"/>
  <c r="I516" i="1" s="1"/>
  <c r="H325" i="1"/>
  <c r="H480" i="1" s="1"/>
  <c r="F300" i="1"/>
  <c r="F413" i="1" s="1"/>
  <c r="F322" i="1"/>
  <c r="F477" i="1" s="1"/>
  <c r="I399" i="1"/>
  <c r="I519" i="1" s="1"/>
  <c r="G400" i="1"/>
  <c r="G520" i="1" s="1"/>
  <c r="H742" i="1" a="1"/>
  <c r="H742" i="1" s="1"/>
  <c r="H744" i="1" s="1" a="1"/>
  <c r="H744" i="1" s="1"/>
  <c r="H300" i="1"/>
  <c r="H413" i="1" s="1"/>
  <c r="H386" i="1"/>
  <c r="H517" i="1" s="1"/>
  <c r="I400" i="1"/>
  <c r="I520" i="1" s="1"/>
  <c r="F380" i="1"/>
  <c r="F437" i="1" s="1"/>
  <c r="F399" i="1"/>
  <c r="F519" i="1" s="1"/>
  <c r="G386" i="1"/>
  <c r="G517" i="1" s="1"/>
  <c r="I361" i="1"/>
  <c r="I428" i="1" s="1"/>
  <c r="I386" i="1"/>
  <c r="I517" i="1" s="1"/>
  <c r="H384" i="1"/>
  <c r="H515" i="1" s="1"/>
  <c r="F321" i="1"/>
  <c r="F476" i="1" s="1"/>
  <c r="I319" i="1"/>
  <c r="I474" i="1" s="1"/>
  <c r="F385" i="1"/>
  <c r="F516" i="1" s="1"/>
  <c r="F362" i="1"/>
  <c r="F429" i="1" s="1"/>
  <c r="H321" i="1"/>
  <c r="H476" i="1" s="1"/>
  <c r="F324" i="1"/>
  <c r="F479" i="1" s="1"/>
  <c r="G301" i="1"/>
  <c r="G465" i="1" s="1"/>
  <c r="G380" i="1"/>
  <c r="G437" i="1" s="1"/>
  <c r="G385" i="1"/>
  <c r="G516" i="1" s="1"/>
  <c r="G314" i="1"/>
  <c r="G419" i="1" s="1"/>
  <c r="F318" i="1"/>
  <c r="F473" i="1" s="1"/>
  <c r="F323" i="1"/>
  <c r="F478" i="1" s="1"/>
  <c r="H318" i="1"/>
  <c r="H473" i="1" s="1"/>
  <c r="H323" i="1"/>
  <c r="H478" i="1" s="1"/>
  <c r="I317" i="1"/>
  <c r="I472" i="1" s="1"/>
  <c r="I322" i="1"/>
  <c r="I477" i="1" s="1"/>
  <c r="I323" i="1"/>
  <c r="I478" i="1" s="1"/>
  <c r="G384" i="1"/>
  <c r="G515" i="1" s="1"/>
  <c r="G398" i="1"/>
  <c r="G439" i="1" s="1"/>
  <c r="I362" i="1"/>
  <c r="I429" i="1" s="1"/>
  <c r="G324" i="1"/>
  <c r="G479" i="1" s="1"/>
  <c r="F363" i="1"/>
  <c r="F504" i="1" s="1"/>
  <c r="I300" i="1"/>
  <c r="I413" i="1" s="1"/>
  <c r="I380" i="1"/>
  <c r="I437" i="1" s="1"/>
  <c r="G241" i="1"/>
  <c r="G316" i="1" s="1"/>
  <c r="G471" i="1" s="1"/>
  <c r="G363" i="1"/>
  <c r="G504" i="1" s="1"/>
  <c r="I324" i="1"/>
  <c r="I479" i="1" s="1"/>
  <c r="H322" i="1"/>
  <c r="H477" i="1" s="1"/>
  <c r="H129" i="1"/>
  <c r="I382" i="1"/>
  <c r="I513" i="1" s="1"/>
  <c r="G128" i="1"/>
  <c r="H400" i="1"/>
  <c r="H520" i="1" s="1"/>
  <c r="G399" i="1"/>
  <c r="G519" i="1" s="1"/>
  <c r="F314" i="1"/>
  <c r="F419" i="1" s="1"/>
  <c r="F364" i="1"/>
  <c r="I314" i="1"/>
  <c r="I419" i="1" s="1"/>
  <c r="F726" i="1" a="1"/>
  <c r="F726" i="1" s="1"/>
  <c r="F728" i="1" s="1" a="1"/>
  <c r="F728" i="1" s="1"/>
  <c r="G317" i="1"/>
  <c r="G472" i="1" s="1"/>
  <c r="G742" i="1" a="1"/>
  <c r="G742" i="1" s="1"/>
  <c r="G744" i="1" s="1" a="1"/>
  <c r="G744" i="1" s="1"/>
  <c r="G315" i="1"/>
  <c r="G420" i="1" s="1"/>
  <c r="G320" i="1"/>
  <c r="G475" i="1" s="1"/>
  <c r="H382" i="1"/>
  <c r="H513" i="1" s="1"/>
  <c r="I318" i="1"/>
  <c r="I473" i="1" s="1"/>
  <c r="F319" i="1"/>
  <c r="F474" i="1" s="1"/>
  <c r="I320" i="1"/>
  <c r="I475" i="1" s="1"/>
  <c r="G319" i="1"/>
  <c r="G474" i="1" s="1"/>
  <c r="H383" i="1"/>
  <c r="H514" i="1" s="1"/>
  <c r="I321" i="1"/>
  <c r="I476" i="1" s="1"/>
  <c r="F384" i="1"/>
  <c r="F515" i="1" s="1"/>
  <c r="F398" i="1"/>
  <c r="F439" i="1" s="1"/>
  <c r="I384" i="1"/>
  <c r="I515" i="1" s="1"/>
  <c r="G300" i="1"/>
  <c r="G413" i="1" s="1"/>
  <c r="G322" i="1"/>
  <c r="G477" i="1" s="1"/>
  <c r="H398" i="1"/>
  <c r="H439" i="1" s="1"/>
  <c r="F317" i="1"/>
  <c r="F472" i="1" s="1"/>
  <c r="F122" i="1"/>
  <c r="F301" i="1"/>
  <c r="F465" i="1" s="1"/>
  <c r="H125" i="1"/>
  <c r="G318" i="1"/>
  <c r="G473" i="1" s="1"/>
  <c r="G323" i="1"/>
  <c r="G478" i="1" s="1"/>
  <c r="H362" i="1"/>
  <c r="H429" i="1" s="1"/>
  <c r="H380" i="1"/>
  <c r="H437" i="1" s="1"/>
  <c r="H385" i="1"/>
  <c r="H516" i="1" s="1"/>
  <c r="H399" i="1"/>
  <c r="H519" i="1" s="1"/>
  <c r="I383" i="1"/>
  <c r="I514" i="1" s="1"/>
  <c r="H301" i="1"/>
  <c r="H465" i="1" s="1"/>
  <c r="I899" i="1"/>
  <c r="I301" i="1"/>
  <c r="I465" i="1" s="1"/>
  <c r="I126" i="1"/>
  <c r="F386" i="1"/>
  <c r="F517" i="1" s="1"/>
  <c r="F400" i="1"/>
  <c r="F520" i="1" s="1"/>
  <c r="I398" i="1"/>
  <c r="I439" i="1" s="1"/>
  <c r="H786" i="1"/>
  <c r="H787" i="1" s="1"/>
  <c r="H783" i="1"/>
  <c r="I786" i="1"/>
  <c r="I787" i="1" s="1"/>
  <c r="I783" i="1"/>
  <c r="F126" i="1"/>
  <c r="I140" i="1" a="1"/>
  <c r="I140" i="1" s="1"/>
  <c r="F383" i="1"/>
  <c r="F514" i="1" s="1"/>
  <c r="H241" i="1"/>
  <c r="H316" i="1" s="1"/>
  <c r="H471" i="1" s="1"/>
  <c r="G383" i="1"/>
  <c r="G514" i="1" s="1"/>
  <c r="H126" i="1"/>
  <c r="F141" i="1" a="1"/>
  <c r="F141" i="1" s="1"/>
  <c r="G362" i="1"/>
  <c r="G429" i="1" s="1"/>
  <c r="H317" i="1"/>
  <c r="H472" i="1" s="1"/>
  <c r="G726" i="1" a="1"/>
  <c r="G726" i="1" s="1"/>
  <c r="G728" i="1" s="1" a="1"/>
  <c r="G728" i="1" s="1"/>
  <c r="G129" i="1"/>
  <c r="G325" i="1"/>
  <c r="G480" i="1" s="1"/>
  <c r="H726" i="1" a="1"/>
  <c r="H726" i="1" s="1"/>
  <c r="H728" i="1" s="1" a="1"/>
  <c r="H728" i="1" s="1"/>
  <c r="F783" i="1"/>
  <c r="G119" i="1"/>
  <c r="H363" i="1"/>
  <c r="H504" i="1" s="1"/>
  <c r="I363" i="1"/>
  <c r="I504" i="1" s="1"/>
  <c r="I726" i="1" a="1"/>
  <c r="I726" i="1" s="1"/>
  <c r="I728" i="1" s="1" a="1"/>
  <c r="I728" i="1" s="1"/>
  <c r="H120" i="1"/>
  <c r="G364" i="1"/>
  <c r="I241" i="1"/>
  <c r="I316" i="1" s="1"/>
  <c r="I471" i="1" s="1"/>
  <c r="I120" i="1"/>
  <c r="F121" i="1"/>
  <c r="I364" i="1"/>
  <c r="G899" i="1"/>
  <c r="H902" i="1"/>
  <c r="F895" i="1"/>
  <c r="F903" i="1" s="1"/>
  <c r="F925" i="1"/>
  <c r="F924" i="1" s="1"/>
  <c r="I315" i="1"/>
  <c r="I420" i="1" s="1"/>
  <c r="I129" i="1"/>
  <c r="I325" i="1"/>
  <c r="I480" i="1" s="1"/>
  <c r="I124" i="1"/>
  <c r="G361" i="1"/>
  <c r="G428" i="1" s="1"/>
  <c r="G140" i="1" a="1"/>
  <c r="G140" i="1" s="1"/>
  <c r="F382" i="1"/>
  <c r="F513" i="1" s="1"/>
  <c r="G925" i="1"/>
  <c r="G924" i="1" s="1"/>
  <c r="G903" i="1"/>
  <c r="G124" i="1"/>
  <c r="F361" i="1"/>
  <c r="F428" i="1" s="1"/>
  <c r="F140" i="1" a="1"/>
  <c r="F140" i="1" s="1"/>
  <c r="F241" i="1"/>
  <c r="F316" i="1" s="1"/>
  <c r="F471" i="1" s="1"/>
  <c r="F125" i="1"/>
  <c r="H361" i="1"/>
  <c r="H428" i="1" s="1"/>
  <c r="H140" i="1" a="1"/>
  <c r="H140" i="1" s="1"/>
  <c r="G786" i="1"/>
  <c r="G787" i="1" s="1"/>
  <c r="G783" i="1"/>
  <c r="H925" i="1"/>
  <c r="H924" i="1" s="1"/>
  <c r="H903" i="1"/>
  <c r="H899" i="1"/>
  <c r="H314" i="1"/>
  <c r="H419" i="1" s="1"/>
  <c r="H319" i="1"/>
  <c r="H474" i="1" s="1"/>
  <c r="H324" i="1"/>
  <c r="H479" i="1" s="1"/>
  <c r="F315" i="1"/>
  <c r="F420" i="1" s="1"/>
  <c r="F320" i="1"/>
  <c r="F475" i="1" s="1"/>
  <c r="F325" i="1"/>
  <c r="F480" i="1" s="1"/>
  <c r="H315" i="1"/>
  <c r="H420" i="1" s="1"/>
  <c r="H320" i="1"/>
  <c r="H475" i="1" s="1"/>
  <c r="H122" i="1"/>
  <c r="G122" i="1"/>
  <c r="G902" i="1"/>
  <c r="G321" i="1"/>
  <c r="G476" i="1" s="1"/>
  <c r="H364" i="1"/>
  <c r="I902" i="1"/>
  <c r="F742" i="1" a="1"/>
  <c r="F742" i="1" s="1"/>
  <c r="F744" i="1" s="1" a="1"/>
  <c r="F744" i="1" s="1"/>
  <c r="I903" i="1"/>
  <c r="I742" i="1" a="1"/>
  <c r="I742" i="1" s="1"/>
  <c r="I744" i="1" s="1" a="1"/>
  <c r="I744" i="1" s="1"/>
  <c r="F899" i="1" l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J1693" i="1" a="1"/>
  <c r="J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1485" i="1" a="1"/>
  <c r="J1485" i="1" s="1"/>
  <c r="K1458" i="1" a="1"/>
  <c r="K1458" i="1" s="1"/>
  <c r="J1458" i="1" a="1"/>
  <c r="J1458" i="1" s="1"/>
  <c r="L1452" i="1" a="1"/>
  <c r="L1452" i="1" s="1"/>
  <c r="J1454" i="1" a="1"/>
  <c r="J1454" i="1" s="1"/>
  <c r="J1450" i="1" a="1"/>
  <c r="J1450" i="1" s="1"/>
  <c r="K1450" i="1" a="1"/>
  <c r="K1450" i="1" s="1"/>
  <c r="L1457" i="1" a="1"/>
  <c r="L1457" i="1" s="1"/>
  <c r="L1456" i="1" a="1"/>
  <c r="L1456" i="1" s="1"/>
  <c r="J1456" i="1" a="1"/>
  <c r="J1456" i="1" s="1"/>
  <c r="L1451" i="1" a="1"/>
  <c r="L1451" i="1" s="1"/>
  <c r="K1457" i="1" a="1"/>
  <c r="K1457" i="1" s="1"/>
  <c r="K1454" i="1" a="1"/>
  <c r="K1454" i="1" s="1"/>
  <c r="K1453" i="1" a="1"/>
  <c r="K1453" i="1" s="1"/>
  <c r="K1456" i="1" a="1"/>
  <c r="K1456" i="1" s="1"/>
  <c r="L1454" i="1" a="1"/>
  <c r="L1454" i="1" s="1"/>
  <c r="J1453" i="1" a="1"/>
  <c r="J1453" i="1" s="1"/>
  <c r="L1450" i="1" a="1"/>
  <c r="L1450" i="1" s="1"/>
  <c r="L1455" i="1" a="1"/>
  <c r="L1455" i="1" s="1"/>
  <c r="K1455" i="1" a="1"/>
  <c r="K1455" i="1" s="1"/>
  <c r="L1453" i="1" a="1"/>
  <c r="L1453" i="1" s="1"/>
  <c r="K1452" i="1" a="1"/>
  <c r="K1452" i="1" s="1"/>
  <c r="J1452" i="1" a="1"/>
  <c r="J1452" i="1" s="1"/>
  <c r="J1457" i="1" a="1"/>
  <c r="J1457" i="1" s="1"/>
  <c r="J1451" i="1" a="1"/>
  <c r="J1451" i="1" s="1"/>
  <c r="J1455" i="1" a="1"/>
  <c r="J1455" i="1" s="1"/>
  <c r="K1451" i="1" a="1"/>
  <c r="K1451" i="1" s="1"/>
  <c r="L1458" i="1" a="1"/>
  <c r="L1458" i="1" s="1"/>
  <c r="K1448" i="1" a="1"/>
  <c r="K1448" i="1" s="1"/>
  <c r="J1447" i="1" a="1"/>
  <c r="J1447" i="1" s="1"/>
  <c r="K1449" i="1" a="1"/>
  <c r="K1449" i="1" s="1"/>
  <c r="J1449" i="1" a="1"/>
  <c r="J1449" i="1" s="1"/>
  <c r="J1443" i="1" a="1"/>
  <c r="J1443" i="1" s="1"/>
  <c r="J1441" i="1" a="1"/>
  <c r="J1441" i="1" s="1"/>
  <c r="J1444" i="1" a="1"/>
  <c r="J1444" i="1" s="1"/>
  <c r="K1446" i="1" a="1"/>
  <c r="K1446" i="1" s="1"/>
  <c r="J1445" i="1" a="1"/>
  <c r="J1445" i="1" s="1"/>
  <c r="K1442" i="1" a="1"/>
  <c r="K1442" i="1" s="1"/>
  <c r="L1448" i="1" a="1"/>
  <c r="L1448" i="1" s="1"/>
  <c r="L1447" i="1" a="1"/>
  <c r="L1447" i="1" s="1"/>
  <c r="L1445" i="1" a="1"/>
  <c r="L1445" i="1" s="1"/>
  <c r="L1441" i="1" a="1"/>
  <c r="L1441" i="1" s="1"/>
  <c r="J1446" i="1" a="1"/>
  <c r="J1446" i="1" s="1"/>
  <c r="K1445" i="1" a="1"/>
  <c r="K1445" i="1" s="1"/>
  <c r="L1440" i="1" a="1"/>
  <c r="L1440" i="1" s="1"/>
  <c r="L1442" i="1" a="1"/>
  <c r="L1442" i="1" s="1"/>
  <c r="L1444" i="1" a="1"/>
  <c r="L1444" i="1" s="1"/>
  <c r="J1442" i="1" a="1"/>
  <c r="J1442" i="1" s="1"/>
  <c r="K1444" i="1" a="1"/>
  <c r="K1444" i="1" s="1"/>
  <c r="K1443" i="1" a="1"/>
  <c r="K1443" i="1" s="1"/>
  <c r="K1441" i="1" a="1"/>
  <c r="K1441" i="1" s="1"/>
  <c r="K1447" i="1" a="1"/>
  <c r="K1447" i="1" s="1"/>
  <c r="L1446" i="1" a="1"/>
  <c r="L1446" i="1" s="1"/>
  <c r="L1443" i="1" a="1"/>
  <c r="L1443" i="1" s="1"/>
  <c r="L1449" i="1" a="1"/>
  <c r="L1449" i="1" s="1"/>
  <c r="J1448" i="1" a="1"/>
  <c r="J1448" i="1" s="1"/>
  <c r="J1440" i="1" a="1"/>
  <c r="J1440" i="1" s="1"/>
  <c r="K1437" i="1" a="1"/>
  <c r="K1437" i="1" s="1"/>
  <c r="K1433" i="1" a="1"/>
  <c r="K1433" i="1" s="1"/>
  <c r="L1439" i="1" a="1"/>
  <c r="L1439" i="1" s="1"/>
  <c r="K1439" i="1" a="1"/>
  <c r="K1439" i="1" s="1"/>
  <c r="J1439" i="1" a="1"/>
  <c r="J1439" i="1" s="1"/>
  <c r="K1434" i="1" a="1"/>
  <c r="K1434" i="1" s="1"/>
  <c r="K1436" i="1" a="1"/>
  <c r="K1436" i="1" s="1"/>
  <c r="L1432" i="1" a="1"/>
  <c r="L1432" i="1" s="1"/>
  <c r="L1431" i="1" a="1"/>
  <c r="L1431" i="1" s="1"/>
  <c r="L1433" i="1" a="1"/>
  <c r="L1433" i="1" s="1"/>
  <c r="L1438" i="1" a="1"/>
  <c r="L1438" i="1" s="1"/>
  <c r="J1432" i="1" a="1"/>
  <c r="J1432" i="1" s="1"/>
  <c r="K1438" i="1" a="1"/>
  <c r="K1438" i="1" s="1"/>
  <c r="J1438" i="1" a="1"/>
  <c r="J1438" i="1" s="1"/>
  <c r="L1437" i="1" a="1"/>
  <c r="L1437" i="1" s="1"/>
  <c r="J1437" i="1" a="1"/>
  <c r="J1437" i="1" s="1"/>
  <c r="L1436" i="1" a="1"/>
  <c r="L1436" i="1" s="1"/>
  <c r="J1433" i="1" a="1"/>
  <c r="J1433" i="1" s="1"/>
  <c r="J1434" i="1" a="1"/>
  <c r="J1434" i="1" s="1"/>
  <c r="L1434" i="1" a="1"/>
  <c r="L1434" i="1" s="1"/>
  <c r="K1440" i="1" a="1"/>
  <c r="K1440" i="1" s="1"/>
  <c r="J1436" i="1" a="1"/>
  <c r="J1436" i="1" s="1"/>
  <c r="K1432" i="1" a="1"/>
  <c r="K1432" i="1" s="1"/>
  <c r="L1948" i="1" a="1"/>
  <c r="L1948" i="1" s="1"/>
  <c r="K1948" i="1" a="1"/>
  <c r="K1948" i="1" s="1"/>
  <c r="K1949" i="1" a="1"/>
  <c r="K1949" i="1" s="1"/>
  <c r="J1949" i="1" a="1"/>
  <c r="J1949" i="1" s="1"/>
  <c r="J1953" i="1" a="1"/>
  <c r="J1953" i="1" s="1"/>
  <c r="K1951" i="1" a="1"/>
  <c r="K1951" i="1" s="1"/>
  <c r="J1950" i="1" a="1"/>
  <c r="J1950" i="1" s="1"/>
  <c r="L1956" i="1" a="1"/>
  <c r="L1956" i="1" s="1"/>
  <c r="K1956" i="1" a="1"/>
  <c r="K1956" i="1" s="1"/>
  <c r="J1956" i="1" a="1"/>
  <c r="J1956" i="1" s="1"/>
  <c r="K1947" i="1" a="1"/>
  <c r="K1947" i="1" s="1"/>
  <c r="J1955" i="1" a="1"/>
  <c r="J1955" i="1" s="1"/>
  <c r="J1952" i="1" a="1"/>
  <c r="J1952" i="1" s="1"/>
  <c r="L1947" i="1" a="1"/>
  <c r="L1947" i="1" s="1"/>
  <c r="L1955" i="1" a="1"/>
  <c r="L1955" i="1" s="1"/>
  <c r="K1955" i="1" a="1"/>
  <c r="K1955" i="1" s="1"/>
  <c r="K1952" i="1" a="1"/>
  <c r="K1952" i="1" s="1"/>
  <c r="K1950" i="1" a="1"/>
  <c r="K1950" i="1" s="1"/>
  <c r="L1953" i="1" a="1"/>
  <c r="L1953" i="1" s="1"/>
  <c r="K1953" i="1" a="1"/>
  <c r="K1953" i="1" s="1"/>
  <c r="L1949" i="1" a="1"/>
  <c r="L1949" i="1" s="1"/>
  <c r="L1952" i="1" a="1"/>
  <c r="L1952" i="1" s="1"/>
  <c r="L1951" i="1" a="1"/>
  <c r="L1951" i="1" s="1"/>
  <c r="J1947" i="1" a="1"/>
  <c r="J1947" i="1" s="1"/>
  <c r="L1950" i="1" a="1"/>
  <c r="L1950" i="1" s="1"/>
  <c r="J1951" i="1" a="1"/>
  <c r="J1951" i="1" s="1"/>
  <c r="J1948" i="1" a="1"/>
  <c r="J1948" i="1" s="1"/>
  <c r="K1945" i="1" a="1"/>
  <c r="K1945" i="1" s="1"/>
  <c r="K1946" i="1" a="1"/>
  <c r="K1946" i="1" s="1"/>
  <c r="J1946" i="1" a="1"/>
  <c r="J1946" i="1" s="1"/>
  <c r="K1944" i="1" a="1"/>
  <c r="K1944" i="1" s="1"/>
  <c r="L1945" i="1" a="1"/>
  <c r="L1945" i="1" s="1"/>
  <c r="L1943" i="1" a="1"/>
  <c r="L1943" i="1" s="1"/>
  <c r="J1944" i="1" a="1"/>
  <c r="J1944" i="1" s="1"/>
  <c r="J1943" i="1" a="1"/>
  <c r="J1943" i="1" s="1"/>
  <c r="L1939" i="1" a="1"/>
  <c r="L1939" i="1" s="1"/>
  <c r="L1942" i="1" a="1"/>
  <c r="L1942" i="1" s="1"/>
  <c r="L1940" i="1" a="1"/>
  <c r="L1940" i="1" s="1"/>
  <c r="L1938" i="1" a="1"/>
  <c r="L1938" i="1" s="1"/>
  <c r="K1938" i="1" a="1"/>
  <c r="K1938" i="1" s="1"/>
  <c r="J1938" i="1" a="1"/>
  <c r="J1938" i="1" s="1"/>
  <c r="J1945" i="1" a="1"/>
  <c r="J1945" i="1" s="1"/>
  <c r="L1941" i="1" a="1"/>
  <c r="L1941" i="1" s="1"/>
  <c r="K1941" i="1" a="1"/>
  <c r="K1941" i="1" s="1"/>
  <c r="K1942" i="1" a="1"/>
  <c r="K1942" i="1" s="1"/>
  <c r="J1940" i="1" a="1"/>
  <c r="J1940" i="1" s="1"/>
  <c r="J1942" i="1" a="1"/>
  <c r="J1942" i="1" s="1"/>
  <c r="K1943" i="1" a="1"/>
  <c r="K1943" i="1" s="1"/>
  <c r="J1939" i="1" a="1"/>
  <c r="J1939" i="1" s="1"/>
  <c r="J1941" i="1" a="1"/>
  <c r="J1941" i="1" s="1"/>
  <c r="K1939" i="1" a="1"/>
  <c r="K1939" i="1" s="1"/>
  <c r="K1940" i="1" a="1"/>
  <c r="K1940" i="1" s="1"/>
  <c r="L1946" i="1" a="1"/>
  <c r="L1946" i="1" s="1"/>
  <c r="L1944" i="1" a="1"/>
  <c r="L1944" i="1" s="1"/>
  <c r="J1937" i="1" a="1"/>
  <c r="J1937" i="1" s="1"/>
  <c r="K1935" i="1" a="1"/>
  <c r="K1935" i="1" s="1"/>
  <c r="J1932" i="1" a="1"/>
  <c r="J1932" i="1" s="1"/>
  <c r="K1934" i="1" a="1"/>
  <c r="K1934" i="1" s="1"/>
  <c r="K1930" i="1" a="1"/>
  <c r="K1930" i="1" s="1"/>
  <c r="L1930" i="1" a="1"/>
  <c r="L1930" i="1" s="1"/>
  <c r="L1929" i="1" a="1"/>
  <c r="L1929" i="1" s="1"/>
  <c r="L1931" i="1" a="1"/>
  <c r="L1931" i="1" s="1"/>
  <c r="J1929" i="1" a="1"/>
  <c r="J1929" i="1" s="1"/>
  <c r="K1933" i="1" a="1"/>
  <c r="K1933" i="1" s="1"/>
  <c r="L1936" i="1" a="1"/>
  <c r="L1936" i="1" s="1"/>
  <c r="L1934" i="1" a="1"/>
  <c r="L1934" i="1" s="1"/>
  <c r="J1936" i="1" a="1"/>
  <c r="J1936" i="1" s="1"/>
  <c r="K1929" i="1" a="1"/>
  <c r="K1929" i="1" s="1"/>
  <c r="L1932" i="1" a="1"/>
  <c r="L1932" i="1" s="1"/>
  <c r="L1937" i="1" a="1"/>
  <c r="L1937" i="1" s="1"/>
  <c r="J1935" i="1" a="1"/>
  <c r="J1935" i="1" s="1"/>
  <c r="J1931" i="1" a="1"/>
  <c r="J1931" i="1" s="1"/>
  <c r="K1936" i="1" a="1"/>
  <c r="K1936" i="1" s="1"/>
  <c r="L1935" i="1" a="1"/>
  <c r="L1935" i="1" s="1"/>
  <c r="L1933" i="1" a="1"/>
  <c r="L1933" i="1" s="1"/>
  <c r="J1934" i="1" a="1"/>
  <c r="J1934" i="1" s="1"/>
  <c r="J1933" i="1" a="1"/>
  <c r="J1933" i="1" s="1"/>
  <c r="K1932" i="1" a="1"/>
  <c r="K1932" i="1" s="1"/>
  <c r="J1930" i="1" a="1"/>
  <c r="J1930" i="1" s="1"/>
  <c r="K1937" i="1" a="1"/>
  <c r="K1937" i="1" s="1"/>
  <c r="K1931" i="1" a="1"/>
  <c r="K1931" i="1" s="1"/>
  <c r="J1925" i="1" a="1"/>
  <c r="J1925" i="1" s="1"/>
  <c r="L1924" i="1" a="1"/>
  <c r="L1924" i="1" s="1"/>
  <c r="J1928" i="1" a="1"/>
  <c r="J1928" i="1" s="1"/>
  <c r="K1920" i="1" a="1"/>
  <c r="K1920" i="1" s="1"/>
  <c r="L1921" i="1" a="1"/>
  <c r="L1921" i="1" s="1"/>
  <c r="K1925" i="1" a="1"/>
  <c r="K1925" i="1" s="1"/>
  <c r="L1928" i="1" a="1"/>
  <c r="L1928" i="1" s="1"/>
  <c r="K1928" i="1" a="1"/>
  <c r="K1928" i="1" s="1"/>
  <c r="J1924" i="1" a="1"/>
  <c r="J1924" i="1" s="1"/>
  <c r="K1927" i="1" a="1"/>
  <c r="K1927" i="1" s="1"/>
  <c r="J1926" i="1" a="1"/>
  <c r="J1926" i="1" s="1"/>
  <c r="K1924" i="1" a="1"/>
  <c r="K1924" i="1" s="1"/>
  <c r="K1922" i="1" a="1"/>
  <c r="K1922" i="1" s="1"/>
  <c r="L1922" i="1" a="1"/>
  <c r="L1922" i="1" s="1"/>
  <c r="L1927" i="1" a="1"/>
  <c r="L1927" i="1" s="1"/>
  <c r="K1923" i="1" a="1"/>
  <c r="K1923" i="1" s="1"/>
  <c r="J1922" i="1" a="1"/>
  <c r="J1922" i="1" s="1"/>
  <c r="L1925" i="1" a="1"/>
  <c r="L1925" i="1" s="1"/>
  <c r="J1921" i="1" a="1"/>
  <c r="J1921" i="1" s="1"/>
  <c r="L1926" i="1" a="1"/>
  <c r="L1926" i="1" s="1"/>
  <c r="L1923" i="1" a="1"/>
  <c r="L1923" i="1" s="1"/>
  <c r="J1923" i="1" a="1"/>
  <c r="J1923" i="1" s="1"/>
  <c r="K1921" i="1" a="1"/>
  <c r="K1921" i="1" s="1"/>
  <c r="L1920" i="1" a="1"/>
  <c r="L1920" i="1" s="1"/>
  <c r="J1920" i="1" a="1"/>
  <c r="J1920" i="1" s="1"/>
  <c r="J1927" i="1" a="1"/>
  <c r="J1927" i="1" s="1"/>
  <c r="K1926" i="1" a="1"/>
  <c r="K1926" i="1" s="1"/>
  <c r="L1915" i="1" a="1"/>
  <c r="L1915" i="1" s="1"/>
  <c r="J1915" i="1" a="1"/>
  <c r="J1915" i="1" s="1"/>
  <c r="K1917" i="1" a="1"/>
  <c r="K1917" i="1" s="1"/>
  <c r="L1910" i="1" a="1"/>
  <c r="L1910" i="1" s="1"/>
  <c r="J1918" i="1" a="1"/>
  <c r="J1918" i="1" s="1"/>
  <c r="L1919" i="1" a="1"/>
  <c r="L1919" i="1" s="1"/>
  <c r="K1919" i="1" a="1"/>
  <c r="K1919" i="1" s="1"/>
  <c r="J1919" i="1" a="1"/>
  <c r="J1919" i="1" s="1"/>
  <c r="L1918" i="1" a="1"/>
  <c r="L1918" i="1" s="1"/>
  <c r="J1911" i="1" a="1"/>
  <c r="J1911" i="1" s="1"/>
  <c r="J1917" i="1" a="1"/>
  <c r="J1917" i="1" s="1"/>
  <c r="J1914" i="1" a="1"/>
  <c r="J1914" i="1" s="1"/>
  <c r="K1916" i="1" a="1"/>
  <c r="K1916" i="1" s="1"/>
  <c r="K1914" i="1" a="1"/>
  <c r="K1914" i="1" s="1"/>
  <c r="L1916" i="1" a="1"/>
  <c r="L1916" i="1" s="1"/>
  <c r="J1916" i="1" a="1"/>
  <c r="J1916" i="1" s="1"/>
  <c r="K1912" i="1" a="1"/>
  <c r="K1912" i="1" s="1"/>
  <c r="K1911" i="1" a="1"/>
  <c r="K1911" i="1" s="1"/>
  <c r="L1911" i="1" a="1"/>
  <c r="L1911" i="1" s="1"/>
  <c r="J1913" i="1" a="1"/>
  <c r="J1913" i="1" s="1"/>
  <c r="K1918" i="1" a="1"/>
  <c r="K1918" i="1" s="1"/>
  <c r="L1914" i="1" a="1"/>
  <c r="L1914" i="1" s="1"/>
  <c r="L1913" i="1" a="1"/>
  <c r="L1913" i="1" s="1"/>
  <c r="K1913" i="1" a="1"/>
  <c r="K1913" i="1" s="1"/>
  <c r="K1915" i="1" a="1"/>
  <c r="K1915" i="1" s="1"/>
  <c r="L1917" i="1" a="1"/>
  <c r="L1917" i="1" s="1"/>
  <c r="J1912" i="1" a="1"/>
  <c r="J1912" i="1" s="1"/>
  <c r="L1912" i="1" a="1"/>
  <c r="L1912" i="1" s="1"/>
  <c r="K1909" i="1" a="1"/>
  <c r="K1909" i="1" s="1"/>
  <c r="J1906" i="1" a="1"/>
  <c r="J1906" i="1" s="1"/>
  <c r="K1905" i="1" a="1"/>
  <c r="K1905" i="1" s="1"/>
  <c r="J1909" i="1" a="1"/>
  <c r="J1909" i="1" s="1"/>
  <c r="L1906" i="1" a="1"/>
  <c r="L1906" i="1" s="1"/>
  <c r="K1906" i="1" a="1"/>
  <c r="K1906" i="1" s="1"/>
  <c r="L1905" i="1" a="1"/>
  <c r="L1905" i="1" s="1"/>
  <c r="J1904" i="1" a="1"/>
  <c r="J1904" i="1" s="1"/>
  <c r="J1905" i="1" a="1"/>
  <c r="J1905" i="1" s="1"/>
  <c r="L1908" i="1" a="1"/>
  <c r="L1908" i="1" s="1"/>
  <c r="L1907" i="1" a="1"/>
  <c r="L1907" i="1" s="1"/>
  <c r="J1907" i="1" a="1"/>
  <c r="J1907" i="1" s="1"/>
  <c r="K1904" i="1" a="1"/>
  <c r="K1904" i="1" s="1"/>
  <c r="L1909" i="1" a="1"/>
  <c r="L1909" i="1" s="1"/>
  <c r="K1907" i="1" a="1"/>
  <c r="K1907" i="1" s="1"/>
  <c r="J1908" i="1" a="1"/>
  <c r="J1908" i="1" s="1"/>
  <c r="L1904" i="1" a="1"/>
  <c r="L1904" i="1" s="1"/>
  <c r="K1910" i="1" a="1"/>
  <c r="K1910" i="1" s="1"/>
  <c r="K1908" i="1" a="1"/>
  <c r="K1908" i="1" s="1"/>
  <c r="J1910" i="1" a="1"/>
  <c r="J1910" i="1" s="1"/>
  <c r="L1673" i="1" a="1"/>
  <c r="L1673" i="1" s="1"/>
  <c r="K1673" i="1" a="1"/>
  <c r="K1673" i="1" s="1"/>
  <c r="J1672" i="1" a="1"/>
  <c r="J1672" i="1" s="1"/>
  <c r="L1671" i="1" a="1"/>
  <c r="L1671" i="1" s="1"/>
  <c r="K1674" i="1" a="1"/>
  <c r="K1674" i="1" s="1"/>
  <c r="L1676" i="1" a="1"/>
  <c r="L1676" i="1" s="1"/>
  <c r="L1672" i="1" a="1"/>
  <c r="L1672" i="1" s="1"/>
  <c r="K1676" i="1" a="1"/>
  <c r="K1676" i="1" s="1"/>
  <c r="L1674" i="1" a="1"/>
  <c r="L1674" i="1" s="1"/>
  <c r="J1671" i="1" a="1"/>
  <c r="J1671" i="1" s="1"/>
  <c r="K1675" i="1" a="1"/>
  <c r="K1675" i="1" s="1"/>
  <c r="J1676" i="1" a="1"/>
  <c r="J1676" i="1" s="1"/>
  <c r="K1670" i="1" a="1"/>
  <c r="K1670" i="1" s="1"/>
  <c r="L1675" i="1" a="1"/>
  <c r="L1675" i="1" s="1"/>
  <c r="L1670" i="1" a="1"/>
  <c r="L1670" i="1" s="1"/>
  <c r="J1675" i="1" a="1"/>
  <c r="J1675" i="1" s="1"/>
  <c r="J1673" i="1" a="1"/>
  <c r="J1673" i="1" s="1"/>
  <c r="J1674" i="1" a="1"/>
  <c r="J1674" i="1" s="1"/>
  <c r="K1671" i="1" a="1"/>
  <c r="K1671" i="1" s="1"/>
  <c r="K1672" i="1" a="1"/>
  <c r="K1672" i="1" s="1"/>
  <c r="J1670" i="1" a="1"/>
  <c r="J1670" i="1" s="1"/>
  <c r="L1669" i="1" a="1"/>
  <c r="L1669" i="1" s="1"/>
  <c r="J1668" i="1" a="1"/>
  <c r="J1668" i="1" s="1"/>
  <c r="J1667" i="1" a="1"/>
  <c r="J1667" i="1" s="1"/>
  <c r="L1662" i="1" a="1"/>
  <c r="L1662" i="1" s="1"/>
  <c r="K1667" i="1" a="1"/>
  <c r="K1667" i="1" s="1"/>
  <c r="L1661" i="1" a="1"/>
  <c r="L1661" i="1" s="1"/>
  <c r="K1660" i="1" a="1"/>
  <c r="K1660" i="1" s="1"/>
  <c r="L1660" i="1" a="1"/>
  <c r="L1660" i="1" s="1"/>
  <c r="K1669" i="1" a="1"/>
  <c r="K1669" i="1" s="1"/>
  <c r="L1668" i="1" a="1"/>
  <c r="L1668" i="1" s="1"/>
  <c r="K1661" i="1" a="1"/>
  <c r="K1661" i="1" s="1"/>
  <c r="J1661" i="1" a="1"/>
  <c r="J1661" i="1" s="1"/>
  <c r="J1660" i="1" a="1"/>
  <c r="J1660" i="1" s="1"/>
  <c r="J1669" i="1" a="1"/>
  <c r="J1669" i="1" s="1"/>
  <c r="K1668" i="1" a="1"/>
  <c r="K1668" i="1" s="1"/>
  <c r="L1667" i="1" a="1"/>
  <c r="L1667" i="1" s="1"/>
  <c r="K1662" i="1" a="1"/>
  <c r="K1662" i="1" s="1"/>
  <c r="J1662" i="1" a="1"/>
  <c r="J1662" i="1" s="1"/>
  <c r="K1643" i="1" a="1"/>
  <c r="K1643" i="1" s="1"/>
  <c r="J1643" i="1" a="1"/>
  <c r="J1643" i="1" s="1"/>
  <c r="K1654" i="1" a="1"/>
  <c r="K1654" i="1" s="1"/>
  <c r="K1646" i="1" a="1"/>
  <c r="K1646" i="1" s="1"/>
  <c r="J1654" i="1" a="1"/>
  <c r="J1654" i="1" s="1"/>
  <c r="J1646" i="1" a="1"/>
  <c r="J1646" i="1" s="1"/>
  <c r="J1647" i="1" a="1"/>
  <c r="J1647" i="1" s="1"/>
  <c r="L1642" i="1" a="1"/>
  <c r="L1642" i="1" s="1"/>
  <c r="L1646" i="1" a="1"/>
  <c r="L1646" i="1" s="1"/>
  <c r="L1654" i="1" a="1"/>
  <c r="L1654" i="1" s="1"/>
  <c r="K1647" i="1" a="1"/>
  <c r="K1647" i="1" s="1"/>
  <c r="K1642" i="1" a="1"/>
  <c r="K1642" i="1" s="1"/>
  <c r="J1642" i="1" a="1"/>
  <c r="J1642" i="1" s="1"/>
  <c r="L1647" i="1" a="1"/>
  <c r="L1647" i="1" s="1"/>
  <c r="L1643" i="1" a="1"/>
  <c r="L1643" i="1" s="1"/>
  <c r="J1625" i="1" a="1"/>
  <c r="J1625" i="1" s="1"/>
  <c r="K1627" i="1" a="1"/>
  <c r="K1627" i="1" s="1"/>
  <c r="L1626" i="1" a="1"/>
  <c r="L1626" i="1" s="1"/>
  <c r="K1629" i="1" a="1"/>
  <c r="K1629" i="1" s="1"/>
  <c r="J1628" i="1" a="1"/>
  <c r="J1628" i="1" s="1"/>
  <c r="L1629" i="1" a="1"/>
  <c r="L1629" i="1" s="1"/>
  <c r="L1627" i="1" a="1"/>
  <c r="L1627" i="1" s="1"/>
  <c r="K1625" i="1" a="1"/>
  <c r="K1625" i="1" s="1"/>
  <c r="J1626" i="1" a="1"/>
  <c r="J1626" i="1" s="1"/>
  <c r="K1628" i="1" a="1"/>
  <c r="K1628" i="1" s="1"/>
  <c r="L1625" i="1" a="1"/>
  <c r="L1625" i="1" s="1"/>
  <c r="L1628" i="1" a="1"/>
  <c r="L1628" i="1" s="1"/>
  <c r="J1627" i="1" a="1"/>
  <c r="J1627" i="1" s="1"/>
  <c r="K1626" i="1" a="1"/>
  <c r="K1626" i="1" s="1"/>
  <c r="J1629" i="1" a="1"/>
  <c r="J1629" i="1" s="1"/>
  <c r="J1619" i="1" a="1"/>
  <c r="J1619" i="1" s="1"/>
  <c r="K1623" i="1" a="1"/>
  <c r="K1623" i="1" s="1"/>
  <c r="J1622" i="1" a="1"/>
  <c r="J1622" i="1" s="1"/>
  <c r="L1619" i="1" a="1"/>
  <c r="L1619" i="1" s="1"/>
  <c r="J1612" i="1" a="1"/>
  <c r="J1612" i="1" s="1"/>
  <c r="K1621" i="1" a="1"/>
  <c r="K1621" i="1" s="1"/>
  <c r="J1613" i="1" a="1"/>
  <c r="J1613" i="1" s="1"/>
  <c r="L1621" i="1" a="1"/>
  <c r="L1621" i="1" s="1"/>
  <c r="J1621" i="1" a="1"/>
  <c r="J1621" i="1" s="1"/>
  <c r="K1624" i="1" a="1"/>
  <c r="K1624" i="1" s="1"/>
  <c r="J1623" i="1" a="1"/>
  <c r="J1623" i="1" s="1"/>
  <c r="L1622" i="1" a="1"/>
  <c r="L1622" i="1" s="1"/>
  <c r="K1619" i="1" a="1"/>
  <c r="K1619" i="1" s="1"/>
  <c r="L1612" i="1" a="1"/>
  <c r="L1612" i="1" s="1"/>
  <c r="K1612" i="1" a="1"/>
  <c r="K1612" i="1" s="1"/>
  <c r="K1613" i="1" a="1"/>
  <c r="K1613" i="1" s="1"/>
  <c r="L1623" i="1" a="1"/>
  <c r="L1623" i="1" s="1"/>
  <c r="L1613" i="1" a="1"/>
  <c r="L1613" i="1" s="1"/>
  <c r="L1624" i="1" a="1"/>
  <c r="L1624" i="1" s="1"/>
  <c r="J1624" i="1" a="1"/>
  <c r="J1624" i="1" s="1"/>
  <c r="K1622" i="1" a="1"/>
  <c r="K1622" i="1" s="1"/>
  <c r="K1604" i="1" a="1"/>
  <c r="K1604" i="1" s="1"/>
  <c r="J1605" i="1" a="1"/>
  <c r="J1605" i="1" s="1"/>
  <c r="J1598" i="1" a="1"/>
  <c r="J1598" i="1" s="1"/>
  <c r="K1598" i="1" a="1"/>
  <c r="K1598" i="1" s="1"/>
  <c r="L1605" i="1" a="1"/>
  <c r="L1605" i="1" s="1"/>
  <c r="L1604" i="1" a="1"/>
  <c r="L1604" i="1" s="1"/>
  <c r="K1605" i="1" a="1"/>
  <c r="K1605" i="1" s="1"/>
  <c r="J1604" i="1" a="1"/>
  <c r="J1604" i="1" s="1"/>
  <c r="L1611" i="1" a="1"/>
  <c r="L1611" i="1" s="1"/>
  <c r="K1611" i="1" a="1"/>
  <c r="K1611" i="1" s="1"/>
  <c r="J1611" i="1" a="1"/>
  <c r="J1611" i="1" s="1"/>
  <c r="L1596" i="1" a="1"/>
  <c r="L1596" i="1" s="1"/>
  <c r="L1598" i="1" a="1"/>
  <c r="L1598" i="1" s="1"/>
  <c r="K1595" i="1" a="1"/>
  <c r="K1595" i="1" s="1"/>
  <c r="K1581" i="1" a="1"/>
  <c r="K1581" i="1" s="1"/>
  <c r="J1582" i="1" a="1"/>
  <c r="J1582" i="1" s="1"/>
  <c r="J1595" i="1" a="1"/>
  <c r="J1595" i="1" s="1"/>
  <c r="K1582" i="1" a="1"/>
  <c r="K1582" i="1" s="1"/>
  <c r="L1582" i="1" a="1"/>
  <c r="L1582" i="1" s="1"/>
  <c r="L1581" i="1" a="1"/>
  <c r="L1581" i="1" s="1"/>
  <c r="J1581" i="1" a="1"/>
  <c r="J1581" i="1" s="1"/>
  <c r="K1596" i="1" a="1"/>
  <c r="K1596" i="1" s="1"/>
  <c r="L1595" i="1" a="1"/>
  <c r="L1595" i="1" s="1"/>
  <c r="J1596" i="1" a="1"/>
  <c r="J1596" i="1" s="1"/>
  <c r="J1575" i="1" a="1"/>
  <c r="J1575" i="1" s="1"/>
  <c r="K1580" i="1" a="1"/>
  <c r="K1580" i="1" s="1"/>
  <c r="L1577" i="1" a="1"/>
  <c r="L1577" i="1" s="1"/>
  <c r="J1574" i="1" a="1"/>
  <c r="J1574" i="1" s="1"/>
  <c r="K1579" i="1" a="1"/>
  <c r="K1579" i="1" s="1"/>
  <c r="L1579" i="1" a="1"/>
  <c r="L1579" i="1" s="1"/>
  <c r="K1578" i="1" a="1"/>
  <c r="K1578" i="1" s="1"/>
  <c r="L1572" i="1" a="1"/>
  <c r="L1572" i="1" s="1"/>
  <c r="K1576" i="1" a="1"/>
  <c r="K1576" i="1" s="1"/>
  <c r="K1577" i="1" a="1"/>
  <c r="K1577" i="1" s="1"/>
  <c r="L1576" i="1" a="1"/>
  <c r="L1576" i="1" s="1"/>
  <c r="J1580" i="1" a="1"/>
  <c r="J1580" i="1" s="1"/>
  <c r="J1572" i="1" a="1"/>
  <c r="J1572" i="1" s="1"/>
  <c r="J1577" i="1" a="1"/>
  <c r="J1577" i="1" s="1"/>
  <c r="K1575" i="1" a="1"/>
  <c r="K1575" i="1" s="1"/>
  <c r="J1578" i="1" a="1"/>
  <c r="J1578" i="1" s="1"/>
  <c r="J1579" i="1" a="1"/>
  <c r="J1579" i="1" s="1"/>
  <c r="L1575" i="1" a="1"/>
  <c r="L1575" i="1" s="1"/>
  <c r="L1578" i="1" a="1"/>
  <c r="L1578" i="1" s="1"/>
  <c r="K1574" i="1" a="1"/>
  <c r="K1574" i="1" s="1"/>
  <c r="L1574" i="1" a="1"/>
  <c r="L1574" i="1" s="1"/>
  <c r="K1572" i="1" a="1"/>
  <c r="K1572" i="1" s="1"/>
  <c r="L1580" i="1" a="1"/>
  <c r="L1580" i="1" s="1"/>
  <c r="J1576" i="1" a="1"/>
  <c r="J1576" i="1" s="1"/>
  <c r="K1557" i="1" a="1"/>
  <c r="K1557" i="1" s="1"/>
  <c r="J1564" i="1" a="1"/>
  <c r="J1564" i="1" s="1"/>
  <c r="J1565" i="1" a="1"/>
  <c r="J1565" i="1" s="1"/>
  <c r="L1565" i="1" a="1"/>
  <c r="L1565" i="1" s="1"/>
  <c r="L1566" i="1" a="1"/>
  <c r="L1566" i="1" s="1"/>
  <c r="K1566" i="1" a="1"/>
  <c r="K1566" i="1" s="1"/>
  <c r="J1566" i="1" a="1"/>
  <c r="J1566" i="1" s="1"/>
  <c r="L1558" i="1" a="1"/>
  <c r="L1558" i="1" s="1"/>
  <c r="K1558" i="1" a="1"/>
  <c r="K1558" i="1" s="1"/>
  <c r="L1557" i="1" a="1"/>
  <c r="L1557" i="1" s="1"/>
  <c r="J1558" i="1" a="1"/>
  <c r="J1558" i="1" s="1"/>
  <c r="J1557" i="1" a="1"/>
  <c r="J1557" i="1" s="1"/>
  <c r="K1564" i="1" a="1"/>
  <c r="K1564" i="1" s="1"/>
  <c r="K1565" i="1" a="1"/>
  <c r="K1565" i="1" s="1"/>
  <c r="L1564" i="1" a="1"/>
  <c r="L1564" i="1" s="1"/>
  <c r="L1551" i="1" a="1"/>
  <c r="L1551" i="1" s="1"/>
  <c r="J1551" i="1" a="1"/>
  <c r="J1551" i="1" s="1"/>
  <c r="J1549" i="1" a="1"/>
  <c r="J1549" i="1" s="1"/>
  <c r="L1531" i="1" a="1"/>
  <c r="L1531" i="1" s="1"/>
  <c r="K1530" i="1" a="1"/>
  <c r="K1530" i="1" s="1"/>
  <c r="K1551" i="1" a="1"/>
  <c r="K1551" i="1" s="1"/>
  <c r="L1549" i="1" a="1"/>
  <c r="L1549" i="1" s="1"/>
  <c r="K1549" i="1" a="1"/>
  <c r="K1549" i="1" s="1"/>
  <c r="J1531" i="1" a="1"/>
  <c r="J1531" i="1" s="1"/>
  <c r="L1548" i="1" a="1"/>
  <c r="L1548" i="1" s="1"/>
  <c r="L1530" i="1" a="1"/>
  <c r="L1530" i="1" s="1"/>
  <c r="J1548" i="1" a="1"/>
  <c r="J1548" i="1" s="1"/>
  <c r="K1531" i="1" a="1"/>
  <c r="K1531" i="1" s="1"/>
  <c r="K1548" i="1" a="1"/>
  <c r="K1548" i="1" s="1"/>
  <c r="J1524" i="1" a="1"/>
  <c r="J1524" i="1" s="1"/>
  <c r="J1530" i="1" a="1"/>
  <c r="J1530" i="1" s="1"/>
  <c r="K1529" i="1" a="1"/>
  <c r="K1529" i="1" s="1"/>
  <c r="K1526" i="1" a="1"/>
  <c r="K1526" i="1" s="1"/>
  <c r="L1528" i="1" a="1"/>
  <c r="L1528" i="1" s="1"/>
  <c r="K1523" i="1" a="1"/>
  <c r="K1523" i="1" s="1"/>
  <c r="J1528" i="1" a="1"/>
  <c r="J1528" i="1" s="1"/>
  <c r="J1521" i="1" a="1"/>
  <c r="J1521" i="1" s="1"/>
  <c r="L1523" i="1" a="1"/>
  <c r="L1523" i="1" s="1"/>
  <c r="L1526" i="1" a="1"/>
  <c r="L1526" i="1" s="1"/>
  <c r="K1524" i="1" a="1"/>
  <c r="K1524" i="1" s="1"/>
  <c r="L1524" i="1" a="1"/>
  <c r="L1524" i="1" s="1"/>
  <c r="K1527" i="1" a="1"/>
  <c r="K1527" i="1" s="1"/>
  <c r="J1522" i="1" a="1"/>
  <c r="J1522" i="1" s="1"/>
  <c r="L1529" i="1" a="1"/>
  <c r="L1529" i="1" s="1"/>
  <c r="J1529" i="1" a="1"/>
  <c r="J1529" i="1" s="1"/>
  <c r="K1528" i="1" a="1"/>
  <c r="K1528" i="1" s="1"/>
  <c r="K1521" i="1" a="1"/>
  <c r="K1521" i="1" s="1"/>
  <c r="L1527" i="1" a="1"/>
  <c r="L1527" i="1" s="1"/>
  <c r="K1525" i="1" a="1"/>
  <c r="K1525" i="1" s="1"/>
  <c r="L1525" i="1" a="1"/>
  <c r="L1525" i="1" s="1"/>
  <c r="K1522" i="1" a="1"/>
  <c r="K1522" i="1" s="1"/>
  <c r="J1527" i="1" a="1"/>
  <c r="J1527" i="1" s="1"/>
  <c r="L1521" i="1" a="1"/>
  <c r="L1521" i="1" s="1"/>
  <c r="J1526" i="1" a="1"/>
  <c r="J1526" i="1" s="1"/>
  <c r="J1525" i="1" a="1"/>
  <c r="J1525" i="1" s="1"/>
  <c r="L1522" i="1" a="1"/>
  <c r="L1522" i="1" s="1"/>
  <c r="J1523" i="1" a="1"/>
  <c r="J1523" i="1" s="1"/>
  <c r="L1516" i="1" a="1"/>
  <c r="L1516" i="1" s="1"/>
  <c r="L1519" i="1" a="1"/>
  <c r="L1519" i="1" s="1"/>
  <c r="K1516" i="1" a="1"/>
  <c r="K1516" i="1" s="1"/>
  <c r="J1517" i="1" a="1"/>
  <c r="J1517" i="1" s="1"/>
  <c r="K1514" i="1" a="1"/>
  <c r="K1514" i="1" s="1"/>
  <c r="J1513" i="1" a="1"/>
  <c r="J1513" i="1" s="1"/>
  <c r="K1517" i="1" a="1"/>
  <c r="K1517" i="1" s="1"/>
  <c r="K1513" i="1" a="1"/>
  <c r="K1513" i="1" s="1"/>
  <c r="K1519" i="1" a="1"/>
  <c r="K1519" i="1" s="1"/>
  <c r="L1520" i="1" a="1"/>
  <c r="L1520" i="1" s="1"/>
  <c r="K1515" i="1" a="1"/>
  <c r="K1515" i="1" s="1"/>
  <c r="K1520" i="1" a="1"/>
  <c r="K1520" i="1" s="1"/>
  <c r="J1520" i="1" a="1"/>
  <c r="J1520" i="1" s="1"/>
  <c r="L1517" i="1" a="1"/>
  <c r="L1517" i="1" s="1"/>
  <c r="J1516" i="1" a="1"/>
  <c r="J1516" i="1" s="1"/>
  <c r="L1513" i="1" a="1"/>
  <c r="L1513" i="1" s="1"/>
  <c r="J1519" i="1" a="1"/>
  <c r="J1519" i="1" s="1"/>
  <c r="J1515" i="1" a="1"/>
  <c r="J1515" i="1" s="1"/>
  <c r="J1514" i="1" a="1"/>
  <c r="J1514" i="1" s="1"/>
  <c r="L1515" i="1" a="1"/>
  <c r="L1515" i="1" s="1"/>
  <c r="L1514" i="1" a="1"/>
  <c r="L1514" i="1" s="1"/>
  <c r="J1504" i="1" a="1"/>
  <c r="J1504" i="1" s="1"/>
  <c r="J1501" i="1" a="1"/>
  <c r="J1501" i="1" s="1"/>
  <c r="L1506" i="1" a="1"/>
  <c r="L1506" i="1" s="1"/>
  <c r="K1505" i="1" a="1"/>
  <c r="K1505" i="1" s="1"/>
  <c r="L1505" i="1" a="1"/>
  <c r="L1505" i="1" s="1"/>
  <c r="L1507" i="1" a="1"/>
  <c r="L1507" i="1" s="1"/>
  <c r="L1501" i="1" a="1"/>
  <c r="L1501" i="1" s="1"/>
  <c r="K1507" i="1" a="1"/>
  <c r="K1507" i="1" s="1"/>
  <c r="K1506" i="1" a="1"/>
  <c r="K1506" i="1" s="1"/>
  <c r="L1502" i="1" a="1"/>
  <c r="L1502" i="1" s="1"/>
  <c r="J1506" i="1" a="1"/>
  <c r="J1506" i="1" s="1"/>
  <c r="J1502" i="1" a="1"/>
  <c r="J1502" i="1" s="1"/>
  <c r="L1500" i="1" a="1"/>
  <c r="L1500" i="1" s="1"/>
  <c r="K1502" i="1" a="1"/>
  <c r="K1502" i="1" s="1"/>
  <c r="K1504" i="1" a="1"/>
  <c r="K1504" i="1" s="1"/>
  <c r="K1501" i="1" a="1"/>
  <c r="K1501" i="1" s="1"/>
  <c r="L1504" i="1" a="1"/>
  <c r="L1504" i="1" s="1"/>
  <c r="J1507" i="1" a="1"/>
  <c r="J1507" i="1" s="1"/>
  <c r="J1505" i="1" a="1"/>
  <c r="J1505" i="1" s="1"/>
  <c r="L1492" i="1" a="1"/>
  <c r="L1492" i="1" s="1"/>
  <c r="J1487" i="1" a="1"/>
  <c r="J1487" i="1" s="1"/>
  <c r="L1485" i="1" a="1"/>
  <c r="L1485" i="1" s="1"/>
  <c r="L1494" i="1" a="1"/>
  <c r="L1494" i="1" s="1"/>
  <c r="K1485" i="1" a="1"/>
  <c r="K1485" i="1" s="1"/>
  <c r="K1487" i="1" a="1"/>
  <c r="K1487" i="1" s="1"/>
  <c r="J1492" i="1" a="1"/>
  <c r="J1492" i="1" s="1"/>
  <c r="L1499" i="1" a="1"/>
  <c r="L1499" i="1" s="1"/>
  <c r="K1494" i="1" a="1"/>
  <c r="K1494" i="1" s="1"/>
  <c r="J1494" i="1" a="1"/>
  <c r="J1494" i="1" s="1"/>
  <c r="K1492" i="1" a="1"/>
  <c r="K1492" i="1" s="1"/>
  <c r="L1487" i="1" a="1"/>
  <c r="L1487" i="1" s="1"/>
  <c r="J1499" i="1" a="1"/>
  <c r="J1499" i="1" s="1"/>
  <c r="K1500" i="1" a="1"/>
  <c r="K1500" i="1" s="1"/>
  <c r="J1500" i="1" a="1"/>
  <c r="J1500" i="1" s="1"/>
  <c r="K1499" i="1" a="1"/>
  <c r="K1499" i="1" s="1"/>
  <c r="K1199" i="1" a="1"/>
  <c r="K1199" i="1" s="1"/>
  <c r="J1199" i="1" a="1"/>
  <c r="J1199" i="1" s="1"/>
  <c r="J1198" i="1" a="1"/>
  <c r="J1198" i="1" s="1"/>
  <c r="K1201" i="1" a="1"/>
  <c r="K1201" i="1" s="1"/>
  <c r="L1200" i="1" a="1"/>
  <c r="L1200" i="1" s="1"/>
  <c r="K1200" i="1" a="1"/>
  <c r="K1200" i="1" s="1"/>
  <c r="J1201" i="1" a="1"/>
  <c r="J1201" i="1" s="1"/>
  <c r="L1199" i="1" a="1"/>
  <c r="L1199" i="1" s="1"/>
  <c r="K1198" i="1" a="1"/>
  <c r="K1198" i="1" s="1"/>
  <c r="J1200" i="1" a="1"/>
  <c r="J1200" i="1" s="1"/>
  <c r="L1198" i="1" a="1"/>
  <c r="L1198" i="1" s="1"/>
  <c r="L1197" i="1" a="1"/>
  <c r="L1197" i="1" s="1"/>
  <c r="J1197" i="1" a="1"/>
  <c r="J1197" i="1" s="1"/>
  <c r="K1197" i="1" a="1"/>
  <c r="K1197" i="1" s="1"/>
  <c r="L1196" i="1" a="1"/>
  <c r="L1196" i="1" s="1"/>
  <c r="K1196" i="1" a="1"/>
  <c r="K1196" i="1" s="1"/>
  <c r="K1193" i="1" a="1"/>
  <c r="K1193" i="1" s="1"/>
  <c r="J1192" i="1" a="1"/>
  <c r="J1192" i="1" s="1"/>
  <c r="L1195" i="1" a="1"/>
  <c r="L1195" i="1" s="1"/>
  <c r="K1195" i="1" a="1"/>
  <c r="K1195" i="1" s="1"/>
  <c r="K1192" i="1" a="1"/>
  <c r="K1192" i="1" s="1"/>
  <c r="J1195" i="1" a="1"/>
  <c r="J1195" i="1" s="1"/>
  <c r="L1192" i="1" a="1"/>
  <c r="L1192" i="1" s="1"/>
  <c r="J1194" i="1" a="1"/>
  <c r="J1194" i="1" s="1"/>
  <c r="L1193" i="1" a="1"/>
  <c r="L1193" i="1" s="1"/>
  <c r="L1194" i="1" a="1"/>
  <c r="L1194" i="1" s="1"/>
  <c r="K1194" i="1" a="1"/>
  <c r="K1194" i="1" s="1"/>
  <c r="J1193" i="1" a="1"/>
  <c r="J1193" i="1" s="1"/>
  <c r="J1196" i="1" a="1"/>
  <c r="J1196" i="1" s="1"/>
  <c r="L1191" i="1" a="1"/>
  <c r="L1191" i="1" s="1"/>
  <c r="J1191" i="1" a="1"/>
  <c r="J1191" i="1" s="1"/>
  <c r="K1191" i="1" a="1"/>
  <c r="K1191" i="1" s="1"/>
  <c r="J1189" i="1" a="1"/>
  <c r="J1189" i="1" s="1"/>
  <c r="J1187" i="1" a="1"/>
  <c r="J1187" i="1" s="1"/>
  <c r="K1186" i="1" a="1"/>
  <c r="K1186" i="1" s="1"/>
  <c r="J1188" i="1" a="1"/>
  <c r="J1188" i="1" s="1"/>
  <c r="K1185" i="1" a="1"/>
  <c r="K1185" i="1" s="1"/>
  <c r="K1189" i="1" a="1"/>
  <c r="K1189" i="1" s="1"/>
  <c r="L1190" i="1" a="1"/>
  <c r="L1190" i="1" s="1"/>
  <c r="K1190" i="1" a="1"/>
  <c r="K1190" i="1" s="1"/>
  <c r="J1190" i="1" a="1"/>
  <c r="J1190" i="1" s="1"/>
  <c r="J1185" i="1" a="1"/>
  <c r="J1185" i="1" s="1"/>
  <c r="K1187" i="1" a="1"/>
  <c r="K1187" i="1" s="1"/>
  <c r="L1189" i="1" a="1"/>
  <c r="L1189" i="1" s="1"/>
  <c r="K1188" i="1" a="1"/>
  <c r="K1188" i="1" s="1"/>
  <c r="L1186" i="1" a="1"/>
  <c r="L1186" i="1" s="1"/>
  <c r="L1185" i="1" a="1"/>
  <c r="L1185" i="1" s="1"/>
  <c r="L1188" i="1" a="1"/>
  <c r="L1188" i="1" s="1"/>
  <c r="L1187" i="1" a="1"/>
  <c r="L1187" i="1" s="1"/>
  <c r="J1186" i="1" a="1"/>
  <c r="J1186" i="1" s="1"/>
  <c r="K1175" i="1" a="1"/>
  <c r="K1175" i="1" s="1"/>
  <c r="L1176" i="1" a="1"/>
  <c r="L1176" i="1" s="1"/>
  <c r="L1179" i="1" a="1"/>
  <c r="L1179" i="1" s="1"/>
  <c r="L1178" i="1" a="1"/>
  <c r="L1178" i="1" s="1"/>
  <c r="L1177" i="1" a="1"/>
  <c r="L1177" i="1" s="1"/>
  <c r="K1179" i="1" a="1"/>
  <c r="K1179" i="1" s="1"/>
  <c r="J1179" i="1" a="1"/>
  <c r="J1179" i="1" s="1"/>
  <c r="K1178" i="1" a="1"/>
  <c r="K1178" i="1" s="1"/>
  <c r="L1174" i="1" a="1"/>
  <c r="L1174" i="1" s="1"/>
  <c r="J1177" i="1" a="1"/>
  <c r="J1177" i="1" s="1"/>
  <c r="K1177" i="1" a="1"/>
  <c r="K1177" i="1" s="1"/>
  <c r="J1174" i="1" a="1"/>
  <c r="J1174" i="1" s="1"/>
  <c r="L1175" i="1" a="1"/>
  <c r="L1175" i="1" s="1"/>
  <c r="J1175" i="1" a="1"/>
  <c r="J1175" i="1" s="1"/>
  <c r="J1176" i="1" a="1"/>
  <c r="J1176" i="1" s="1"/>
  <c r="K1174" i="1" a="1"/>
  <c r="K1174" i="1" s="1"/>
  <c r="K1176" i="1" a="1"/>
  <c r="K1176" i="1" s="1"/>
  <c r="J1178" i="1" a="1"/>
  <c r="J1178" i="1" s="1"/>
  <c r="L1245" i="1" a="1"/>
  <c r="L1245" i="1" s="1"/>
  <c r="L1242" i="1" a="1"/>
  <c r="L1242" i="1" s="1"/>
  <c r="J1243" i="1" a="1"/>
  <c r="J1243" i="1" s="1"/>
  <c r="K1243" i="1" a="1"/>
  <c r="K1243" i="1" s="1"/>
  <c r="J1242" i="1" a="1"/>
  <c r="J1242" i="1" s="1"/>
  <c r="L1241" i="1" a="1"/>
  <c r="L1241" i="1" s="1"/>
  <c r="J1245" i="1" a="1"/>
  <c r="J1245" i="1" s="1"/>
  <c r="K1241" i="1" a="1"/>
  <c r="K1241" i="1" s="1"/>
  <c r="L1246" i="1" a="1"/>
  <c r="L1246" i="1" s="1"/>
  <c r="J1244" i="1" a="1"/>
  <c r="J1244" i="1" s="1"/>
  <c r="K1242" i="1" a="1"/>
  <c r="K1242" i="1" s="1"/>
  <c r="K1246" i="1" a="1"/>
  <c r="K1246" i="1" s="1"/>
  <c r="J1246" i="1" a="1"/>
  <c r="J1246" i="1" s="1"/>
  <c r="K1244" i="1" a="1"/>
  <c r="K1244" i="1" s="1"/>
  <c r="K1245" i="1" a="1"/>
  <c r="K1245" i="1" s="1"/>
  <c r="L1244" i="1" a="1"/>
  <c r="L1244" i="1" s="1"/>
  <c r="J1241" i="1" a="1"/>
  <c r="J1241" i="1" s="1"/>
  <c r="L1243" i="1" a="1"/>
  <c r="L1243" i="1" s="1"/>
  <c r="K1240" i="1" a="1"/>
  <c r="K1240" i="1" s="1"/>
  <c r="K1237" i="1" a="1"/>
  <c r="K1237" i="1" s="1"/>
  <c r="J1237" i="1" a="1"/>
  <c r="J1237" i="1" s="1"/>
  <c r="K1238" i="1" a="1"/>
  <c r="K1238" i="1" s="1"/>
  <c r="K1236" i="1" a="1"/>
  <c r="K1236" i="1" s="1"/>
  <c r="J1232" i="1" a="1"/>
  <c r="J1232" i="1" s="1"/>
  <c r="J1239" i="1" a="1"/>
  <c r="J1239" i="1" s="1"/>
  <c r="K1235" i="1" a="1"/>
  <c r="K1235" i="1" s="1"/>
  <c r="K1234" i="1" a="1"/>
  <c r="K1234" i="1" s="1"/>
  <c r="K1232" i="1" a="1"/>
  <c r="K1232" i="1" s="1"/>
  <c r="L1234" i="1" a="1"/>
  <c r="L1234" i="1" s="1"/>
  <c r="L1236" i="1" a="1"/>
  <c r="L1236" i="1" s="1"/>
  <c r="L1233" i="1" a="1"/>
  <c r="L1233" i="1" s="1"/>
  <c r="J1240" i="1" a="1"/>
  <c r="J1240" i="1" s="1"/>
  <c r="J1234" i="1" a="1"/>
  <c r="J1234" i="1" s="1"/>
  <c r="L1239" i="1" a="1"/>
  <c r="L1239" i="1" s="1"/>
  <c r="J1238" i="1" a="1"/>
  <c r="J1238" i="1" s="1"/>
  <c r="J1233" i="1" a="1"/>
  <c r="J1233" i="1" s="1"/>
  <c r="K1233" i="1" a="1"/>
  <c r="K1233" i="1" s="1"/>
  <c r="K1239" i="1" a="1"/>
  <c r="K1239" i="1" s="1"/>
  <c r="J1235" i="1" a="1"/>
  <c r="J1235" i="1" s="1"/>
  <c r="L1232" i="1" a="1"/>
  <c r="L1232" i="1" s="1"/>
  <c r="J1236" i="1" a="1"/>
  <c r="J1236" i="1" s="1"/>
  <c r="L1235" i="1" a="1"/>
  <c r="L1235" i="1" s="1"/>
  <c r="L1237" i="1" a="1"/>
  <c r="L1237" i="1" s="1"/>
  <c r="L1238" i="1" a="1"/>
  <c r="L1238" i="1" s="1"/>
  <c r="L1240" i="1" a="1"/>
  <c r="L1240" i="1" s="1"/>
  <c r="K1231" i="1" a="1"/>
  <c r="K1231" i="1" s="1"/>
  <c r="J1223" i="1" a="1"/>
  <c r="J1223" i="1" s="1"/>
  <c r="L1224" i="1" a="1"/>
  <c r="L1224" i="1" s="1"/>
  <c r="J1230" i="1" a="1"/>
  <c r="J1230" i="1" s="1"/>
  <c r="L1226" i="1" a="1"/>
  <c r="L1226" i="1" s="1"/>
  <c r="L1229" i="1" a="1"/>
  <c r="L1229" i="1" s="1"/>
  <c r="K1229" i="1" a="1"/>
  <c r="K1229" i="1" s="1"/>
  <c r="L1225" i="1" a="1"/>
  <c r="L1225" i="1" s="1"/>
  <c r="K1228" i="1" a="1"/>
  <c r="K1228" i="1" s="1"/>
  <c r="J1226" i="1" a="1"/>
  <c r="J1226" i="1" s="1"/>
  <c r="L1223" i="1" a="1"/>
  <c r="L1223" i="1" s="1"/>
  <c r="K1225" i="1" a="1"/>
  <c r="K1225" i="1" s="1"/>
  <c r="J1225" i="1" a="1"/>
  <c r="J1225" i="1" s="1"/>
  <c r="J1229" i="1" a="1"/>
  <c r="J1229" i="1" s="1"/>
  <c r="J1228" i="1" a="1"/>
  <c r="J1228" i="1" s="1"/>
  <c r="J1227" i="1" a="1"/>
  <c r="J1227" i="1" s="1"/>
  <c r="K1223" i="1" a="1"/>
  <c r="K1223" i="1" s="1"/>
  <c r="K1227" i="1" a="1"/>
  <c r="K1227" i="1" s="1"/>
  <c r="K1226" i="1" a="1"/>
  <c r="K1226" i="1" s="1"/>
  <c r="J1231" i="1" a="1"/>
  <c r="J1231" i="1" s="1"/>
  <c r="L1230" i="1" a="1"/>
  <c r="L1230" i="1" s="1"/>
  <c r="K1230" i="1" a="1"/>
  <c r="K1230" i="1" s="1"/>
  <c r="L1227" i="1" a="1"/>
  <c r="L1227" i="1" s="1"/>
  <c r="L1231" i="1" a="1"/>
  <c r="L1231" i="1" s="1"/>
  <c r="K1224" i="1" a="1"/>
  <c r="K1224" i="1" s="1"/>
  <c r="J1224" i="1" a="1"/>
  <c r="J1224" i="1" s="1"/>
  <c r="L1228" i="1" a="1"/>
  <c r="L1228" i="1" s="1"/>
  <c r="K1218" i="1" a="1"/>
  <c r="K1218" i="1" s="1"/>
  <c r="L1215" i="1" a="1"/>
  <c r="L1215" i="1" s="1"/>
  <c r="L1222" i="1" a="1"/>
  <c r="L1222" i="1" s="1"/>
  <c r="K1222" i="1" a="1"/>
  <c r="K1222" i="1" s="1"/>
  <c r="J1219" i="1" a="1"/>
  <c r="J1219" i="1" s="1"/>
  <c r="J1216" i="1" a="1"/>
  <c r="J1216" i="1" s="1"/>
  <c r="L1220" i="1" a="1"/>
  <c r="L1220" i="1" s="1"/>
  <c r="J1222" i="1" a="1"/>
  <c r="J1222" i="1" s="1"/>
  <c r="L1217" i="1" a="1"/>
  <c r="L1217" i="1" s="1"/>
  <c r="J1221" i="1" a="1"/>
  <c r="J1221" i="1" s="1"/>
  <c r="K1219" i="1" a="1"/>
  <c r="K1219" i="1" s="1"/>
  <c r="J1218" i="1" a="1"/>
  <c r="J1218" i="1" s="1"/>
  <c r="K1217" i="1" a="1"/>
  <c r="K1217" i="1" s="1"/>
  <c r="L1214" i="1" a="1"/>
  <c r="L1214" i="1" s="1"/>
  <c r="K1215" i="1" a="1"/>
  <c r="K1215" i="1" s="1"/>
  <c r="L1218" i="1" a="1"/>
  <c r="L1218" i="1" s="1"/>
  <c r="K1221" i="1" a="1"/>
  <c r="K1221" i="1" s="1"/>
  <c r="J1220" i="1" a="1"/>
  <c r="J1220" i="1" s="1"/>
  <c r="L1219" i="1" a="1"/>
  <c r="L1219" i="1" s="1"/>
  <c r="K1216" i="1" a="1"/>
  <c r="K1216" i="1" s="1"/>
  <c r="J1215" i="1" a="1"/>
  <c r="J1215" i="1" s="1"/>
  <c r="J1214" i="1" a="1"/>
  <c r="J1214" i="1" s="1"/>
  <c r="J1217" i="1" a="1"/>
  <c r="J1217" i="1" s="1"/>
  <c r="L1216" i="1" a="1"/>
  <c r="L1216" i="1" s="1"/>
  <c r="L1221" i="1" a="1"/>
  <c r="L1221" i="1" s="1"/>
  <c r="K1220" i="1" a="1"/>
  <c r="K1220" i="1" s="1"/>
  <c r="K1214" i="1" a="1"/>
  <c r="K1214" i="1" s="1"/>
  <c r="L1212" i="1" a="1"/>
  <c r="L1212" i="1" s="1"/>
  <c r="K1212" i="1" a="1"/>
  <c r="K1212" i="1" s="1"/>
  <c r="J1212" i="1" a="1"/>
  <c r="J1212" i="1" s="1"/>
  <c r="L1211" i="1" a="1"/>
  <c r="L1211" i="1" s="1"/>
  <c r="J1208" i="1" a="1"/>
  <c r="J1208" i="1" s="1"/>
  <c r="L1209" i="1" a="1"/>
  <c r="L1209" i="1" s="1"/>
  <c r="L1202" i="1" a="1"/>
  <c r="L1202" i="1" s="1"/>
  <c r="L1201" i="1" a="1"/>
  <c r="L1201" i="1" s="1"/>
  <c r="J1210" i="1" a="1"/>
  <c r="J1210" i="1" s="1"/>
  <c r="J1202" i="1" a="1"/>
  <c r="J1202" i="1" s="1"/>
  <c r="K1210" i="1" a="1"/>
  <c r="K1210" i="1" s="1"/>
  <c r="K1211" i="1" a="1"/>
  <c r="K1211" i="1" s="1"/>
  <c r="K1209" i="1" a="1"/>
  <c r="K1209" i="1" s="1"/>
  <c r="J1211" i="1" a="1"/>
  <c r="J1211" i="1" s="1"/>
  <c r="L1210" i="1" a="1"/>
  <c r="L1210" i="1" s="1"/>
  <c r="L1208" i="1" a="1"/>
  <c r="L1208" i="1" s="1"/>
  <c r="K1202" i="1" a="1"/>
  <c r="K1202" i="1" s="1"/>
  <c r="J1209" i="1" a="1"/>
  <c r="J1209" i="1" s="1"/>
  <c r="K1208" i="1" a="1"/>
  <c r="K1208" i="1" s="1"/>
  <c r="J1430" i="1" a="1"/>
  <c r="J1430" i="1" s="1"/>
  <c r="J1422" i="1" a="1"/>
  <c r="J1422" i="1" s="1"/>
  <c r="L1423" i="1" a="1"/>
  <c r="L1423" i="1" s="1"/>
  <c r="L1421" i="1" a="1"/>
  <c r="L1421" i="1" s="1"/>
  <c r="L1422" i="1" a="1"/>
  <c r="L1422" i="1" s="1"/>
  <c r="L1424" i="1" a="1"/>
  <c r="L1424" i="1" s="1"/>
  <c r="J1424" i="1" a="1"/>
  <c r="J1424" i="1" s="1"/>
  <c r="K1422" i="1" a="1"/>
  <c r="K1422" i="1" s="1"/>
  <c r="K1431" i="1" a="1"/>
  <c r="K1431" i="1" s="1"/>
  <c r="J1431" i="1" a="1"/>
  <c r="J1431" i="1" s="1"/>
  <c r="L1430" i="1" a="1"/>
  <c r="L1430" i="1" s="1"/>
  <c r="K1430" i="1" a="1"/>
  <c r="K1430" i="1" s="1"/>
  <c r="K1423" i="1" a="1"/>
  <c r="K1423" i="1" s="1"/>
  <c r="K1421" i="1" a="1"/>
  <c r="K1421" i="1" s="1"/>
  <c r="K1424" i="1" a="1"/>
  <c r="K1424" i="1" s="1"/>
  <c r="J1423" i="1" a="1"/>
  <c r="J1423" i="1" s="1"/>
  <c r="J1421" i="1" a="1"/>
  <c r="J1421" i="1" s="1"/>
  <c r="J1420" i="1" a="1"/>
  <c r="J1420" i="1" s="1"/>
  <c r="L1417" i="1" a="1"/>
  <c r="L1417" i="1" s="1"/>
  <c r="J1419" i="1" a="1"/>
  <c r="J1419" i="1" s="1"/>
  <c r="J1418" i="1" a="1"/>
  <c r="J1418" i="1" s="1"/>
  <c r="K1417" i="1" a="1"/>
  <c r="K1417" i="1" s="1"/>
  <c r="L1419" i="1" a="1"/>
  <c r="L1419" i="1" s="1"/>
  <c r="L1418" i="1" a="1"/>
  <c r="L1418" i="1" s="1"/>
  <c r="K1418" i="1" a="1"/>
  <c r="K1418" i="1" s="1"/>
  <c r="J1416" i="1" a="1"/>
  <c r="J1416" i="1" s="1"/>
  <c r="K1419" i="1" a="1"/>
  <c r="K1419" i="1" s="1"/>
  <c r="L1416" i="1" a="1"/>
  <c r="L1416" i="1" s="1"/>
  <c r="L1409" i="1" a="1"/>
  <c r="L1409" i="1" s="1"/>
  <c r="L1420" i="1" a="1"/>
  <c r="L1420" i="1" s="1"/>
  <c r="L1410" i="1" a="1"/>
  <c r="L1410" i="1" s="1"/>
  <c r="J1417" i="1" a="1"/>
  <c r="J1417" i="1" s="1"/>
  <c r="J1410" i="1" a="1"/>
  <c r="J1410" i="1" s="1"/>
  <c r="K1416" i="1" a="1"/>
  <c r="K1416" i="1" s="1"/>
  <c r="K1410" i="1" a="1"/>
  <c r="K1410" i="1" s="1"/>
  <c r="K1420" i="1" a="1"/>
  <c r="K1420" i="1" s="1"/>
  <c r="K1405" i="1" a="1"/>
  <c r="K1405" i="1" s="1"/>
  <c r="L1404" i="1" a="1"/>
  <c r="L1404" i="1" s="1"/>
  <c r="L1408" i="1" a="1"/>
  <c r="L1408" i="1" s="1"/>
  <c r="J1401" i="1" a="1"/>
  <c r="J1401" i="1" s="1"/>
  <c r="K1408" i="1" a="1"/>
  <c r="K1408" i="1" s="1"/>
  <c r="J1408" i="1" a="1"/>
  <c r="J1408" i="1" s="1"/>
  <c r="K1402" i="1" a="1"/>
  <c r="K1402" i="1" s="1"/>
  <c r="L1405" i="1" a="1"/>
  <c r="L1405" i="1" s="1"/>
  <c r="J1403" i="1" a="1"/>
  <c r="J1403" i="1" s="1"/>
  <c r="K1401" i="1" a="1"/>
  <c r="K1401" i="1" s="1"/>
  <c r="J1405" i="1" a="1"/>
  <c r="J1405" i="1" s="1"/>
  <c r="K1404" i="1" a="1"/>
  <c r="K1404" i="1" s="1"/>
  <c r="L1407" i="1" a="1"/>
  <c r="L1407" i="1" s="1"/>
  <c r="J1404" i="1" a="1"/>
  <c r="J1404" i="1" s="1"/>
  <c r="J1407" i="1" a="1"/>
  <c r="J1407" i="1" s="1"/>
  <c r="J1402" i="1" a="1"/>
  <c r="J1402" i="1" s="1"/>
  <c r="L1402" i="1" a="1"/>
  <c r="L1402" i="1" s="1"/>
  <c r="K1407" i="1" a="1"/>
  <c r="K1407" i="1" s="1"/>
  <c r="L1403" i="1" a="1"/>
  <c r="L1403" i="1" s="1"/>
  <c r="L1401" i="1" a="1"/>
  <c r="L1401" i="1" s="1"/>
  <c r="K1403" i="1" a="1"/>
  <c r="K1403" i="1" s="1"/>
  <c r="K1409" i="1" a="1"/>
  <c r="K1409" i="1" s="1"/>
  <c r="J1409" i="1" a="1"/>
  <c r="J1409" i="1" s="1"/>
  <c r="L1374" i="1" a="1"/>
  <c r="L1374" i="1" s="1"/>
  <c r="L1370" i="1" a="1"/>
  <c r="L1370" i="1" s="1"/>
  <c r="J1370" i="1" a="1"/>
  <c r="J1370" i="1" s="1"/>
  <c r="J1373" i="1" a="1"/>
  <c r="J1373" i="1" s="1"/>
  <c r="K1372" i="1" a="1"/>
  <c r="K1372" i="1" s="1"/>
  <c r="J1368" i="1" a="1"/>
  <c r="J1368" i="1" s="1"/>
  <c r="K1368" i="1" a="1"/>
  <c r="K1368" i="1" s="1"/>
  <c r="K1374" i="1" a="1"/>
  <c r="K1374" i="1" s="1"/>
  <c r="K1370" i="1" a="1"/>
  <c r="K1370" i="1" s="1"/>
  <c r="L1371" i="1" a="1"/>
  <c r="L1371" i="1" s="1"/>
  <c r="L1373" i="1" a="1"/>
  <c r="L1373" i="1" s="1"/>
  <c r="K1373" i="1" a="1"/>
  <c r="K1373" i="1" s="1"/>
  <c r="L1372" i="1" a="1"/>
  <c r="L1372" i="1" s="1"/>
  <c r="J1372" i="1" a="1"/>
  <c r="J1372" i="1" s="1"/>
  <c r="L1368" i="1" a="1"/>
  <c r="L1368" i="1" s="1"/>
  <c r="K1371" i="1" a="1"/>
  <c r="K1371" i="1" s="1"/>
  <c r="K1369" i="1" a="1"/>
  <c r="K1369" i="1" s="1"/>
  <c r="J1371" i="1" a="1"/>
  <c r="J1371" i="1" s="1"/>
  <c r="L1369" i="1" a="1"/>
  <c r="L1369" i="1" s="1"/>
  <c r="J1369" i="1" a="1"/>
  <c r="J1369" i="1" s="1"/>
  <c r="J1374" i="1" a="1"/>
  <c r="J1374" i="1" s="1"/>
  <c r="K1365" i="1" a="1"/>
  <c r="K1365" i="1" s="1"/>
  <c r="K1364" i="1" a="1"/>
  <c r="K1364" i="1" s="1"/>
  <c r="J1362" i="1" a="1"/>
  <c r="J1362" i="1" s="1"/>
  <c r="L1363" i="1" a="1"/>
  <c r="L1363" i="1" s="1"/>
  <c r="K1359" i="1" a="1"/>
  <c r="K1359" i="1" s="1"/>
  <c r="J1363" i="1" a="1"/>
  <c r="J1363" i="1" s="1"/>
  <c r="J1360" i="1" a="1"/>
  <c r="J1360" i="1" s="1"/>
  <c r="L1358" i="1" a="1"/>
  <c r="L1358" i="1" s="1"/>
  <c r="K1360" i="1" a="1"/>
  <c r="K1360" i="1" s="1"/>
  <c r="J1359" i="1" a="1"/>
  <c r="J1359" i="1" s="1"/>
  <c r="K1363" i="1" a="1"/>
  <c r="K1363" i="1" s="1"/>
  <c r="L1362" i="1" a="1"/>
  <c r="L1362" i="1" s="1"/>
  <c r="L1367" i="1" a="1"/>
  <c r="L1367" i="1" s="1"/>
  <c r="L1366" i="1" a="1"/>
  <c r="L1366" i="1" s="1"/>
  <c r="K1367" i="1" a="1"/>
  <c r="K1367" i="1" s="1"/>
  <c r="L1365" i="1" a="1"/>
  <c r="L1365" i="1" s="1"/>
  <c r="L1364" i="1" a="1"/>
  <c r="L1364" i="1" s="1"/>
  <c r="J1364" i="1" a="1"/>
  <c r="J1364" i="1" s="1"/>
  <c r="J1361" i="1" a="1"/>
  <c r="J1361" i="1" s="1"/>
  <c r="L1359" i="1" a="1"/>
  <c r="L1359" i="1" s="1"/>
  <c r="J1367" i="1" a="1"/>
  <c r="J1367" i="1" s="1"/>
  <c r="J1366" i="1" a="1"/>
  <c r="J1366" i="1" s="1"/>
  <c r="J1365" i="1" a="1"/>
  <c r="J1365" i="1" s="1"/>
  <c r="K1362" i="1" a="1"/>
  <c r="K1362" i="1" s="1"/>
  <c r="K1366" i="1" a="1"/>
  <c r="K1366" i="1" s="1"/>
  <c r="L1361" i="1" a="1"/>
  <c r="L1361" i="1" s="1"/>
  <c r="L1360" i="1" a="1"/>
  <c r="L1360" i="1" s="1"/>
  <c r="K1361" i="1" a="1"/>
  <c r="K1361" i="1" s="1"/>
  <c r="L1357" i="1" a="1"/>
  <c r="L1357" i="1" s="1"/>
  <c r="K1357" i="1" a="1"/>
  <c r="K1357" i="1" s="1"/>
  <c r="L1356" i="1" a="1"/>
  <c r="L1356" i="1" s="1"/>
  <c r="L1352" i="1" a="1"/>
  <c r="L1352" i="1" s="1"/>
  <c r="K1356" i="1" a="1"/>
  <c r="K1356" i="1" s="1"/>
  <c r="K1350" i="1" a="1"/>
  <c r="K1350" i="1" s="1"/>
  <c r="J1356" i="1" a="1"/>
  <c r="J1356" i="1" s="1"/>
  <c r="K1354" i="1" a="1"/>
  <c r="K1354" i="1" s="1"/>
  <c r="J1350" i="1" a="1"/>
  <c r="J1350" i="1" s="1"/>
  <c r="J1354" i="1" a="1"/>
  <c r="J1354" i="1" s="1"/>
  <c r="K1353" i="1" a="1"/>
  <c r="K1353" i="1" s="1"/>
  <c r="J1355" i="1" a="1"/>
  <c r="J1355" i="1" s="1"/>
  <c r="J1352" i="1" a="1"/>
  <c r="J1352" i="1" s="1"/>
  <c r="K1352" i="1" a="1"/>
  <c r="K1352" i="1" s="1"/>
  <c r="K1355" i="1" a="1"/>
  <c r="K1355" i="1" s="1"/>
  <c r="L1354" i="1" a="1"/>
  <c r="L1354" i="1" s="1"/>
  <c r="L1353" i="1" a="1"/>
  <c r="L1353" i="1" s="1"/>
  <c r="L1350" i="1" a="1"/>
  <c r="L1350" i="1" s="1"/>
  <c r="J1353" i="1" a="1"/>
  <c r="J1353" i="1" s="1"/>
  <c r="K1358" i="1" a="1"/>
  <c r="K1358" i="1" s="1"/>
  <c r="J1358" i="1" a="1"/>
  <c r="J1358" i="1" s="1"/>
  <c r="L1355" i="1" a="1"/>
  <c r="L1355" i="1" s="1"/>
  <c r="J1357" i="1" a="1"/>
  <c r="J1357" i="1" s="1"/>
  <c r="L1347" i="1" a="1"/>
  <c r="L1347" i="1" s="1"/>
  <c r="J1349" i="1" a="1"/>
  <c r="J1349" i="1" s="1"/>
  <c r="L1348" i="1" a="1"/>
  <c r="L1348" i="1" s="1"/>
  <c r="K1348" i="1" a="1"/>
  <c r="K1348" i="1" s="1"/>
  <c r="L1346" i="1" a="1"/>
  <c r="L1346" i="1" s="1"/>
  <c r="J1347" i="1" a="1"/>
  <c r="J1347" i="1" s="1"/>
  <c r="J1348" i="1" a="1"/>
  <c r="J1348" i="1" s="1"/>
  <c r="K1347" i="1" a="1"/>
  <c r="K1347" i="1" s="1"/>
  <c r="K1346" i="1" a="1"/>
  <c r="K1346" i="1" s="1"/>
  <c r="J1346" i="1" a="1"/>
  <c r="J1346" i="1" s="1"/>
  <c r="L1349" i="1" a="1"/>
  <c r="L1349" i="1" s="1"/>
  <c r="K1349" i="1" a="1"/>
  <c r="K1349" i="1" s="1"/>
  <c r="L1340" i="1" a="1"/>
  <c r="L1340" i="1" s="1"/>
  <c r="K1340" i="1" a="1"/>
  <c r="K1340" i="1" s="1"/>
  <c r="J1340" i="1" a="1"/>
  <c r="J1340" i="1" s="1"/>
  <c r="K1339" i="1" a="1"/>
  <c r="K1339" i="1" s="1"/>
  <c r="L1339" i="1" a="1"/>
  <c r="L1339" i="1" s="1"/>
  <c r="J1339" i="1" a="1"/>
  <c r="J1339" i="1" s="1"/>
  <c r="J1333" i="1" a="1"/>
  <c r="J1333" i="1" s="1"/>
  <c r="K1335" i="1" a="1"/>
  <c r="K1335" i="1" s="1"/>
  <c r="K1334" i="1" a="1"/>
  <c r="K1334" i="1" s="1"/>
  <c r="J1336" i="1" a="1"/>
  <c r="J1336" i="1" s="1"/>
  <c r="L1337" i="1" a="1"/>
  <c r="L1337" i="1" s="1"/>
  <c r="J1334" i="1" a="1"/>
  <c r="J1334" i="1" s="1"/>
  <c r="K1336" i="1" a="1"/>
  <c r="K1336" i="1" s="1"/>
  <c r="L1334" i="1" a="1"/>
  <c r="L1334" i="1" s="1"/>
  <c r="J1337" i="1" a="1"/>
  <c r="J1337" i="1" s="1"/>
  <c r="L1336" i="1" a="1"/>
  <c r="L1336" i="1" s="1"/>
  <c r="L1335" i="1" a="1"/>
  <c r="L1335" i="1" s="1"/>
  <c r="J1335" i="1" a="1"/>
  <c r="J1335" i="1" s="1"/>
  <c r="K1333" i="1" a="1"/>
  <c r="K1333" i="1" s="1"/>
  <c r="L1338" i="1" a="1"/>
  <c r="L1338" i="1" s="1"/>
  <c r="K1338" i="1" a="1"/>
  <c r="K1338" i="1" s="1"/>
  <c r="J1338" i="1" a="1"/>
  <c r="J1338" i="1" s="1"/>
  <c r="K1337" i="1" a="1"/>
  <c r="K1337" i="1" s="1"/>
  <c r="L1333" i="1" a="1"/>
  <c r="L1333" i="1" s="1"/>
  <c r="L1332" i="1" a="1"/>
  <c r="L1332" i="1" s="1"/>
  <c r="J1332" i="1" a="1"/>
  <c r="J1332" i="1" s="1"/>
  <c r="L1324" i="1" a="1"/>
  <c r="L1324" i="1" s="1"/>
  <c r="L1323" i="1" a="1"/>
  <c r="L1323" i="1" s="1"/>
  <c r="L1321" i="1" a="1"/>
  <c r="L1321" i="1" s="1"/>
  <c r="K1325" i="1" a="1"/>
  <c r="K1325" i="1" s="1"/>
  <c r="K1321" i="1" a="1"/>
  <c r="K1321" i="1" s="1"/>
  <c r="J1326" i="1" a="1"/>
  <c r="J1326" i="1" s="1"/>
  <c r="L1325" i="1" a="1"/>
  <c r="L1325" i="1" s="1"/>
  <c r="K1324" i="1" a="1"/>
  <c r="K1324" i="1" s="1"/>
  <c r="K1323" i="1" a="1"/>
  <c r="K1323" i="1" s="1"/>
  <c r="K1326" i="1" a="1"/>
  <c r="K1326" i="1" s="1"/>
  <c r="L1326" i="1" a="1"/>
  <c r="L1326" i="1" s="1"/>
  <c r="J1325" i="1" a="1"/>
  <c r="J1325" i="1" s="1"/>
  <c r="J1324" i="1" a="1"/>
  <c r="J1324" i="1" s="1"/>
  <c r="J1323" i="1" a="1"/>
  <c r="J1323" i="1" s="1"/>
  <c r="J1321" i="1" a="1"/>
  <c r="J1321" i="1" s="1"/>
  <c r="L1320" i="1" a="1"/>
  <c r="L1320" i="1" s="1"/>
  <c r="K1320" i="1" a="1"/>
  <c r="K1320" i="1" s="1"/>
  <c r="K1332" i="1" a="1"/>
  <c r="K1332" i="1" s="1"/>
  <c r="J1320" i="1" a="1"/>
  <c r="J1320" i="1" s="1"/>
  <c r="J1319" i="1" a="1"/>
  <c r="J1319" i="1" s="1"/>
  <c r="K1318" i="1" a="1"/>
  <c r="K1318" i="1" s="1"/>
  <c r="L1317" i="1" a="1"/>
  <c r="L1317" i="1" s="1"/>
  <c r="J1317" i="1" a="1"/>
  <c r="J1317" i="1" s="1"/>
  <c r="L1319" i="1" a="1"/>
  <c r="L1319" i="1" s="1"/>
  <c r="K1319" i="1" a="1"/>
  <c r="K1319" i="1" s="1"/>
  <c r="L1318" i="1" a="1"/>
  <c r="L1318" i="1" s="1"/>
  <c r="J1318" i="1" a="1"/>
  <c r="J1318" i="1" s="1"/>
  <c r="K1317" i="1" a="1"/>
  <c r="K1317" i="1" s="1"/>
  <c r="J1263" i="1" a="1"/>
  <c r="J1263" i="1" s="1"/>
  <c r="L1263" i="1" a="1"/>
  <c r="L1263" i="1" s="1"/>
  <c r="K1263" i="1" a="1"/>
  <c r="K1263" i="1" s="1"/>
  <c r="K1262" i="1" a="1"/>
  <c r="K1262" i="1" s="1"/>
  <c r="L1262" i="1" a="1"/>
  <c r="L1262" i="1" s="1"/>
  <c r="J1257" i="1" a="1"/>
  <c r="J1257" i="1" s="1"/>
  <c r="K1255" i="1" a="1"/>
  <c r="K1255" i="1" s="1"/>
  <c r="J1262" i="1" a="1"/>
  <c r="J1262" i="1" s="1"/>
  <c r="K1261" i="1" a="1"/>
  <c r="K1261" i="1" s="1"/>
  <c r="J1256" i="1" a="1"/>
  <c r="J1256" i="1" s="1"/>
  <c r="L1254" i="1" a="1"/>
  <c r="L1254" i="1" s="1"/>
  <c r="L1258" i="1" a="1"/>
  <c r="L1258" i="1" s="1"/>
  <c r="K1258" i="1" a="1"/>
  <c r="K1258" i="1" s="1"/>
  <c r="L1261" i="1" a="1"/>
  <c r="L1261" i="1" s="1"/>
  <c r="J1261" i="1" a="1"/>
  <c r="J1261" i="1" s="1"/>
  <c r="K1260" i="1" a="1"/>
  <c r="K1260" i="1" s="1"/>
  <c r="J1259" i="1" a="1"/>
  <c r="J1259" i="1" s="1"/>
  <c r="K1254" i="1" a="1"/>
  <c r="K1254" i="1" s="1"/>
  <c r="K1256" i="1" a="1"/>
  <c r="K1256" i="1" s="1"/>
  <c r="L1256" i="1" a="1"/>
  <c r="L1256" i="1" s="1"/>
  <c r="L1257" i="1" a="1"/>
  <c r="L1257" i="1" s="1"/>
  <c r="L1255" i="1" a="1"/>
  <c r="L1255" i="1" s="1"/>
  <c r="J1255" i="1" a="1"/>
  <c r="J1255" i="1" s="1"/>
  <c r="K1259" i="1" a="1"/>
  <c r="K1259" i="1" s="1"/>
  <c r="L1260" i="1" a="1"/>
  <c r="L1260" i="1" s="1"/>
  <c r="J1260" i="1" a="1"/>
  <c r="J1260" i="1" s="1"/>
  <c r="J1258" i="1" a="1"/>
  <c r="J1258" i="1" s="1"/>
  <c r="J1254" i="1" a="1"/>
  <c r="J1254" i="1" s="1"/>
  <c r="K1257" i="1" a="1"/>
  <c r="K1257" i="1" s="1"/>
  <c r="L1259" i="1" a="1"/>
  <c r="L1259" i="1" s="1"/>
  <c r="K1253" i="1" a="1"/>
  <c r="K1253" i="1" s="1"/>
  <c r="L1252" i="1" a="1"/>
  <c r="L1252" i="1" s="1"/>
  <c r="K1248" i="1" a="1"/>
  <c r="K1248" i="1" s="1"/>
  <c r="K1247" i="1" a="1"/>
  <c r="K1247" i="1" s="1"/>
  <c r="K1250" i="1" a="1"/>
  <c r="K1250" i="1" s="1"/>
  <c r="L1251" i="1" a="1"/>
  <c r="L1251" i="1" s="1"/>
  <c r="K1251" i="1" a="1"/>
  <c r="K1251" i="1" s="1"/>
  <c r="J1251" i="1" a="1"/>
  <c r="J1251" i="1" s="1"/>
  <c r="J1249" i="1" a="1"/>
  <c r="J1249" i="1" s="1"/>
  <c r="L1248" i="1" a="1"/>
  <c r="L1248" i="1" s="1"/>
  <c r="L1247" i="1" a="1"/>
  <c r="L1247" i="1" s="1"/>
  <c r="K1249" i="1" a="1"/>
  <c r="K1249" i="1" s="1"/>
  <c r="L1249" i="1" a="1"/>
  <c r="L1249" i="1" s="1"/>
  <c r="J1248" i="1" a="1"/>
  <c r="J1248" i="1" s="1"/>
  <c r="J1253" i="1" a="1"/>
  <c r="J1253" i="1" s="1"/>
  <c r="K1252" i="1" a="1"/>
  <c r="K1252" i="1" s="1"/>
  <c r="J1247" i="1" a="1"/>
  <c r="J1247" i="1" s="1"/>
  <c r="L1250" i="1" a="1"/>
  <c r="L1250" i="1" s="1"/>
  <c r="J1252" i="1" a="1"/>
  <c r="J1252" i="1" s="1"/>
  <c r="J1250" i="1" a="1"/>
  <c r="J1250" i="1" s="1"/>
  <c r="L1253" i="1" a="1"/>
  <c r="L1253" i="1" s="1"/>
  <c r="K1144" i="1" a="1"/>
  <c r="K1144" i="1" s="1"/>
  <c r="K1143" i="1" a="1"/>
  <c r="K1143" i="1" s="1"/>
  <c r="J1142" i="1" a="1"/>
  <c r="J1142" i="1" s="1"/>
  <c r="J1143" i="1" a="1"/>
  <c r="J1143" i="1" s="1"/>
  <c r="K1142" i="1" a="1"/>
  <c r="K1142" i="1" s="1"/>
  <c r="J1144" i="1" a="1"/>
  <c r="J1144" i="1" s="1"/>
  <c r="L1142" i="1" a="1"/>
  <c r="L1142" i="1" s="1"/>
  <c r="L1143" i="1" a="1"/>
  <c r="L1143" i="1" s="1"/>
  <c r="L1144" i="1" a="1"/>
  <c r="L1144" i="1" s="1"/>
  <c r="K1138" i="1" a="1"/>
  <c r="K1138" i="1" s="1"/>
  <c r="L1141" i="1" a="1"/>
  <c r="L1141" i="1" s="1"/>
  <c r="K1141" i="1" a="1"/>
  <c r="K1141" i="1" s="1"/>
  <c r="J1141" i="1" a="1"/>
  <c r="J1141" i="1" s="1"/>
  <c r="L1140" i="1" a="1"/>
  <c r="L1140" i="1" s="1"/>
  <c r="K1140" i="1" a="1"/>
  <c r="K1140" i="1" s="1"/>
  <c r="J1140" i="1" a="1"/>
  <c r="J1140" i="1" s="1"/>
  <c r="L1138" i="1" a="1"/>
  <c r="L1138" i="1" s="1"/>
  <c r="J1138" i="1" a="1"/>
  <c r="J1138" i="1" s="1"/>
  <c r="L1139" i="1" a="1"/>
  <c r="L1139" i="1" s="1"/>
  <c r="K1139" i="1" a="1"/>
  <c r="K1139" i="1" s="1"/>
  <c r="J1139" i="1" a="1"/>
  <c r="J1139" i="1" s="1"/>
  <c r="L1172" i="1" a="1"/>
  <c r="L1172" i="1" s="1"/>
  <c r="J1172" i="1" a="1"/>
  <c r="J1172" i="1" s="1"/>
  <c r="K1169" i="1" a="1"/>
  <c r="K1169" i="1" s="1"/>
  <c r="L1167" i="1" a="1"/>
  <c r="L1167" i="1" s="1"/>
  <c r="K1172" i="1" a="1"/>
  <c r="K1172" i="1" s="1"/>
  <c r="K1165" i="1" a="1"/>
  <c r="K1165" i="1" s="1"/>
  <c r="J1168" i="1" a="1"/>
  <c r="J1168" i="1" s="1"/>
  <c r="K1166" i="1" a="1"/>
  <c r="K1166" i="1" s="1"/>
  <c r="J1170" i="1" a="1"/>
  <c r="J1170" i="1" s="1"/>
  <c r="L1166" i="1" a="1"/>
  <c r="L1166" i="1" s="1"/>
  <c r="K1171" i="1" a="1"/>
  <c r="K1171" i="1" s="1"/>
  <c r="L1169" i="1" a="1"/>
  <c r="L1169" i="1" s="1"/>
  <c r="K1167" i="1" a="1"/>
  <c r="K1167" i="1" s="1"/>
  <c r="K1173" i="1" a="1"/>
  <c r="K1173" i="1" s="1"/>
  <c r="K1170" i="1" a="1"/>
  <c r="K1170" i="1" s="1"/>
  <c r="J1171" i="1" a="1"/>
  <c r="J1171" i="1" s="1"/>
  <c r="L1168" i="1" a="1"/>
  <c r="L1168" i="1" s="1"/>
  <c r="J1167" i="1" a="1"/>
  <c r="J1167" i="1" s="1"/>
  <c r="J1165" i="1" a="1"/>
  <c r="J1165" i="1" s="1"/>
  <c r="L1165" i="1" a="1"/>
  <c r="L1165" i="1" s="1"/>
  <c r="L1171" i="1" a="1"/>
  <c r="L1171" i="1" s="1"/>
  <c r="L1173" i="1" a="1"/>
  <c r="L1173" i="1" s="1"/>
  <c r="L1170" i="1" a="1"/>
  <c r="L1170" i="1" s="1"/>
  <c r="J1169" i="1" a="1"/>
  <c r="J1169" i="1" s="1"/>
  <c r="K1168" i="1" a="1"/>
  <c r="K1168" i="1" s="1"/>
  <c r="J1173" i="1" a="1"/>
  <c r="J1173" i="1" s="1"/>
  <c r="J1166" i="1" a="1"/>
  <c r="J1166" i="1" s="1"/>
  <c r="K1163" i="1" a="1"/>
  <c r="K1163" i="1" s="1"/>
  <c r="K1156" i="1" a="1"/>
  <c r="K1156" i="1" s="1"/>
  <c r="K1155" i="1" a="1"/>
  <c r="K1155" i="1" s="1"/>
  <c r="J1162" i="1" a="1"/>
  <c r="J1162" i="1" s="1"/>
  <c r="J1163" i="1" a="1"/>
  <c r="J1163" i="1" s="1"/>
  <c r="L1162" i="1" a="1"/>
  <c r="L1162" i="1" s="1"/>
  <c r="K1162" i="1" a="1"/>
  <c r="K1162" i="1" s="1"/>
  <c r="L1156" i="1" a="1"/>
  <c r="L1156" i="1" s="1"/>
  <c r="J1154" i="1" a="1"/>
  <c r="J1154" i="1" s="1"/>
  <c r="J1155" i="1" a="1"/>
  <c r="J1155" i="1" s="1"/>
  <c r="L1164" i="1" a="1"/>
  <c r="L1164" i="1" s="1"/>
  <c r="K1164" i="1" a="1"/>
  <c r="K1164" i="1" s="1"/>
  <c r="J1156" i="1" a="1"/>
  <c r="J1156" i="1" s="1"/>
  <c r="L1155" i="1" a="1"/>
  <c r="L1155" i="1" s="1"/>
  <c r="K1154" i="1" a="1"/>
  <c r="K1154" i="1" s="1"/>
  <c r="L1154" i="1" a="1"/>
  <c r="L1154" i="1" s="1"/>
  <c r="J1164" i="1" a="1"/>
  <c r="J1164" i="1" s="1"/>
  <c r="L1163" i="1" a="1"/>
  <c r="L1163" i="1" s="1"/>
  <c r="L1150" i="1" a="1"/>
  <c r="L1150" i="1" s="1"/>
  <c r="L1148" i="1" a="1"/>
  <c r="L1148" i="1" s="1"/>
  <c r="K1153" i="1" a="1"/>
  <c r="K1153" i="1" s="1"/>
  <c r="J1150" i="1" a="1"/>
  <c r="J1150" i="1" s="1"/>
  <c r="K1150" i="1" a="1"/>
  <c r="K1150" i="1" s="1"/>
  <c r="L1149" i="1" a="1"/>
  <c r="L1149" i="1" s="1"/>
  <c r="J1148" i="1" a="1"/>
  <c r="J1148" i="1" s="1"/>
  <c r="L1153" i="1" a="1"/>
  <c r="L1153" i="1" s="1"/>
  <c r="J1149" i="1" a="1"/>
  <c r="J1149" i="1" s="1"/>
  <c r="K1148" i="1" a="1"/>
  <c r="K1148" i="1" s="1"/>
  <c r="J1153" i="1" a="1"/>
  <c r="J1153" i="1" s="1"/>
  <c r="K1149" i="1" a="1"/>
  <c r="K1149" i="1" s="1"/>
  <c r="L1147" i="1" a="1"/>
  <c r="L1147" i="1" s="1"/>
  <c r="K1147" i="1" a="1"/>
  <c r="K1147" i="1" s="1"/>
  <c r="J1147" i="1" a="1"/>
  <c r="J1147" i="1" s="1"/>
  <c r="L1146" i="1" a="1"/>
  <c r="L1146" i="1" s="1"/>
  <c r="K1146" i="1" a="1"/>
  <c r="K1146" i="1" s="1"/>
  <c r="L1145" i="1" a="1"/>
  <c r="L1145" i="1" s="1"/>
  <c r="J1146" i="1" a="1"/>
  <c r="J1146" i="1" s="1"/>
  <c r="K1145" i="1" a="1"/>
  <c r="K1145" i="1" s="1"/>
  <c r="J1145" i="1" a="1"/>
  <c r="J1145" i="1" s="1"/>
  <c r="L1980" i="1" a="1"/>
  <c r="L1980" i="1" s="1"/>
  <c r="K1981" i="1" a="1"/>
  <c r="K1981" i="1" s="1"/>
  <c r="J1980" i="1" a="1"/>
  <c r="J1980" i="1" s="1"/>
  <c r="L1981" i="1" a="1"/>
  <c r="L1981" i="1" s="1"/>
  <c r="J1976" i="1" a="1"/>
  <c r="J1976" i="1" s="1"/>
  <c r="L1982" i="1" a="1"/>
  <c r="L1982" i="1" s="1"/>
  <c r="K1982" i="1" a="1"/>
  <c r="K1982" i="1" s="1"/>
  <c r="J1977" i="1" a="1"/>
  <c r="J1977" i="1" s="1"/>
  <c r="L1975" i="1" a="1"/>
  <c r="L1975" i="1" s="1"/>
  <c r="K1977" i="1" a="1"/>
  <c r="K1977" i="1" s="1"/>
  <c r="K1976" i="1" a="1"/>
  <c r="K1976" i="1" s="1"/>
  <c r="L1977" i="1" a="1"/>
  <c r="L1977" i="1" s="1"/>
  <c r="K1975" i="1" a="1"/>
  <c r="K1975" i="1" s="1"/>
  <c r="K1980" i="1" a="1"/>
  <c r="K1980" i="1" s="1"/>
  <c r="L1976" i="1" a="1"/>
  <c r="L1976" i="1" s="1"/>
  <c r="L1979" i="1" a="1"/>
  <c r="L1979" i="1" s="1"/>
  <c r="J1975" i="1" a="1"/>
  <c r="J1975" i="1" s="1"/>
  <c r="J1979" i="1" a="1"/>
  <c r="J1979" i="1" s="1"/>
  <c r="J1981" i="1" a="1"/>
  <c r="J1981" i="1" s="1"/>
  <c r="J1982" i="1" a="1"/>
  <c r="J1982" i="1" s="1"/>
  <c r="K1979" i="1" a="1"/>
  <c r="K1979" i="1" s="1"/>
  <c r="L1973" i="1" a="1"/>
  <c r="L1973" i="1" s="1"/>
  <c r="L1966" i="1" a="1"/>
  <c r="L1966" i="1" s="1"/>
  <c r="K1967" i="1" a="1"/>
  <c r="K1967" i="1" s="1"/>
  <c r="K1972" i="1" a="1"/>
  <c r="K1972" i="1" s="1"/>
  <c r="K1966" i="1" a="1"/>
  <c r="K1966" i="1" s="1"/>
  <c r="K1971" i="1" a="1"/>
  <c r="K1971" i="1" s="1"/>
  <c r="J1967" i="1" a="1"/>
  <c r="J1967" i="1" s="1"/>
  <c r="J1968" i="1" a="1"/>
  <c r="J1968" i="1" s="1"/>
  <c r="K1968" i="1" a="1"/>
  <c r="K1968" i="1" s="1"/>
  <c r="L1972" i="1" a="1"/>
  <c r="L1972" i="1" s="1"/>
  <c r="L1965" i="1" a="1"/>
  <c r="L1965" i="1" s="1"/>
  <c r="K1973" i="1" a="1"/>
  <c r="K1973" i="1" s="1"/>
  <c r="L1967" i="1" a="1"/>
  <c r="L1967" i="1" s="1"/>
  <c r="L1970" i="1" a="1"/>
  <c r="L1970" i="1" s="1"/>
  <c r="J1973" i="1" a="1"/>
  <c r="J1973" i="1" s="1"/>
  <c r="J1972" i="1" a="1"/>
  <c r="J1972" i="1" s="1"/>
  <c r="J1970" i="1" a="1"/>
  <c r="J1970" i="1" s="1"/>
  <c r="L1969" i="1" a="1"/>
  <c r="L1969" i="1" s="1"/>
  <c r="J1969" i="1" a="1"/>
  <c r="J1969" i="1" s="1"/>
  <c r="L1968" i="1" a="1"/>
  <c r="L1968" i="1" s="1"/>
  <c r="J1966" i="1" a="1"/>
  <c r="J1966" i="1" s="1"/>
  <c r="K1970" i="1" a="1"/>
  <c r="K1970" i="1" s="1"/>
  <c r="K1969" i="1" a="1"/>
  <c r="K1969" i="1" s="1"/>
  <c r="L1974" i="1" a="1"/>
  <c r="L1974" i="1" s="1"/>
  <c r="K1974" i="1" a="1"/>
  <c r="K1974" i="1" s="1"/>
  <c r="L1971" i="1" a="1"/>
  <c r="L1971" i="1" s="1"/>
  <c r="J1974" i="1" a="1"/>
  <c r="J1974" i="1" s="1"/>
  <c r="J1971" i="1" a="1"/>
  <c r="J1971" i="1" s="1"/>
  <c r="K1962" i="1" a="1"/>
  <c r="K1962" i="1" s="1"/>
  <c r="K1960" i="1" a="1"/>
  <c r="K1960" i="1" s="1"/>
  <c r="K1958" i="1" a="1"/>
  <c r="K1958" i="1" s="1"/>
  <c r="J1961" i="1" a="1"/>
  <c r="J1961" i="1" s="1"/>
  <c r="L1960" i="1" a="1"/>
  <c r="L1960" i="1" s="1"/>
  <c r="J1960" i="1" a="1"/>
  <c r="J1960" i="1" s="1"/>
  <c r="L1958" i="1" a="1"/>
  <c r="L1958" i="1" s="1"/>
  <c r="J1958" i="1" a="1"/>
  <c r="J1958" i="1" s="1"/>
  <c r="J1957" i="1" a="1"/>
  <c r="J1957" i="1" s="1"/>
  <c r="K1957" i="1" a="1"/>
  <c r="K1957" i="1" s="1"/>
  <c r="K1965" i="1" a="1"/>
  <c r="K1965" i="1" s="1"/>
  <c r="L1964" i="1" a="1"/>
  <c r="L1964" i="1" s="1"/>
  <c r="K1961" i="1" a="1"/>
  <c r="K1961" i="1" s="1"/>
  <c r="J1965" i="1" a="1"/>
  <c r="J1965" i="1" s="1"/>
  <c r="J1963" i="1" a="1"/>
  <c r="J1963" i="1" s="1"/>
  <c r="L1957" i="1" a="1"/>
  <c r="L1957" i="1" s="1"/>
  <c r="L1963" i="1" a="1"/>
  <c r="L1963" i="1" s="1"/>
  <c r="L1959" i="1" a="1"/>
  <c r="L1959" i="1" s="1"/>
  <c r="L1962" i="1" a="1"/>
  <c r="L1962" i="1" s="1"/>
  <c r="J1962" i="1" a="1"/>
  <c r="J1962" i="1" s="1"/>
  <c r="L1961" i="1" a="1"/>
  <c r="L1961" i="1" s="1"/>
  <c r="K1964" i="1" a="1"/>
  <c r="K1964" i="1" s="1"/>
  <c r="J1964" i="1" a="1"/>
  <c r="J1964" i="1" s="1"/>
  <c r="K1959" i="1" a="1"/>
  <c r="K1959" i="1" s="1"/>
  <c r="J1959" i="1" a="1"/>
  <c r="J1959" i="1" s="1"/>
  <c r="K1963" i="1" a="1"/>
  <c r="K1963" i="1" s="1"/>
  <c r="L2232" i="1" a="1"/>
  <c r="L2232" i="1" s="1"/>
  <c r="J2232" i="1" a="1"/>
  <c r="J2232" i="1" s="1"/>
  <c r="L2229" i="1" a="1"/>
  <c r="L2229" i="1" s="1"/>
  <c r="L2230" i="1" s="1" a="1"/>
  <c r="L2230" i="1" s="1"/>
  <c r="K2229" i="1" a="1"/>
  <c r="K2229" i="1" s="1"/>
  <c r="K2230" i="1" s="1" a="1"/>
  <c r="K2230" i="1" s="1"/>
  <c r="L2231" i="1" a="1"/>
  <c r="L2231" i="1" s="1"/>
  <c r="J2231" i="1" a="1"/>
  <c r="J2231" i="1" s="1"/>
  <c r="K2232" i="1" a="1"/>
  <c r="K2232" i="1" s="1"/>
  <c r="J2229" i="1" a="1"/>
  <c r="J2229" i="1" s="1"/>
  <c r="J2230" i="1" s="1" a="1"/>
  <c r="J2230" i="1" s="1"/>
  <c r="K2231" i="1" a="1"/>
  <c r="K2231" i="1" s="1"/>
  <c r="K2219" i="1" a="1"/>
  <c r="K2219" i="1" s="1"/>
  <c r="K2220" i="1" s="1" a="1"/>
  <c r="K2220" i="1" s="1"/>
  <c r="J2222" i="1" a="1"/>
  <c r="J2222" i="1" s="1"/>
  <c r="J2224" i="1" a="1"/>
  <c r="J2224" i="1" s="1"/>
  <c r="J2225" i="1" s="1" a="1"/>
  <c r="J2225" i="1" s="1"/>
  <c r="J2221" i="1" a="1"/>
  <c r="J2221" i="1" s="1"/>
  <c r="L2224" i="1" a="1"/>
  <c r="L2224" i="1" s="1"/>
  <c r="L2225" i="1" s="1" a="1"/>
  <c r="L2225" i="1" s="1"/>
  <c r="K2227" i="1" a="1"/>
  <c r="K2227" i="1" s="1"/>
  <c r="K2228" i="1" s="1" a="1"/>
  <c r="K2228" i="1" s="1"/>
  <c r="K2222" i="1" a="1"/>
  <c r="K2222" i="1" s="1"/>
  <c r="J2227" i="1" a="1"/>
  <c r="J2227" i="1" s="1"/>
  <c r="J2228" i="1" s="1" a="1"/>
  <c r="J2228" i="1" s="1"/>
  <c r="L2226" i="1" a="1"/>
  <c r="L2226" i="1" s="1"/>
  <c r="K2226" i="1" a="1"/>
  <c r="K2226" i="1" s="1"/>
  <c r="J2226" i="1" a="1"/>
  <c r="J2226" i="1" s="1"/>
  <c r="K2221" i="1" a="1"/>
  <c r="K2221" i="1" s="1"/>
  <c r="L2222" i="1" a="1"/>
  <c r="L2222" i="1" s="1"/>
  <c r="L2219" i="1" a="1"/>
  <c r="L2219" i="1" s="1"/>
  <c r="L2220" i="1" s="1" a="1"/>
  <c r="L2220" i="1" s="1"/>
  <c r="K2224" i="1" a="1"/>
  <c r="K2224" i="1" s="1"/>
  <c r="K2225" i="1" s="1" a="1"/>
  <c r="K2225" i="1" s="1"/>
  <c r="J2219" i="1" a="1"/>
  <c r="J2219" i="1" s="1"/>
  <c r="J2220" i="1" s="1" a="1"/>
  <c r="J2220" i="1" s="1"/>
  <c r="L2221" i="1" a="1"/>
  <c r="L2221" i="1" s="1"/>
  <c r="L2227" i="1" a="1"/>
  <c r="L2227" i="1" s="1"/>
  <c r="L2228" i="1" s="1" a="1"/>
  <c r="L2228" i="1" s="1"/>
  <c r="L2211" i="1" a="1"/>
  <c r="L2211" i="1" s="1"/>
  <c r="K2210" i="1" a="1"/>
  <c r="K2210" i="1" s="1"/>
  <c r="L2209" i="1" a="1"/>
  <c r="L2209" i="1" s="1"/>
  <c r="J2217" i="1" a="1"/>
  <c r="J2217" i="1" s="1"/>
  <c r="J2218" i="1" s="1" a="1"/>
  <c r="J2218" i="1" s="1"/>
  <c r="K2209" i="1" a="1"/>
  <c r="K2209" i="1" s="1"/>
  <c r="K2216" i="1" a="1"/>
  <c r="K2216" i="1" s="1"/>
  <c r="J2216" i="1" a="1"/>
  <c r="J2216" i="1" s="1"/>
  <c r="L2214" i="1" a="1"/>
  <c r="L2214" i="1" s="1"/>
  <c r="L2215" i="1" s="1" a="1"/>
  <c r="L2215" i="1" s="1"/>
  <c r="L2210" i="1" a="1"/>
  <c r="L2210" i="1" s="1"/>
  <c r="J2214" i="1" a="1"/>
  <c r="J2214" i="1" s="1"/>
  <c r="J2215" i="1" s="1" a="1"/>
  <c r="J2215" i="1" s="1"/>
  <c r="K2217" i="1" a="1"/>
  <c r="K2217" i="1" s="1"/>
  <c r="K2218" i="1" s="1" a="1"/>
  <c r="K2218" i="1" s="1"/>
  <c r="K2214" i="1" a="1"/>
  <c r="K2214" i="1" s="1"/>
  <c r="K2215" i="1" s="1" a="1"/>
  <c r="K2215" i="1" s="1"/>
  <c r="J2210" i="1" a="1"/>
  <c r="J2210" i="1" s="1"/>
  <c r="K2211" i="1" a="1"/>
  <c r="K2211" i="1" s="1"/>
  <c r="K2212" i="1" a="1"/>
  <c r="K2212" i="1" s="1"/>
  <c r="L2217" i="1" a="1"/>
  <c r="L2217" i="1" s="1"/>
  <c r="L2218" i="1" s="1" a="1"/>
  <c r="L2218" i="1" s="1"/>
  <c r="J2211" i="1" a="1"/>
  <c r="J2211" i="1" s="1"/>
  <c r="J2212" i="1" a="1"/>
  <c r="J2212" i="1" s="1"/>
  <c r="L2216" i="1" a="1"/>
  <c r="L2216" i="1" s="1"/>
  <c r="L2212" i="1" a="1"/>
  <c r="L2212" i="1" s="1"/>
  <c r="L2207" i="1" a="1"/>
  <c r="L2207" i="1" s="1"/>
  <c r="J2203" i="1" a="1"/>
  <c r="J2203" i="1" s="1"/>
  <c r="L2201" i="1" a="1"/>
  <c r="L2201" i="1" s="1"/>
  <c r="K2207" i="1" a="1"/>
  <c r="K2207" i="1" s="1"/>
  <c r="L2203" i="1" a="1"/>
  <c r="L2203" i="1" s="1"/>
  <c r="K2204" i="1" a="1"/>
  <c r="K2204" i="1" s="1"/>
  <c r="J2201" i="1" a="1"/>
  <c r="J2201" i="1" s="1"/>
  <c r="L2200" i="1" a="1"/>
  <c r="L2200" i="1" s="1"/>
  <c r="K2203" i="1" a="1"/>
  <c r="K2203" i="1" s="1"/>
  <c r="J2207" i="1" a="1"/>
  <c r="J2207" i="1" s="1"/>
  <c r="J2206" i="1" a="1"/>
  <c r="J2206" i="1" s="1"/>
  <c r="K2205" i="1" a="1"/>
  <c r="K2205" i="1" s="1"/>
  <c r="L2204" i="1" a="1"/>
  <c r="L2204" i="1" s="1"/>
  <c r="J2204" i="1" a="1"/>
  <c r="J2204" i="1" s="1"/>
  <c r="L2202" i="1" a="1"/>
  <c r="L2202" i="1" s="1"/>
  <c r="K2202" i="1" a="1"/>
  <c r="K2202" i="1" s="1"/>
  <c r="J2200" i="1" a="1"/>
  <c r="J2200" i="1" s="1"/>
  <c r="J2202" i="1" a="1"/>
  <c r="J2202" i="1" s="1"/>
  <c r="K2200" i="1" a="1"/>
  <c r="K2200" i="1" s="1"/>
  <c r="J2209" i="1" a="1"/>
  <c r="J2209" i="1" s="1"/>
  <c r="J2205" i="1" a="1"/>
  <c r="J2205" i="1" s="1"/>
  <c r="K2201" i="1" a="1"/>
  <c r="K2201" i="1" s="1"/>
  <c r="L2208" i="1" a="1"/>
  <c r="L2208" i="1" s="1"/>
  <c r="K2208" i="1" a="1"/>
  <c r="K2208" i="1" s="1"/>
  <c r="J2208" i="1" a="1"/>
  <c r="J2208" i="1" s="1"/>
  <c r="L2206" i="1" a="1"/>
  <c r="L2206" i="1" s="1"/>
  <c r="K2206" i="1" a="1"/>
  <c r="K2206" i="1" s="1"/>
  <c r="L2205" i="1" a="1"/>
  <c r="L2205" i="1" s="1"/>
  <c r="L2198" i="1" a="1"/>
  <c r="L2198" i="1" s="1"/>
  <c r="K2198" i="1" a="1"/>
  <c r="K2198" i="1" s="1"/>
  <c r="K2192" i="1" a="1"/>
  <c r="K2192" i="1" s="1"/>
  <c r="J2198" i="1" a="1"/>
  <c r="J2198" i="1" s="1"/>
  <c r="K2196" i="1" a="1"/>
  <c r="K2196" i="1" s="1"/>
  <c r="K2194" i="1" a="1"/>
  <c r="K2194" i="1" s="1"/>
  <c r="J2192" i="1" a="1"/>
  <c r="J2192" i="1" s="1"/>
  <c r="L2194" i="1" a="1"/>
  <c r="L2194" i="1" s="1"/>
  <c r="L2195" i="1" a="1"/>
  <c r="L2195" i="1" s="1"/>
  <c r="L2197" i="1" a="1"/>
  <c r="L2197" i="1" s="1"/>
  <c r="J2193" i="1" a="1"/>
  <c r="J2193" i="1" s="1"/>
  <c r="J2194" i="1" a="1"/>
  <c r="J2194" i="1" s="1"/>
  <c r="L2193" i="1" a="1"/>
  <c r="L2193" i="1" s="1"/>
  <c r="K2195" i="1" a="1"/>
  <c r="K2195" i="1" s="1"/>
  <c r="K2197" i="1" a="1"/>
  <c r="K2197" i="1" s="1"/>
  <c r="L2192" i="1" a="1"/>
  <c r="L2192" i="1" s="1"/>
  <c r="J2196" i="1" a="1"/>
  <c r="J2196" i="1" s="1"/>
  <c r="J2197" i="1" a="1"/>
  <c r="J2197" i="1" s="1"/>
  <c r="L2196" i="1" a="1"/>
  <c r="L2196" i="1" s="1"/>
  <c r="L2199" i="1" a="1"/>
  <c r="L2199" i="1" s="1"/>
  <c r="J2199" i="1" a="1"/>
  <c r="J2199" i="1" s="1"/>
  <c r="J2195" i="1" a="1"/>
  <c r="J2195" i="1" s="1"/>
  <c r="K2199" i="1" a="1"/>
  <c r="K2199" i="1" s="1"/>
  <c r="K2193" i="1" a="1"/>
  <c r="K2193" i="1" s="1"/>
  <c r="J2190" i="1" a="1"/>
  <c r="J2190" i="1" s="1"/>
  <c r="L2183" i="1" a="1"/>
  <c r="L2183" i="1" s="1"/>
  <c r="K2187" i="1" a="1"/>
  <c r="K2187" i="1" s="1"/>
  <c r="K2184" i="1" a="1"/>
  <c r="K2184" i="1" s="1"/>
  <c r="L2182" i="1" a="1"/>
  <c r="L2182" i="1" s="1"/>
  <c r="J2187" i="1" a="1"/>
  <c r="J2187" i="1" s="1"/>
  <c r="J2188" i="1" a="1"/>
  <c r="J2188" i="1" s="1"/>
  <c r="L2187" i="1" a="1"/>
  <c r="L2187" i="1" s="1"/>
  <c r="J2185" i="1" a="1"/>
  <c r="J2185" i="1" s="1"/>
  <c r="J2184" i="1" a="1"/>
  <c r="J2184" i="1" s="1"/>
  <c r="J2186" i="1" a="1"/>
  <c r="J2186" i="1" s="1"/>
  <c r="L2185" i="1" a="1"/>
  <c r="L2185" i="1" s="1"/>
  <c r="K2183" i="1" a="1"/>
  <c r="K2183" i="1" s="1"/>
  <c r="K2182" i="1" a="1"/>
  <c r="K2182" i="1" s="1"/>
  <c r="L2184" i="1" a="1"/>
  <c r="L2184" i="1" s="1"/>
  <c r="J2182" i="1" a="1"/>
  <c r="J2182" i="1" s="1"/>
  <c r="K2190" i="1" a="1"/>
  <c r="K2190" i="1" s="1"/>
  <c r="K2185" i="1" a="1"/>
  <c r="K2185" i="1" s="1"/>
  <c r="L2191" i="1" a="1"/>
  <c r="L2191" i="1" s="1"/>
  <c r="L2188" i="1" a="1"/>
  <c r="L2188" i="1" s="1"/>
  <c r="L2186" i="1" a="1"/>
  <c r="L2186" i="1" s="1"/>
  <c r="K2191" i="1" a="1"/>
  <c r="K2191" i="1" s="1"/>
  <c r="J2191" i="1" a="1"/>
  <c r="J2191" i="1" s="1"/>
  <c r="K2188" i="1" a="1"/>
  <c r="K2188" i="1" s="1"/>
  <c r="J2183" i="1" a="1"/>
  <c r="J2183" i="1" s="1"/>
  <c r="K2186" i="1" a="1"/>
  <c r="K2186" i="1" s="1"/>
  <c r="L2190" i="1" a="1"/>
  <c r="L2190" i="1" s="1"/>
  <c r="J2174" i="1" a="1"/>
  <c r="J2174" i="1" s="1"/>
  <c r="L2176" i="1" a="1"/>
  <c r="L2176" i="1" s="1"/>
  <c r="L2173" i="1" a="1"/>
  <c r="L2173" i="1" s="1"/>
  <c r="K2180" i="1" a="1"/>
  <c r="K2180" i="1" s="1"/>
  <c r="J2176" i="1" a="1"/>
  <c r="J2176" i="1" s="1"/>
  <c r="L2179" i="1" a="1"/>
  <c r="L2179" i="1" s="1"/>
  <c r="J2179" i="1" a="1"/>
  <c r="J2179" i="1" s="1"/>
  <c r="L2180" i="1" a="1"/>
  <c r="L2180" i="1" s="1"/>
  <c r="J2180" i="1" a="1"/>
  <c r="J2180" i="1" s="1"/>
  <c r="K2179" i="1" a="1"/>
  <c r="K2179" i="1" s="1"/>
  <c r="K2177" i="1" a="1"/>
  <c r="K2177" i="1" s="1"/>
  <c r="J2177" i="1" a="1"/>
  <c r="J2177" i="1" s="1"/>
  <c r="J2175" i="1" a="1"/>
  <c r="J2175" i="1" s="1"/>
  <c r="K2175" i="1" a="1"/>
  <c r="K2175" i="1" s="1"/>
  <c r="L2178" i="1" a="1"/>
  <c r="L2178" i="1" s="1"/>
  <c r="K2178" i="1" a="1"/>
  <c r="K2178" i="1" s="1"/>
  <c r="K2176" i="1" a="1"/>
  <c r="K2176" i="1" s="1"/>
  <c r="L2181" i="1" a="1"/>
  <c r="L2181" i="1" s="1"/>
  <c r="K2181" i="1" a="1"/>
  <c r="K2181" i="1" s="1"/>
  <c r="J2181" i="1" a="1"/>
  <c r="J2181" i="1" s="1"/>
  <c r="J2173" i="1" a="1"/>
  <c r="J2173" i="1" s="1"/>
  <c r="J2178" i="1" a="1"/>
  <c r="J2178" i="1" s="1"/>
  <c r="K2173" i="1" a="1"/>
  <c r="K2173" i="1" s="1"/>
  <c r="L2174" i="1" a="1"/>
  <c r="L2174" i="1" s="1"/>
  <c r="K2174" i="1" a="1"/>
  <c r="K2174" i="1" s="1"/>
  <c r="L2177" i="1" a="1"/>
  <c r="L2177" i="1" s="1"/>
  <c r="L2175" i="1" a="1"/>
  <c r="L2175" i="1" s="1"/>
  <c r="J2169" i="1" a="1"/>
  <c r="J2169" i="1" s="1"/>
  <c r="L2163" i="1" a="1"/>
  <c r="L2163" i="1" s="1"/>
  <c r="K2166" i="1" a="1"/>
  <c r="K2166" i="1" s="1"/>
  <c r="L2164" i="1" a="1"/>
  <c r="L2164" i="1" s="1"/>
  <c r="J2166" i="1" a="1"/>
  <c r="J2166" i="1" s="1"/>
  <c r="L2168" i="1" a="1"/>
  <c r="L2168" i="1" s="1"/>
  <c r="K2168" i="1" a="1"/>
  <c r="K2168" i="1" s="1"/>
  <c r="J2168" i="1" a="1"/>
  <c r="J2168" i="1" s="1"/>
  <c r="L2167" i="1" a="1"/>
  <c r="L2167" i="1" s="1"/>
  <c r="K2167" i="1" a="1"/>
  <c r="K2167" i="1" s="1"/>
  <c r="J2164" i="1" a="1"/>
  <c r="J2164" i="1" s="1"/>
  <c r="L2166" i="1" a="1"/>
  <c r="L2166" i="1" s="1"/>
  <c r="L2172" i="1" a="1"/>
  <c r="L2172" i="1" s="1"/>
  <c r="K2172" i="1" a="1"/>
  <c r="K2172" i="1" s="1"/>
  <c r="J2172" i="1" a="1"/>
  <c r="J2172" i="1" s="1"/>
  <c r="L2169" i="1" a="1"/>
  <c r="L2169" i="1" s="1"/>
  <c r="K2163" i="1" a="1"/>
  <c r="K2163" i="1" s="1"/>
  <c r="L2171" i="1" a="1"/>
  <c r="L2171" i="1" s="1"/>
  <c r="K2171" i="1" a="1"/>
  <c r="K2171" i="1" s="1"/>
  <c r="J2171" i="1" a="1"/>
  <c r="J2171" i="1" s="1"/>
  <c r="J2163" i="1" a="1"/>
  <c r="J2163" i="1" s="1"/>
  <c r="J2167" i="1" a="1"/>
  <c r="J2167" i="1" s="1"/>
  <c r="K2164" i="1" a="1"/>
  <c r="K2164" i="1" s="1"/>
  <c r="K2169" i="1" a="1"/>
  <c r="K2169" i="1" s="1"/>
  <c r="J2170" i="1" a="1"/>
  <c r="J2170" i="1" s="1"/>
  <c r="K2170" i="1" a="1"/>
  <c r="K2170" i="1" s="1"/>
  <c r="L2170" i="1" a="1"/>
  <c r="L2170" i="1" s="1"/>
  <c r="L2161" i="1" a="1"/>
  <c r="L2161" i="1" s="1"/>
  <c r="K2161" i="1" a="1"/>
  <c r="K2161" i="1" s="1"/>
  <c r="L2156" i="1" a="1"/>
  <c r="L2156" i="1" s="1"/>
  <c r="J2158" i="1" a="1"/>
  <c r="J2158" i="1" s="1"/>
  <c r="J2161" i="1" a="1"/>
  <c r="J2161" i="1" s="1"/>
  <c r="K2160" i="1" a="1"/>
  <c r="K2160" i="1" s="1"/>
  <c r="L2159" i="1" a="1"/>
  <c r="L2159" i="1" s="1"/>
  <c r="K2155" i="1" a="1"/>
  <c r="K2155" i="1" s="1"/>
  <c r="K2157" i="1" a="1"/>
  <c r="K2157" i="1" s="1"/>
  <c r="K2158" i="1" a="1"/>
  <c r="K2158" i="1" s="1"/>
  <c r="L2157" i="1" a="1"/>
  <c r="L2157" i="1" s="1"/>
  <c r="K2159" i="1" a="1"/>
  <c r="K2159" i="1" s="1"/>
  <c r="J2157" i="1" a="1"/>
  <c r="J2157" i="1" s="1"/>
  <c r="J2156" i="1" a="1"/>
  <c r="J2156" i="1" s="1"/>
  <c r="K2156" i="1" a="1"/>
  <c r="K2156" i="1" s="1"/>
  <c r="J2154" i="1" a="1"/>
  <c r="J2154" i="1" s="1"/>
  <c r="L2155" i="1" a="1"/>
  <c r="L2155" i="1" s="1"/>
  <c r="L2154" i="1" a="1"/>
  <c r="L2154" i="1" s="1"/>
  <c r="L2160" i="1" a="1"/>
  <c r="L2160" i="1" s="1"/>
  <c r="J2155" i="1" a="1"/>
  <c r="J2155" i="1" s="1"/>
  <c r="J2159" i="1" a="1"/>
  <c r="J2159" i="1" s="1"/>
  <c r="K2154" i="1" a="1"/>
  <c r="K2154" i="1" s="1"/>
  <c r="J2160" i="1" a="1"/>
  <c r="J2160" i="1" s="1"/>
  <c r="L2158" i="1" a="1"/>
  <c r="L2158" i="1" s="1"/>
  <c r="L2162" i="1" a="1"/>
  <c r="L2162" i="1" s="1"/>
  <c r="K2162" i="1" a="1"/>
  <c r="K2162" i="1" s="1"/>
  <c r="J2162" i="1" a="1"/>
  <c r="J2162" i="1" s="1"/>
  <c r="K2146" i="1" a="1"/>
  <c r="K2146" i="1" s="1"/>
  <c r="J2150" i="1" a="1"/>
  <c r="J2150" i="1" s="1"/>
  <c r="J2148" i="1" a="1"/>
  <c r="J2148" i="1" s="1"/>
  <c r="K2149" i="1" a="1"/>
  <c r="K2149" i="1" s="1"/>
  <c r="J2147" i="1" a="1"/>
  <c r="J2147" i="1" s="1"/>
  <c r="L2153" i="1" a="1"/>
  <c r="L2153" i="1" s="1"/>
  <c r="L2152" i="1" a="1"/>
  <c r="L2152" i="1" s="1"/>
  <c r="L2150" i="1" a="1"/>
  <c r="L2150" i="1" s="1"/>
  <c r="L2148" i="1" a="1"/>
  <c r="L2148" i="1" s="1"/>
  <c r="J2151" i="1" a="1"/>
  <c r="J2151" i="1" s="1"/>
  <c r="K2153" i="1" a="1"/>
  <c r="K2153" i="1" s="1"/>
  <c r="L2151" i="1" a="1"/>
  <c r="L2151" i="1" s="1"/>
  <c r="K2150" i="1" a="1"/>
  <c r="K2150" i="1" s="1"/>
  <c r="L2149" i="1" a="1"/>
  <c r="L2149" i="1" s="1"/>
  <c r="K2148" i="1" a="1"/>
  <c r="K2148" i="1" s="1"/>
  <c r="J2149" i="1" a="1"/>
  <c r="J2149" i="1" s="1"/>
  <c r="J2153" i="1" a="1"/>
  <c r="J2153" i="1" s="1"/>
  <c r="J2146" i="1" a="1"/>
  <c r="J2146" i="1" s="1"/>
  <c r="L2147" i="1" a="1"/>
  <c r="L2147" i="1" s="1"/>
  <c r="J2152" i="1" a="1"/>
  <c r="J2152" i="1" s="1"/>
  <c r="K2151" i="1" a="1"/>
  <c r="K2151" i="1" s="1"/>
  <c r="L2146" i="1" a="1"/>
  <c r="L2146" i="1" s="1"/>
  <c r="K2152" i="1" a="1"/>
  <c r="K2152" i="1" s="1"/>
  <c r="L2145" i="1" a="1"/>
  <c r="L2145" i="1" s="1"/>
  <c r="K2147" i="1" a="1"/>
  <c r="K2147" i="1" s="1"/>
  <c r="J2144" i="1" a="1"/>
  <c r="J2144" i="1" s="1"/>
  <c r="J2138" i="1" a="1"/>
  <c r="J2138" i="1" s="1"/>
  <c r="L2142" i="1" a="1"/>
  <c r="L2142" i="1" s="1"/>
  <c r="J2142" i="1" a="1"/>
  <c r="J2142" i="1" s="1"/>
  <c r="J2139" i="1" a="1"/>
  <c r="J2139" i="1" s="1"/>
  <c r="K2136" i="1" a="1"/>
  <c r="K2136" i="1" s="1"/>
  <c r="J2137" i="1" a="1"/>
  <c r="J2137" i="1" s="1"/>
  <c r="J2141" i="1" a="1"/>
  <c r="J2141" i="1" s="1"/>
  <c r="K2140" i="1" a="1"/>
  <c r="K2140" i="1" s="1"/>
  <c r="K2141" i="1" a="1"/>
  <c r="K2141" i="1" s="1"/>
  <c r="K2137" i="1" a="1"/>
  <c r="K2137" i="1" s="1"/>
  <c r="L2139" i="1" a="1"/>
  <c r="L2139" i="1" s="1"/>
  <c r="J2143" i="1" a="1"/>
  <c r="J2143" i="1" s="1"/>
  <c r="L2138" i="1" a="1"/>
  <c r="L2138" i="1" s="1"/>
  <c r="K2143" i="1" a="1"/>
  <c r="K2143" i="1" s="1"/>
  <c r="L2140" i="1" a="1"/>
  <c r="L2140" i="1" s="1"/>
  <c r="K2145" i="1" a="1"/>
  <c r="K2145" i="1" s="1"/>
  <c r="K2142" i="1" a="1"/>
  <c r="K2142" i="1" s="1"/>
  <c r="J2145" i="1" a="1"/>
  <c r="J2145" i="1" s="1"/>
  <c r="J2140" i="1" a="1"/>
  <c r="J2140" i="1" s="1"/>
  <c r="K2138" i="1" a="1"/>
  <c r="K2138" i="1" s="1"/>
  <c r="L2141" i="1" a="1"/>
  <c r="L2141" i="1" s="1"/>
  <c r="L2144" i="1" a="1"/>
  <c r="L2144" i="1" s="1"/>
  <c r="L2137" i="1" a="1"/>
  <c r="L2137" i="1" s="1"/>
  <c r="K2144" i="1" a="1"/>
  <c r="K2144" i="1" s="1"/>
  <c r="L2143" i="1" a="1"/>
  <c r="L2143" i="1" s="1"/>
  <c r="K2139" i="1" a="1"/>
  <c r="K2139" i="1" s="1"/>
  <c r="L2136" i="1" a="1"/>
  <c r="L2136" i="1" s="1"/>
  <c r="J2131" i="1" a="1"/>
  <c r="J2131" i="1" s="1"/>
  <c r="J2133" i="1" a="1"/>
  <c r="J2133" i="1" s="1"/>
  <c r="L2131" i="1" a="1"/>
  <c r="L2131" i="1" s="1"/>
  <c r="L2132" i="1" a="1"/>
  <c r="L2132" i="1" s="1"/>
  <c r="K2127" i="1" a="1"/>
  <c r="K2127" i="1" s="1"/>
  <c r="J2129" i="1" a="1"/>
  <c r="J2129" i="1" s="1"/>
  <c r="L2134" i="1" a="1"/>
  <c r="L2134" i="1" s="1"/>
  <c r="K2130" i="1" a="1"/>
  <c r="K2130" i="1" s="1"/>
  <c r="L2130" i="1" a="1"/>
  <c r="L2130" i="1" s="1"/>
  <c r="K2133" i="1" a="1"/>
  <c r="K2133" i="1" s="1"/>
  <c r="K2131" i="1" a="1"/>
  <c r="K2131" i="1" s="1"/>
  <c r="L2129" i="1" a="1"/>
  <c r="L2129" i="1" s="1"/>
  <c r="J2130" i="1" a="1"/>
  <c r="J2130" i="1" s="1"/>
  <c r="J2127" i="1" a="1"/>
  <c r="J2127" i="1" s="1"/>
  <c r="J2128" i="1" a="1"/>
  <c r="J2128" i="1" s="1"/>
  <c r="J2132" i="1" a="1"/>
  <c r="J2132" i="1" s="1"/>
  <c r="J2136" i="1" a="1"/>
  <c r="J2136" i="1" s="1"/>
  <c r="K2132" i="1" a="1"/>
  <c r="K2132" i="1" s="1"/>
  <c r="L2135" i="1" a="1"/>
  <c r="L2135" i="1" s="1"/>
  <c r="K2135" i="1" a="1"/>
  <c r="K2135" i="1" s="1"/>
  <c r="L2128" i="1" a="1"/>
  <c r="L2128" i="1" s="1"/>
  <c r="J2135" i="1" a="1"/>
  <c r="J2135" i="1" s="1"/>
  <c r="J2134" i="1" a="1"/>
  <c r="J2134" i="1" s="1"/>
  <c r="L2133" i="1" a="1"/>
  <c r="L2133" i="1" s="1"/>
  <c r="K2129" i="1" a="1"/>
  <c r="K2129" i="1" s="1"/>
  <c r="K2128" i="1" a="1"/>
  <c r="K2128" i="1" s="1"/>
  <c r="K2134" i="1" a="1"/>
  <c r="K2134" i="1" s="1"/>
  <c r="L2127" i="1" a="1"/>
  <c r="L2127" i="1" s="1"/>
  <c r="J2124" i="1" a="1"/>
  <c r="J2124" i="1" s="1"/>
  <c r="K2122" i="1" a="1"/>
  <c r="K2122" i="1" s="1"/>
  <c r="J2123" i="1" a="1"/>
  <c r="J2123" i="1" s="1"/>
  <c r="L2120" i="1" a="1"/>
  <c r="L2120" i="1" s="1"/>
  <c r="K2119" i="1" a="1"/>
  <c r="K2119" i="1" s="1"/>
  <c r="K2118" i="1" a="1"/>
  <c r="K2118" i="1" s="1"/>
  <c r="L2125" i="1" a="1"/>
  <c r="L2125" i="1" s="1"/>
  <c r="K2124" i="1" a="1"/>
  <c r="K2124" i="1" s="1"/>
  <c r="K2125" i="1" a="1"/>
  <c r="K2125" i="1" s="1"/>
  <c r="J2121" i="1" a="1"/>
  <c r="J2121" i="1" s="1"/>
  <c r="K2120" i="1" a="1"/>
  <c r="K2120" i="1" s="1"/>
  <c r="L2123" i="1" a="1"/>
  <c r="L2123" i="1" s="1"/>
  <c r="K2121" i="1" a="1"/>
  <c r="K2121" i="1" s="1"/>
  <c r="K2123" i="1" a="1"/>
  <c r="K2123" i="1" s="1"/>
  <c r="J2120" i="1" a="1"/>
  <c r="J2120" i="1" s="1"/>
  <c r="L2119" i="1" a="1"/>
  <c r="L2119" i="1" s="1"/>
  <c r="L2118" i="1" a="1"/>
  <c r="L2118" i="1" s="1"/>
  <c r="L2126" i="1" a="1"/>
  <c r="L2126" i="1" s="1"/>
  <c r="K2126" i="1" a="1"/>
  <c r="K2126" i="1" s="1"/>
  <c r="J2126" i="1" a="1"/>
  <c r="J2126" i="1" s="1"/>
  <c r="L2121" i="1" a="1"/>
  <c r="L2121" i="1" s="1"/>
  <c r="J2118" i="1" a="1"/>
  <c r="J2118" i="1" s="1"/>
  <c r="L2122" i="1" a="1"/>
  <c r="L2122" i="1" s="1"/>
  <c r="J2119" i="1" a="1"/>
  <c r="J2119" i="1" s="1"/>
  <c r="J2125" i="1" a="1"/>
  <c r="J2125" i="1" s="1"/>
  <c r="L2124" i="1" a="1"/>
  <c r="L2124" i="1" s="1"/>
  <c r="J2122" i="1" a="1"/>
  <c r="J2122" i="1" s="1"/>
  <c r="L2117" i="1" a="1"/>
  <c r="L2117" i="1" s="1"/>
  <c r="K2117" i="1" a="1"/>
  <c r="K2117" i="1" s="1"/>
  <c r="J2115" i="1" a="1"/>
  <c r="J2115" i="1" s="1"/>
  <c r="K2116" i="1" a="1"/>
  <c r="K2116" i="1" s="1"/>
  <c r="J2116" i="1" a="1"/>
  <c r="J2116" i="1" s="1"/>
  <c r="J2117" i="1" a="1"/>
  <c r="J2117" i="1" s="1"/>
  <c r="L2116" i="1" a="1"/>
  <c r="L2116" i="1" s="1"/>
  <c r="K2115" i="1" a="1"/>
  <c r="K2115" i="1" s="1"/>
  <c r="L2115" i="1" a="1"/>
  <c r="L2115" i="1" s="1"/>
  <c r="L2021" i="1" a="1"/>
  <c r="L2021" i="1" s="1"/>
  <c r="L2020" i="1" a="1"/>
  <c r="L2020" i="1" s="1"/>
  <c r="K2020" i="1" a="1"/>
  <c r="K2020" i="1" s="1"/>
  <c r="K2021" i="1" a="1"/>
  <c r="K2021" i="1" s="1"/>
  <c r="J2021" i="1" a="1"/>
  <c r="J2021" i="1" s="1"/>
  <c r="J2020" i="1" a="1"/>
  <c r="J2020" i="1" s="1"/>
  <c r="L2018" i="1" a="1"/>
  <c r="L2018" i="1" s="1"/>
  <c r="L2019" i="1" s="1" a="1"/>
  <c r="L2019" i="1" s="1"/>
  <c r="L2016" i="1" a="1"/>
  <c r="L2016" i="1" s="1"/>
  <c r="L2017" i="1" s="1" a="1"/>
  <c r="L2017" i="1" s="1"/>
  <c r="J2013" i="1" a="1"/>
  <c r="J2013" i="1" s="1"/>
  <c r="J2014" i="1" s="1" a="1"/>
  <c r="J2014" i="1" s="1"/>
  <c r="K2011" i="1" a="1"/>
  <c r="K2011" i="1" s="1"/>
  <c r="J2018" i="1" a="1"/>
  <c r="J2018" i="1" s="1"/>
  <c r="J2019" i="1" s="1" a="1"/>
  <c r="J2019" i="1" s="1"/>
  <c r="K2016" i="1" a="1"/>
  <c r="K2016" i="1" s="1"/>
  <c r="K2017" i="1" s="1" a="1"/>
  <c r="K2017" i="1" s="1"/>
  <c r="J2016" i="1" a="1"/>
  <c r="J2016" i="1" s="1"/>
  <c r="J2017" i="1" s="1" a="1"/>
  <c r="J2017" i="1" s="1"/>
  <c r="K2013" i="1" a="1"/>
  <c r="K2013" i="1" s="1"/>
  <c r="K2014" i="1" s="1" a="1"/>
  <c r="K2014" i="1" s="1"/>
  <c r="K2015" i="1" a="1"/>
  <c r="K2015" i="1" s="1"/>
  <c r="K2018" i="1" a="1"/>
  <c r="K2018" i="1" s="1"/>
  <c r="K2019" i="1" s="1" a="1"/>
  <c r="K2019" i="1" s="1"/>
  <c r="L2015" i="1" a="1"/>
  <c r="L2015" i="1" s="1"/>
  <c r="J2011" i="1" a="1"/>
  <c r="J2011" i="1" s="1"/>
  <c r="J2015" i="1" a="1"/>
  <c r="J2015" i="1" s="1"/>
  <c r="L2013" i="1" a="1"/>
  <c r="L2013" i="1" s="1"/>
  <c r="L2014" i="1" s="1" a="1"/>
  <c r="L2014" i="1" s="1"/>
  <c r="L2011" i="1" a="1"/>
  <c r="L2011" i="1" s="1"/>
  <c r="L2003" i="1" a="1"/>
  <c r="L2003" i="1" s="1"/>
  <c r="L2004" i="1" s="1" a="1"/>
  <c r="L2004" i="1" s="1"/>
  <c r="L2006" i="1" a="1"/>
  <c r="L2006" i="1" s="1"/>
  <c r="L2007" i="1" s="1" a="1"/>
  <c r="L2007" i="1" s="1"/>
  <c r="L2001" i="1" a="1"/>
  <c r="L2001" i="1" s="1"/>
  <c r="L2005" i="1" a="1"/>
  <c r="L2005" i="1" s="1"/>
  <c r="J2001" i="1" a="1"/>
  <c r="J2001" i="1" s="1"/>
  <c r="K2008" i="1" a="1"/>
  <c r="K2008" i="1" s="1"/>
  <c r="K2009" i="1" s="1" a="1"/>
  <c r="K2009" i="1" s="1"/>
  <c r="J2008" i="1" a="1"/>
  <c r="J2008" i="1" s="1"/>
  <c r="J2009" i="1" s="1" a="1"/>
  <c r="J2009" i="1" s="1"/>
  <c r="J2006" i="1" a="1"/>
  <c r="J2006" i="1" s="1"/>
  <c r="J2007" i="1" s="1" a="1"/>
  <c r="J2007" i="1" s="1"/>
  <c r="J2005" i="1" a="1"/>
  <c r="J2005" i="1" s="1"/>
  <c r="K2001" i="1" a="1"/>
  <c r="K2001" i="1" s="1"/>
  <c r="K2006" i="1" a="1"/>
  <c r="K2006" i="1" s="1"/>
  <c r="K2007" i="1" s="1" a="1"/>
  <c r="K2007" i="1" s="1"/>
  <c r="L2010" i="1" a="1"/>
  <c r="L2010" i="1" s="1"/>
  <c r="K2010" i="1" a="1"/>
  <c r="K2010" i="1" s="1"/>
  <c r="J2003" i="1" a="1"/>
  <c r="J2003" i="1" s="1"/>
  <c r="J2004" i="1" s="1" a="1"/>
  <c r="J2004" i="1" s="1"/>
  <c r="J2010" i="1" a="1"/>
  <c r="J2010" i="1" s="1"/>
  <c r="K2003" i="1" a="1"/>
  <c r="K2003" i="1" s="1"/>
  <c r="K2004" i="1" s="1" a="1"/>
  <c r="K2004" i="1" s="1"/>
  <c r="K2005" i="1" a="1"/>
  <c r="K2005" i="1" s="1"/>
  <c r="L2008" i="1" a="1"/>
  <c r="L2008" i="1" s="1"/>
  <c r="L2009" i="1" s="1" a="1"/>
  <c r="L2009" i="1" s="1"/>
  <c r="L1997" i="1" a="1"/>
  <c r="L1997" i="1" s="1"/>
  <c r="J1995" i="1" a="1"/>
  <c r="J1995" i="1" s="1"/>
  <c r="L2000" i="1" a="1"/>
  <c r="L2000" i="1" s="1"/>
  <c r="K1993" i="1" a="1"/>
  <c r="K1993" i="1" s="1"/>
  <c r="J1993" i="1" a="1"/>
  <c r="J1993" i="1" s="1"/>
  <c r="K1992" i="1" a="1"/>
  <c r="K1992" i="1" s="1"/>
  <c r="J1997" i="1" a="1"/>
  <c r="J1997" i="1" s="1"/>
  <c r="L1993" i="1" a="1"/>
  <c r="L1993" i="1" s="1"/>
  <c r="J1998" i="1" a="1"/>
  <c r="J1998" i="1" s="1"/>
  <c r="L1999" i="1" a="1"/>
  <c r="L1999" i="1" s="1"/>
  <c r="J1992" i="1" a="1"/>
  <c r="J1992" i="1" s="1"/>
  <c r="K1998" i="1" a="1"/>
  <c r="K1998" i="1" s="1"/>
  <c r="J1994" i="1" a="1"/>
  <c r="J1994" i="1" s="1"/>
  <c r="J1999" i="1" a="1"/>
  <c r="J1999" i="1" s="1"/>
  <c r="L1996" i="1" a="1"/>
  <c r="L1996" i="1" s="1"/>
  <c r="K1996" i="1" a="1"/>
  <c r="K1996" i="1" s="1"/>
  <c r="K1994" i="1" a="1"/>
  <c r="K1994" i="1" s="1"/>
  <c r="J2000" i="1" a="1"/>
  <c r="J2000" i="1" s="1"/>
  <c r="J1996" i="1" a="1"/>
  <c r="J1996" i="1" s="1"/>
  <c r="K1997" i="1" a="1"/>
  <c r="K1997" i="1" s="1"/>
  <c r="L1995" i="1" a="1"/>
  <c r="L1995" i="1" s="1"/>
  <c r="K2000" i="1" a="1"/>
  <c r="K2000" i="1" s="1"/>
  <c r="K1995" i="1" a="1"/>
  <c r="K1995" i="1" s="1"/>
  <c r="L1998" i="1" a="1"/>
  <c r="L1998" i="1" s="1"/>
  <c r="L1994" i="1" a="1"/>
  <c r="L1994" i="1" s="1"/>
  <c r="K1999" i="1" a="1"/>
  <c r="K1999" i="1" s="1"/>
  <c r="L1992" i="1" a="1"/>
  <c r="L1992" i="1" s="1"/>
  <c r="L1988" i="1" a="1"/>
  <c r="L1988" i="1" s="1"/>
  <c r="L1987" i="1" a="1"/>
  <c r="L1987" i="1" s="1"/>
  <c r="K1983" i="1" a="1"/>
  <c r="K1983" i="1" s="1"/>
  <c r="J1988" i="1" a="1"/>
  <c r="J1988" i="1" s="1"/>
  <c r="J1986" i="1" a="1"/>
  <c r="J1986" i="1" s="1"/>
  <c r="K1985" i="1" a="1"/>
  <c r="K1985" i="1" s="1"/>
  <c r="L1984" i="1" a="1"/>
  <c r="L1984" i="1" s="1"/>
  <c r="K1988" i="1" a="1"/>
  <c r="K1988" i="1" s="1"/>
  <c r="K1986" i="1" a="1"/>
  <c r="K1986" i="1" s="1"/>
  <c r="K1987" i="1" a="1"/>
  <c r="K1987" i="1" s="1"/>
  <c r="L1985" i="1" a="1"/>
  <c r="L1985" i="1" s="1"/>
  <c r="J1987" i="1" a="1"/>
  <c r="J1987" i="1" s="1"/>
  <c r="L1986" i="1" a="1"/>
  <c r="L1986" i="1" s="1"/>
  <c r="J1985" i="1" a="1"/>
  <c r="J1985" i="1" s="1"/>
  <c r="K1984" i="1" a="1"/>
  <c r="K1984" i="1" s="1"/>
  <c r="J1984" i="1" a="1"/>
  <c r="J1984" i="1" s="1"/>
  <c r="L1991" i="1" a="1"/>
  <c r="L1991" i="1" s="1"/>
  <c r="K1991" i="1" a="1"/>
  <c r="K1991" i="1" s="1"/>
  <c r="J1991" i="1" a="1"/>
  <c r="J1991" i="1" s="1"/>
  <c r="K1989" i="1" a="1"/>
  <c r="K1989" i="1" s="1"/>
  <c r="L1990" i="1" a="1"/>
  <c r="L1990" i="1" s="1"/>
  <c r="K1990" i="1" a="1"/>
  <c r="K1990" i="1" s="1"/>
  <c r="J1990" i="1" a="1"/>
  <c r="J1990" i="1" s="1"/>
  <c r="L1983" i="1" a="1"/>
  <c r="L1983" i="1" s="1"/>
  <c r="J1983" i="1" a="1"/>
  <c r="J1983" i="1" s="1"/>
  <c r="L1989" i="1" a="1"/>
  <c r="L1989" i="1" s="1"/>
  <c r="J1989" i="1" a="1"/>
  <c r="J1989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1902" i="1" a="1"/>
  <c r="K1902" i="1" s="1"/>
  <c r="J1902" i="1" a="1"/>
  <c r="J1902" i="1" s="1"/>
  <c r="L1902" i="1" a="1"/>
  <c r="L1902" i="1" s="1"/>
  <c r="L1900" i="1" a="1"/>
  <c r="L1900" i="1" s="1"/>
  <c r="L1896" i="1" a="1"/>
  <c r="L1896" i="1" s="1"/>
  <c r="J1893" i="1" a="1"/>
  <c r="J1893" i="1" s="1"/>
  <c r="L1892" i="1" a="1"/>
  <c r="L1892" i="1" s="1"/>
  <c r="L1890" i="1" a="1"/>
  <c r="L1890" i="1" s="1"/>
  <c r="L1894" i="1" a="1"/>
  <c r="L1894" i="1" s="1"/>
  <c r="K1900" i="1" a="1"/>
  <c r="K1900" i="1" s="1"/>
  <c r="J1900" i="1" a="1"/>
  <c r="J1900" i="1" s="1"/>
  <c r="K1892" i="1" a="1"/>
  <c r="K1892" i="1" s="1"/>
  <c r="J1890" i="1" a="1"/>
  <c r="J1890" i="1" s="1"/>
  <c r="K1890" i="1" a="1"/>
  <c r="K1890" i="1" s="1"/>
  <c r="K1896" i="1" a="1"/>
  <c r="K1896" i="1" s="1"/>
  <c r="J1894" i="1" a="1"/>
  <c r="J1894" i="1" s="1"/>
  <c r="K1894" i="1" a="1"/>
  <c r="K1894" i="1" s="1"/>
  <c r="J1898" i="1" a="1"/>
  <c r="J1898" i="1" s="1"/>
  <c r="J1896" i="1" a="1"/>
  <c r="J1896" i="1" s="1"/>
  <c r="J1892" i="1" a="1"/>
  <c r="J1892" i="1" s="1"/>
  <c r="L1898" i="1" a="1"/>
  <c r="L1898" i="1" s="1"/>
  <c r="K1898" i="1" a="1"/>
  <c r="K1898" i="1" s="1"/>
  <c r="L1893" i="1" a="1"/>
  <c r="L1893" i="1" s="1"/>
  <c r="K1893" i="1" a="1"/>
  <c r="K1893" i="1" s="1"/>
  <c r="K1880" i="1" a="1"/>
  <c r="K1880" i="1" s="1"/>
  <c r="K1882" i="1" a="1"/>
  <c r="K1882" i="1" s="1"/>
  <c r="J1878" i="1" a="1"/>
  <c r="J1878" i="1" s="1"/>
  <c r="K1878" i="1" a="1"/>
  <c r="K1878" i="1" s="1"/>
  <c r="L1887" i="1" a="1"/>
  <c r="L1887" i="1" s="1"/>
  <c r="J1882" i="1" a="1"/>
  <c r="J1882" i="1" s="1"/>
  <c r="L1878" i="1" a="1"/>
  <c r="L1878" i="1" s="1"/>
  <c r="K1887" i="1" a="1"/>
  <c r="K1887" i="1" s="1"/>
  <c r="L1884" i="1" a="1"/>
  <c r="L1884" i="1" s="1"/>
  <c r="J1887" i="1" a="1"/>
  <c r="J1887" i="1" s="1"/>
  <c r="K1884" i="1" a="1"/>
  <c r="K1884" i="1" s="1"/>
  <c r="L1888" i="1" a="1"/>
  <c r="L1888" i="1" s="1"/>
  <c r="K1888" i="1" a="1"/>
  <c r="K1888" i="1" s="1"/>
  <c r="J1888" i="1" a="1"/>
  <c r="J1888" i="1" s="1"/>
  <c r="J1876" i="1" a="1"/>
  <c r="J1876" i="1" s="1"/>
  <c r="L1880" i="1" a="1"/>
  <c r="L1880" i="1" s="1"/>
  <c r="J1884" i="1" a="1"/>
  <c r="J1884" i="1" s="1"/>
  <c r="L1882" i="1" a="1"/>
  <c r="L1882" i="1" s="1"/>
  <c r="L1876" i="1" a="1"/>
  <c r="L1876" i="1" s="1"/>
  <c r="K1876" i="1" a="1"/>
  <c r="K1876" i="1" s="1"/>
  <c r="J1880" i="1" a="1"/>
  <c r="J1880" i="1" s="1"/>
  <c r="J1865" i="1" a="1"/>
  <c r="J1865" i="1" s="1"/>
  <c r="L1870" i="1" a="1"/>
  <c r="L1870" i="1" s="1"/>
  <c r="K1870" i="1" a="1"/>
  <c r="K1870" i="1" s="1"/>
  <c r="L1868" i="1" a="1"/>
  <c r="L1868" i="1" s="1"/>
  <c r="K1868" i="1" a="1"/>
  <c r="K1868" i="1" s="1"/>
  <c r="J1864" i="1" a="1"/>
  <c r="J1864" i="1" s="1"/>
  <c r="K1867" i="1" a="1"/>
  <c r="K1867" i="1" s="1"/>
  <c r="L1867" i="1" a="1"/>
  <c r="L1867" i="1" s="1"/>
  <c r="J1867" i="1" a="1"/>
  <c r="J1867" i="1" s="1"/>
  <c r="L1864" i="1" a="1"/>
  <c r="L1864" i="1" s="1"/>
  <c r="K1864" i="1" a="1"/>
  <c r="K1864" i="1" s="1"/>
  <c r="J1868" i="1" a="1"/>
  <c r="J1868" i="1" s="1"/>
  <c r="J1872" i="1" a="1"/>
  <c r="J1872" i="1" s="1"/>
  <c r="L1865" i="1" a="1"/>
  <c r="L1865" i="1" s="1"/>
  <c r="L1874" i="1" a="1"/>
  <c r="L1874" i="1" s="1"/>
  <c r="K1874" i="1" a="1"/>
  <c r="K1874" i="1" s="1"/>
  <c r="J1874" i="1" a="1"/>
  <c r="J1874" i="1" s="1"/>
  <c r="J1870" i="1" a="1"/>
  <c r="J1870" i="1" s="1"/>
  <c r="L1872" i="1" a="1"/>
  <c r="L1872" i="1" s="1"/>
  <c r="L1871" i="1" a="1"/>
  <c r="L1871" i="1" s="1"/>
  <c r="K1872" i="1" a="1"/>
  <c r="K1872" i="1" s="1"/>
  <c r="K1871" i="1" a="1"/>
  <c r="K1871" i="1" s="1"/>
  <c r="K1865" i="1" a="1"/>
  <c r="K1865" i="1" s="1"/>
  <c r="J1871" i="1" a="1"/>
  <c r="J1871" i="1" s="1"/>
  <c r="J1855" i="1" a="1"/>
  <c r="J1855" i="1" s="1"/>
  <c r="L1857" i="1" a="1"/>
  <c r="L1857" i="1" s="1"/>
  <c r="J1861" i="1" a="1"/>
  <c r="J1861" i="1" s="1"/>
  <c r="J1857" i="1" a="1"/>
  <c r="J1857" i="1" s="1"/>
  <c r="L1861" i="1" a="1"/>
  <c r="L1861" i="1" s="1"/>
  <c r="K1861" i="1" a="1"/>
  <c r="K1861" i="1" s="1"/>
  <c r="K1857" i="1" a="1"/>
  <c r="K1857" i="1" s="1"/>
  <c r="J1859" i="1" a="1"/>
  <c r="J1859" i="1" s="1"/>
  <c r="K1855" i="1" a="1"/>
  <c r="K1855" i="1" s="1"/>
  <c r="L1859" i="1" a="1"/>
  <c r="L1859" i="1" s="1"/>
  <c r="K1859" i="1" a="1"/>
  <c r="K1859" i="1" s="1"/>
  <c r="L1855" i="1" a="1"/>
  <c r="L1855" i="1" s="1"/>
  <c r="L1853" i="1" a="1"/>
  <c r="L1853" i="1" s="1"/>
  <c r="J1846" i="1" a="1"/>
  <c r="J1846" i="1" s="1"/>
  <c r="L1850" i="1" a="1"/>
  <c r="L1850" i="1" s="1"/>
  <c r="K1850" i="1" a="1"/>
  <c r="K1850" i="1" s="1"/>
  <c r="J1850" i="1" a="1"/>
  <c r="J1850" i="1" s="1"/>
  <c r="L1851" i="1" a="1"/>
  <c r="L1851" i="1" s="1"/>
  <c r="K1851" i="1" a="1"/>
  <c r="K1851" i="1" s="1"/>
  <c r="K1848" i="1" a="1"/>
  <c r="K1848" i="1" s="1"/>
  <c r="J1848" i="1" a="1"/>
  <c r="J1848" i="1" s="1"/>
  <c r="J1851" i="1" a="1"/>
  <c r="J1851" i="1" s="1"/>
  <c r="K1845" i="1" a="1"/>
  <c r="K1845" i="1" s="1"/>
  <c r="K1846" i="1" a="1"/>
  <c r="K1846" i="1" s="1"/>
  <c r="L1846" i="1" a="1"/>
  <c r="L1846" i="1" s="1"/>
  <c r="J1845" i="1" a="1"/>
  <c r="J1845" i="1" s="1"/>
  <c r="K1853" i="1" a="1"/>
  <c r="K1853" i="1" s="1"/>
  <c r="J1853" i="1" a="1"/>
  <c r="J1853" i="1" s="1"/>
  <c r="L1848" i="1" a="1"/>
  <c r="L1848" i="1" s="1"/>
  <c r="L1845" i="1" a="1"/>
  <c r="L1845" i="1" s="1"/>
  <c r="L1838" i="1" a="1"/>
  <c r="L1838" i="1" s="1"/>
  <c r="L1842" i="1" a="1"/>
  <c r="L1842" i="1" s="1"/>
  <c r="K1832" i="1" a="1"/>
  <c r="K1832" i="1" s="1"/>
  <c r="L1834" i="1" a="1"/>
  <c r="L1834" i="1" s="1"/>
  <c r="K1834" i="1" a="1"/>
  <c r="K1834" i="1" s="1"/>
  <c r="L1840" i="1" a="1"/>
  <c r="L1840" i="1" s="1"/>
  <c r="J1836" i="1" a="1"/>
  <c r="J1836" i="1" s="1"/>
  <c r="K1836" i="1" a="1"/>
  <c r="K1836" i="1" s="1"/>
  <c r="K1842" i="1" a="1"/>
  <c r="K1842" i="1" s="1"/>
  <c r="J1840" i="1" a="1"/>
  <c r="J1840" i="1" s="1"/>
  <c r="J1838" i="1" a="1"/>
  <c r="J1838" i="1" s="1"/>
  <c r="J1834" i="1" a="1"/>
  <c r="J1834" i="1" s="1"/>
  <c r="L1836" i="1" a="1"/>
  <c r="L1836" i="1" s="1"/>
  <c r="K1838" i="1" a="1"/>
  <c r="K1838" i="1" s="1"/>
  <c r="L1832" i="1" a="1"/>
  <c r="L1832" i="1" s="1"/>
  <c r="J1842" i="1" a="1"/>
  <c r="J1842" i="1" s="1"/>
  <c r="K1840" i="1" a="1"/>
  <c r="K1840" i="1" s="1"/>
  <c r="J1826" i="1" a="1"/>
  <c r="J1826" i="1" s="1"/>
  <c r="L1829" i="1" a="1"/>
  <c r="L1829" i="1" s="1"/>
  <c r="K1829" i="1" a="1"/>
  <c r="K1829" i="1" s="1"/>
  <c r="J1829" i="1" a="1"/>
  <c r="J1829" i="1" s="1"/>
  <c r="K1827" i="1" a="1"/>
  <c r="K1827" i="1" s="1"/>
  <c r="J1827" i="1" a="1"/>
  <c r="J1827" i="1" s="1"/>
  <c r="L1826" i="1" a="1"/>
  <c r="L1826" i="1" s="1"/>
  <c r="K1826" i="1" a="1"/>
  <c r="K1826" i="1" s="1"/>
  <c r="L1827" i="1" a="1"/>
  <c r="L1827" i="1" s="1"/>
  <c r="J1832" i="1" a="1"/>
  <c r="J1832" i="1" s="1"/>
  <c r="L1831" i="1" a="1"/>
  <c r="L1831" i="1" s="1"/>
  <c r="K1831" i="1" a="1"/>
  <c r="K1831" i="1" s="1"/>
  <c r="J1831" i="1" a="1"/>
  <c r="J1831" i="1" s="1"/>
  <c r="L1029" i="1" a="1"/>
  <c r="L1029" i="1" s="1"/>
  <c r="J1032" i="1" a="1"/>
  <c r="J1032" i="1" s="1"/>
  <c r="K1041" i="1" a="1"/>
  <c r="K1041" i="1" s="1"/>
  <c r="L1041" i="1" a="1"/>
  <c r="L1041" i="1" s="1"/>
  <c r="L1039" i="1" a="1"/>
  <c r="L1039" i="1" s="1"/>
  <c r="K1039" i="1" a="1"/>
  <c r="K1039" i="1" s="1"/>
  <c r="K1032" i="1" a="1"/>
  <c r="K1032" i="1" s="1"/>
  <c r="L1032" i="1" a="1"/>
  <c r="L1032" i="1" s="1"/>
  <c r="K1029" i="1" a="1"/>
  <c r="K1029" i="1" s="1"/>
  <c r="J1039" i="1" a="1"/>
  <c r="J1039" i="1" s="1"/>
  <c r="J1029" i="1" a="1"/>
  <c r="J1029" i="1" s="1"/>
  <c r="J1041" i="1" a="1"/>
  <c r="J1041" i="1" s="1"/>
  <c r="J1027" i="1" a="1"/>
  <c r="J1027" i="1" s="1"/>
  <c r="L1024" i="1" a="1"/>
  <c r="L1024" i="1" s="1"/>
  <c r="L1027" i="1" a="1"/>
  <c r="L1027" i="1" s="1"/>
  <c r="K1027" i="1" a="1"/>
  <c r="K1027" i="1" s="1"/>
  <c r="K1008" i="1" a="1"/>
  <c r="K1008" i="1" s="1"/>
  <c r="K1054" i="1" s="1" a="1"/>
  <c r="K1054" i="1" s="1"/>
  <c r="K1024" i="1" a="1"/>
  <c r="K1024" i="1" s="1"/>
  <c r="J1024" i="1" a="1"/>
  <c r="J1024" i="1" s="1"/>
  <c r="L1008" i="1" a="1"/>
  <c r="L1008" i="1" s="1"/>
  <c r="L1054" i="1" s="1" a="1"/>
  <c r="L1054" i="1" s="1"/>
  <c r="J1008" i="1" a="1"/>
  <c r="J1008" i="1" s="1"/>
  <c r="J1054" i="1" s="1" a="1"/>
  <c r="J1054" i="1" s="1"/>
  <c r="K979" i="1" a="1"/>
  <c r="K979" i="1" s="1"/>
  <c r="K1053" i="1" s="1" a="1"/>
  <c r="K1053" i="1" s="1"/>
  <c r="K991" i="1" a="1"/>
  <c r="K991" i="1" s="1"/>
  <c r="L979" i="1" a="1"/>
  <c r="L979" i="1" s="1"/>
  <c r="L1053" i="1" s="1" a="1"/>
  <c r="L1053" i="1" s="1"/>
  <c r="J985" i="1" a="1"/>
  <c r="J985" i="1" s="1"/>
  <c r="L998" i="1" a="1"/>
  <c r="L998" i="1" s="1"/>
  <c r="J979" i="1" a="1"/>
  <c r="J979" i="1" s="1"/>
  <c r="J1053" i="1" s="1" a="1"/>
  <c r="J1053" i="1" s="1"/>
  <c r="J998" i="1" a="1"/>
  <c r="J998" i="1" s="1"/>
  <c r="L985" i="1" a="1"/>
  <c r="L985" i="1" s="1"/>
  <c r="K998" i="1" a="1"/>
  <c r="K998" i="1" s="1"/>
  <c r="K999" i="1" a="1"/>
  <c r="K999" i="1" s="1"/>
  <c r="K1051" i="1" s="1" a="1"/>
  <c r="K1051" i="1" s="1"/>
  <c r="L999" i="1" a="1"/>
  <c r="L999" i="1" s="1"/>
  <c r="L1051" i="1" s="1" a="1"/>
  <c r="L1051" i="1" s="1"/>
  <c r="L991" i="1" a="1"/>
  <c r="L991" i="1" s="1"/>
  <c r="J999" i="1" a="1"/>
  <c r="J999" i="1" s="1"/>
  <c r="J1051" i="1" s="1" a="1"/>
  <c r="J1051" i="1" s="1"/>
  <c r="K985" i="1" a="1"/>
  <c r="K985" i="1" s="1"/>
  <c r="J991" i="1" a="1"/>
  <c r="J991" i="1" s="1"/>
  <c r="L978" i="1" a="1"/>
  <c r="L978" i="1" s="1"/>
  <c r="K978" i="1" a="1"/>
  <c r="K978" i="1" s="1"/>
  <c r="J978" i="1" a="1"/>
  <c r="J978" i="1" s="1"/>
  <c r="J976" i="1" a="1"/>
  <c r="J976" i="1" s="1"/>
  <c r="L975" i="1" a="1"/>
  <c r="L975" i="1" s="1"/>
  <c r="J975" i="1" a="1"/>
  <c r="J975" i="1" s="1"/>
  <c r="K976" i="1" a="1"/>
  <c r="K976" i="1" s="1"/>
  <c r="K975" i="1" a="1"/>
  <c r="K975" i="1" s="1"/>
  <c r="L976" i="1" a="1"/>
  <c r="L976" i="1" s="1"/>
  <c r="J928" i="1" a="1"/>
  <c r="J928" i="1" s="1"/>
  <c r="K916" i="1" a="1"/>
  <c r="K916" i="1" s="1"/>
  <c r="K914" i="1" a="1"/>
  <c r="K914" i="1" s="1"/>
  <c r="J916" i="1" a="1"/>
  <c r="J916" i="1" s="1"/>
  <c r="L916" i="1" a="1"/>
  <c r="L916" i="1" s="1"/>
  <c r="J914" i="1" a="1"/>
  <c r="J914" i="1" s="1"/>
  <c r="L928" i="1" a="1"/>
  <c r="L928" i="1" s="1"/>
  <c r="L914" i="1" a="1"/>
  <c r="L914" i="1" s="1"/>
  <c r="K928" i="1" a="1"/>
  <c r="K928" i="1" s="1"/>
  <c r="L896" i="1" a="1"/>
  <c r="L896" i="1" s="1"/>
  <c r="L903" i="1" s="1"/>
  <c r="L885" i="1" a="1"/>
  <c r="L885" i="1" s="1"/>
  <c r="K885" i="1" a="1"/>
  <c r="K885" i="1" s="1"/>
  <c r="J885" i="1" a="1"/>
  <c r="J885" i="1" s="1"/>
  <c r="J884" i="1" a="1"/>
  <c r="J884" i="1" s="1"/>
  <c r="K884" i="1" a="1"/>
  <c r="K884" i="1" s="1"/>
  <c r="L884" i="1" a="1"/>
  <c r="L884" i="1" s="1"/>
  <c r="K896" i="1" a="1"/>
  <c r="K896" i="1" s="1"/>
  <c r="K899" i="1" s="1"/>
  <c r="J896" i="1" a="1"/>
  <c r="J896" i="1" s="1"/>
  <c r="J903" i="1" s="1"/>
  <c r="J806" i="1" a="1"/>
  <c r="J806" i="1" s="1"/>
  <c r="L804" i="1" a="1"/>
  <c r="L804" i="1" s="1"/>
  <c r="J804" i="1" a="1"/>
  <c r="J804" i="1" s="1"/>
  <c r="L806" i="1" a="1"/>
  <c r="L806" i="1" s="1"/>
  <c r="L802" i="1" a="1"/>
  <c r="L802" i="1" s="1"/>
  <c r="K806" i="1" a="1"/>
  <c r="K806" i="1" s="1"/>
  <c r="K804" i="1" a="1"/>
  <c r="K804" i="1" s="1"/>
  <c r="K802" i="1" a="1"/>
  <c r="K802" i="1" s="1"/>
  <c r="J802" i="1" a="1"/>
  <c r="J802" i="1" s="1"/>
  <c r="K780" i="1" a="1"/>
  <c r="K780" i="1" s="1"/>
  <c r="K779" i="1" s="1"/>
  <c r="L780" i="1" a="1"/>
  <c r="L780" i="1" s="1"/>
  <c r="J780" i="1" a="1"/>
  <c r="J780" i="1" s="1"/>
  <c r="J779" i="1" s="1"/>
  <c r="J783" i="1" s="1"/>
  <c r="L766" i="1" a="1"/>
  <c r="L766" i="1" s="1"/>
  <c r="L816" i="1" s="1" a="1"/>
  <c r="L816" i="1" s="1"/>
  <c r="J766" i="1" a="1"/>
  <c r="J766" i="1" s="1"/>
  <c r="J816" i="1" s="1" a="1"/>
  <c r="J816" i="1" s="1"/>
  <c r="K766" i="1" a="1"/>
  <c r="K766" i="1" s="1"/>
  <c r="K816" i="1" s="1" a="1"/>
  <c r="K816" i="1" s="1"/>
  <c r="K2310" i="1" a="1"/>
  <c r="K2310" i="1" s="1"/>
  <c r="L2310" i="1" a="1"/>
  <c r="L2310" i="1" s="1"/>
  <c r="K2312" i="1" a="1"/>
  <c r="K2312" i="1" s="1"/>
  <c r="L2312" i="1" a="1"/>
  <c r="L2312" i="1" s="1"/>
  <c r="J2312" i="1" a="1"/>
  <c r="J2312" i="1" s="1"/>
  <c r="K2304" i="1" a="1"/>
  <c r="K2304" i="1" s="1"/>
  <c r="L2303" i="1" a="1"/>
  <c r="L2303" i="1" s="1"/>
  <c r="J2306" i="1" a="1"/>
  <c r="J2306" i="1" s="1"/>
  <c r="J2303" i="1" a="1"/>
  <c r="J2303" i="1" s="1"/>
  <c r="L2302" i="1" a="1"/>
  <c r="L2302" i="1" s="1"/>
  <c r="K2302" i="1" a="1"/>
  <c r="K2302" i="1" s="1"/>
  <c r="J2302" i="1" a="1"/>
  <c r="J2302" i="1" s="1"/>
  <c r="J2310" i="1" a="1"/>
  <c r="J2310" i="1" s="1"/>
  <c r="K2306" i="1" a="1"/>
  <c r="K2306" i="1" s="1"/>
  <c r="L2304" i="1" a="1"/>
  <c r="L2304" i="1" s="1"/>
  <c r="K2303" i="1" a="1"/>
  <c r="K2303" i="1" s="1"/>
  <c r="J2308" i="1" a="1"/>
  <c r="J2308" i="1" s="1"/>
  <c r="L2308" i="1" a="1"/>
  <c r="L2308" i="1" s="1"/>
  <c r="J2304" i="1" a="1"/>
  <c r="J2304" i="1" s="1"/>
  <c r="K2308" i="1" a="1"/>
  <c r="K2308" i="1" s="1"/>
  <c r="L2306" i="1" a="1"/>
  <c r="L2306" i="1" s="1"/>
  <c r="J2294" i="1" a="1"/>
  <c r="J2294" i="1" s="1"/>
  <c r="K2300" i="1" a="1"/>
  <c r="K2300" i="1" s="1"/>
  <c r="K2297" i="1" a="1"/>
  <c r="K2297" i="1" s="1"/>
  <c r="J2298" i="1" a="1"/>
  <c r="J2298" i="1" s="1"/>
  <c r="L2298" i="1" a="1"/>
  <c r="L2298" i="1" s="1"/>
  <c r="L2292" i="1" a="1"/>
  <c r="L2292" i="1" s="1"/>
  <c r="K2292" i="1" a="1"/>
  <c r="K2292" i="1" s="1"/>
  <c r="K2294" i="1" a="1"/>
  <c r="K2294" i="1" s="1"/>
  <c r="J2292" i="1" a="1"/>
  <c r="J2292" i="1" s="1"/>
  <c r="J2300" i="1" a="1"/>
  <c r="J2300" i="1" s="1"/>
  <c r="L2294" i="1" a="1"/>
  <c r="L2294" i="1" s="1"/>
  <c r="J2297" i="1" a="1"/>
  <c r="J2297" i="1" s="1"/>
  <c r="L2300" i="1" a="1"/>
  <c r="L2300" i="1" s="1"/>
  <c r="K2298" i="1" a="1"/>
  <c r="K2298" i="1" s="1"/>
  <c r="L2297" i="1" a="1"/>
  <c r="L2297" i="1" s="1"/>
  <c r="J2284" i="1" a="1"/>
  <c r="J2284" i="1" s="1"/>
  <c r="K2277" i="1" a="1"/>
  <c r="K2277" i="1" s="1"/>
  <c r="L2282" i="1" a="1"/>
  <c r="L2282" i="1" s="1"/>
  <c r="K2280" i="1" a="1"/>
  <c r="K2280" i="1" s="1"/>
  <c r="L2277" i="1" a="1"/>
  <c r="L2277" i="1" s="1"/>
  <c r="L2284" i="1" a="1"/>
  <c r="L2284" i="1" s="1"/>
  <c r="K2288" i="1" a="1"/>
  <c r="K2288" i="1" s="1"/>
  <c r="L2280" i="1" a="1"/>
  <c r="L2280" i="1" s="1"/>
  <c r="L2290" i="1" a="1"/>
  <c r="L2290" i="1" s="1"/>
  <c r="K2290" i="1" a="1"/>
  <c r="K2290" i="1" s="1"/>
  <c r="J2281" i="1" a="1"/>
  <c r="J2281" i="1" s="1"/>
  <c r="J2278" i="1" a="1"/>
  <c r="J2278" i="1" s="1"/>
  <c r="K2281" i="1" a="1"/>
  <c r="K2281" i="1" s="1"/>
  <c r="J2282" i="1" a="1"/>
  <c r="J2282" i="1" s="1"/>
  <c r="J2290" i="1" a="1"/>
  <c r="J2290" i="1" s="1"/>
  <c r="J2288" i="1" a="1"/>
  <c r="J2288" i="1" s="1"/>
  <c r="L2278" i="1" a="1"/>
  <c r="L2278" i="1" s="1"/>
  <c r="L2281" i="1" a="1"/>
  <c r="L2281" i="1" s="1"/>
  <c r="K2282" i="1" a="1"/>
  <c r="K2282" i="1" s="1"/>
  <c r="K2286" i="1" a="1"/>
  <c r="K2286" i="1" s="1"/>
  <c r="L2288" i="1" a="1"/>
  <c r="L2288" i="1" s="1"/>
  <c r="L2286" i="1" a="1"/>
  <c r="L2286" i="1" s="1"/>
  <c r="J2286" i="1" a="1"/>
  <c r="J2286" i="1" s="1"/>
  <c r="K2278" i="1" a="1"/>
  <c r="K2278" i="1" s="1"/>
  <c r="J2280" i="1" a="1"/>
  <c r="J2280" i="1" s="1"/>
  <c r="K2284" i="1" a="1"/>
  <c r="K2284" i="1" s="1"/>
  <c r="K2265" i="1" a="1"/>
  <c r="K2265" i="1" s="1"/>
  <c r="L2269" i="1" a="1"/>
  <c r="L2269" i="1" s="1"/>
  <c r="K2269" i="1" a="1"/>
  <c r="K2269" i="1" s="1"/>
  <c r="J2267" i="1" a="1"/>
  <c r="J2267" i="1" s="1"/>
  <c r="K2267" i="1" a="1"/>
  <c r="K2267" i="1" s="1"/>
  <c r="K2274" i="1" a="1"/>
  <c r="K2274" i="1" s="1"/>
  <c r="J2277" i="1" a="1"/>
  <c r="J2277" i="1" s="1"/>
  <c r="L2275" i="1" a="1"/>
  <c r="L2275" i="1" s="1"/>
  <c r="K2275" i="1" a="1"/>
  <c r="K2275" i="1" s="1"/>
  <c r="J2275" i="1" a="1"/>
  <c r="J2275" i="1" s="1"/>
  <c r="J2269" i="1" a="1"/>
  <c r="J2269" i="1" s="1"/>
  <c r="J2274" i="1" a="1"/>
  <c r="J2274" i="1" s="1"/>
  <c r="L2265" i="1" a="1"/>
  <c r="L2265" i="1" s="1"/>
  <c r="L2274" i="1" a="1"/>
  <c r="L2274" i="1" s="1"/>
  <c r="L2271" i="1" a="1"/>
  <c r="L2271" i="1" s="1"/>
  <c r="K2271" i="1" a="1"/>
  <c r="K2271" i="1" s="1"/>
  <c r="J2271" i="1" a="1"/>
  <c r="J2271" i="1" s="1"/>
  <c r="L2267" i="1" a="1"/>
  <c r="L2267" i="1" s="1"/>
  <c r="J2265" i="1" a="1"/>
  <c r="J2265" i="1" s="1"/>
  <c r="L2263" i="1" a="1"/>
  <c r="L2263" i="1" s="1"/>
  <c r="J2263" i="1" a="1"/>
  <c r="J2263" i="1" s="1"/>
  <c r="L2261" i="1" a="1"/>
  <c r="L2261" i="1" s="1"/>
  <c r="L2260" i="1" a="1"/>
  <c r="L2260" i="1" s="1"/>
  <c r="K2260" i="1" a="1"/>
  <c r="K2260" i="1" s="1"/>
  <c r="J2260" i="1" a="1"/>
  <c r="J2260" i="1" s="1"/>
  <c r="J2258" i="1" a="1"/>
  <c r="J2258" i="1" s="1"/>
  <c r="K2261" i="1" a="1"/>
  <c r="K2261" i="1" s="1"/>
  <c r="K2263" i="1" a="1"/>
  <c r="K2263" i="1" s="1"/>
  <c r="J2261" i="1" a="1"/>
  <c r="J2261" i="1" s="1"/>
  <c r="K2258" i="1" a="1"/>
  <c r="K2258" i="1" s="1"/>
  <c r="L2258" i="1" a="1"/>
  <c r="L2258" i="1" s="1"/>
  <c r="L2256" i="1" a="1"/>
  <c r="L2256" i="1" s="1"/>
  <c r="K2256" i="1" a="1"/>
  <c r="K2256" i="1" s="1"/>
  <c r="J2256" i="1" a="1"/>
  <c r="J2256" i="1" s="1"/>
  <c r="L2255" i="1" a="1"/>
  <c r="L2255" i="1" s="1"/>
  <c r="K2255" i="1" a="1"/>
  <c r="K2255" i="1" s="1"/>
  <c r="J2255" i="1" a="1"/>
  <c r="J2255" i="1" s="1"/>
  <c r="L2241" i="1" a="1"/>
  <c r="L2241" i="1" s="1"/>
  <c r="K2246" i="1" a="1"/>
  <c r="K2246" i="1" s="1"/>
  <c r="K2252" i="1" a="1"/>
  <c r="K2252" i="1" s="1"/>
  <c r="J2252" i="1" a="1"/>
  <c r="J2252" i="1" s="1"/>
  <c r="J2242" i="1" a="1"/>
  <c r="J2242" i="1" s="1"/>
  <c r="L2242" i="1" a="1"/>
  <c r="L2242" i="1" s="1"/>
  <c r="L2250" i="1" a="1"/>
  <c r="L2250" i="1" s="1"/>
  <c r="J2246" i="1" a="1"/>
  <c r="J2246" i="1" s="1"/>
  <c r="K2242" i="1" a="1"/>
  <c r="K2242" i="1" s="1"/>
  <c r="J2244" i="1" a="1"/>
  <c r="J2244" i="1" s="1"/>
  <c r="K2244" i="1" a="1"/>
  <c r="K2244" i="1" s="1"/>
  <c r="J2250" i="1" a="1"/>
  <c r="J2250" i="1" s="1"/>
  <c r="L2244" i="1" a="1"/>
  <c r="L2244" i="1" s="1"/>
  <c r="K2250" i="1" a="1"/>
  <c r="K2250" i="1" s="1"/>
  <c r="L2246" i="1" a="1"/>
  <c r="L2246" i="1" s="1"/>
  <c r="L2252" i="1" a="1"/>
  <c r="L2252" i="1" s="1"/>
  <c r="L2248" i="1" a="1"/>
  <c r="L2248" i="1" s="1"/>
  <c r="K2248" i="1" a="1"/>
  <c r="K2248" i="1" s="1"/>
  <c r="J2248" i="1" a="1"/>
  <c r="J2248" i="1" s="1"/>
  <c r="L2239" i="1" a="1"/>
  <c r="L2239" i="1" s="1"/>
  <c r="K2237" i="1" a="1"/>
  <c r="K2237" i="1" s="1"/>
  <c r="K2239" i="1" a="1"/>
  <c r="K2239" i="1" s="1"/>
  <c r="L2236" i="1" a="1"/>
  <c r="L2236" i="1" s="1"/>
  <c r="K2236" i="1" a="1"/>
  <c r="K2236" i="1" s="1"/>
  <c r="J2236" i="1" a="1"/>
  <c r="J2236" i="1" s="1"/>
  <c r="J2239" i="1" a="1"/>
  <c r="J2239" i="1" s="1"/>
  <c r="J2237" i="1" a="1"/>
  <c r="J2237" i="1" s="1"/>
  <c r="K2241" i="1" a="1"/>
  <c r="K2241" i="1" s="1"/>
  <c r="J2241" i="1" a="1"/>
  <c r="J2241" i="1" s="1"/>
  <c r="L2237" i="1" a="1"/>
  <c r="L2237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6" i="1" s="1"/>
  <c r="L787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L132" i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J131" i="1"/>
  <c r="J138" i="1" s="1" a="1"/>
  <c r="J138" i="1" s="1"/>
  <c r="L97" i="1"/>
  <c r="L129" i="1" s="1"/>
  <c r="K97" i="1"/>
  <c r="K129" i="1" s="1"/>
  <c r="J97" i="1"/>
  <c r="L96" i="1"/>
  <c r="L128" i="1" s="1"/>
  <c r="K96" i="1"/>
  <c r="K128" i="1" s="1"/>
  <c r="J96" i="1"/>
  <c r="J128" i="1" s="1"/>
  <c r="L95" i="1"/>
  <c r="K95" i="1"/>
  <c r="J95" i="1"/>
  <c r="L94" i="1"/>
  <c r="L126" i="1" s="1"/>
  <c r="K94" i="1"/>
  <c r="K126" i="1" s="1"/>
  <c r="J94" i="1"/>
  <c r="J126" i="1" s="1"/>
  <c r="L93" i="1"/>
  <c r="L125" i="1" s="1"/>
  <c r="K93" i="1"/>
  <c r="K125" i="1" s="1"/>
  <c r="J93" i="1"/>
  <c r="J125" i="1" s="1"/>
  <c r="L92" i="1"/>
  <c r="K92" i="1"/>
  <c r="J92" i="1"/>
  <c r="L91" i="1"/>
  <c r="L123" i="1" s="1"/>
  <c r="K91" i="1"/>
  <c r="J91" i="1"/>
  <c r="L90" i="1"/>
  <c r="L122" i="1" s="1"/>
  <c r="K90" i="1"/>
  <c r="J90" i="1"/>
  <c r="J122" i="1" s="1"/>
  <c r="L89" i="1"/>
  <c r="L121" i="1" s="1"/>
  <c r="K89" i="1"/>
  <c r="K121" i="1" s="1"/>
  <c r="J89" i="1"/>
  <c r="J121" i="1" s="1"/>
  <c r="L88" i="1"/>
  <c r="K88" i="1"/>
  <c r="K120" i="1" s="1"/>
  <c r="J88" i="1"/>
  <c r="J120" i="1" s="1"/>
  <c r="L87" i="1"/>
  <c r="L119" i="1" s="1"/>
  <c r="K87" i="1"/>
  <c r="K119" i="1" s="1"/>
  <c r="J87" i="1"/>
  <c r="J119" i="1" s="1"/>
  <c r="L86" i="1"/>
  <c r="L118" i="1" s="1"/>
  <c r="K86" i="1"/>
  <c r="K118" i="1" s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L1644" i="1" a="1"/>
  <c r="L1644" i="1" s="1"/>
  <c r="J1648" i="1" a="1"/>
  <c r="J1648" i="1" s="1"/>
  <c r="L1648" i="1" a="1"/>
  <c r="L1648" i="1" s="1"/>
  <c r="K1648" i="1" a="1"/>
  <c r="K1648" i="1" s="1"/>
  <c r="J1644" i="1" a="1"/>
  <c r="J1644" i="1" s="1"/>
  <c r="K1644" i="1" a="1"/>
  <c r="K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K2340" i="1" a="1"/>
  <c r="K2340" i="1" s="1"/>
  <c r="J2339" i="1" a="1"/>
  <c r="J2339" i="1" s="1"/>
  <c r="J2340" i="1" a="1"/>
  <c r="J2340" i="1" s="1"/>
  <c r="L2340" i="1" a="1"/>
  <c r="L2340" i="1" s="1"/>
  <c r="L2337" i="1" a="1"/>
  <c r="L2337" i="1" s="1"/>
  <c r="J2334" i="1" a="1"/>
  <c r="J2334" i="1" s="1"/>
  <c r="J2333" i="1" a="1"/>
  <c r="J2333" i="1" s="1"/>
  <c r="K2335" i="1" a="1"/>
  <c r="K2335" i="1" s="1"/>
  <c r="L2339" i="1" a="1"/>
  <c r="L2339" i="1" s="1"/>
  <c r="K2339" i="1" a="1"/>
  <c r="K2339" i="1" s="1"/>
  <c r="K2332" i="1" a="1"/>
  <c r="K2332" i="1" s="1"/>
  <c r="K2333" i="1" a="1"/>
  <c r="K2333" i="1" s="1"/>
  <c r="J2337" i="1" a="1"/>
  <c r="J2337" i="1" s="1"/>
  <c r="L2338" i="1" a="1"/>
  <c r="L2338" i="1" s="1"/>
  <c r="L2336" i="1" a="1"/>
  <c r="L2336" i="1" s="1"/>
  <c r="L2333" i="1" a="1"/>
  <c r="L2333" i="1" s="1"/>
  <c r="J2336" i="1" a="1"/>
  <c r="J2336" i="1" s="1"/>
  <c r="K2337" i="1" a="1"/>
  <c r="K2337" i="1" s="1"/>
  <c r="L2335" i="1" a="1"/>
  <c r="L2335" i="1" s="1"/>
  <c r="J2338" i="1" a="1"/>
  <c r="J2338" i="1" s="1"/>
  <c r="K2336" i="1" a="1"/>
  <c r="K2336" i="1" s="1"/>
  <c r="L2334" i="1" a="1"/>
  <c r="L2334" i="1" s="1"/>
  <c r="L2332" i="1" a="1"/>
  <c r="L2332" i="1" s="1"/>
  <c r="J2335" i="1" a="1"/>
  <c r="J2335" i="1" s="1"/>
  <c r="K2338" i="1" a="1"/>
  <c r="K2338" i="1" s="1"/>
  <c r="K2334" i="1" a="1"/>
  <c r="K2334" i="1" s="1"/>
  <c r="L2323" i="1" a="1"/>
  <c r="L2323" i="1" s="1"/>
  <c r="L2322" i="1" s="1" a="1"/>
  <c r="L2322" i="1" s="1"/>
  <c r="K2327" i="1" a="1"/>
  <c r="K2327" i="1" s="1"/>
  <c r="L2329" i="1" a="1"/>
  <c r="L2329" i="1" s="1"/>
  <c r="J2328" i="1" a="1"/>
  <c r="J2328" i="1" s="1"/>
  <c r="K2331" i="1" a="1"/>
  <c r="K2331" i="1" s="1"/>
  <c r="J2330" i="1" a="1"/>
  <c r="J2330" i="1" s="1"/>
  <c r="K2328" i="1" a="1"/>
  <c r="K2328" i="1" s="1"/>
  <c r="K2329" i="1" a="1"/>
  <c r="K2329" i="1" s="1"/>
  <c r="J2325" i="1" a="1"/>
  <c r="J2325" i="1" s="1"/>
  <c r="L2327" i="1" a="1"/>
  <c r="L2327" i="1" s="1"/>
  <c r="L2328" i="1" a="1"/>
  <c r="L2328" i="1" s="1"/>
  <c r="J2329" i="1" a="1"/>
  <c r="J2329" i="1" s="1"/>
  <c r="L2326" i="1" a="1"/>
  <c r="L2326" i="1" s="1"/>
  <c r="K2326" i="1" a="1"/>
  <c r="K2326" i="1" s="1"/>
  <c r="J2326" i="1" a="1"/>
  <c r="J2326" i="1" s="1"/>
  <c r="K2323" i="1" a="1"/>
  <c r="K2323" i="1" s="1"/>
  <c r="K2322" i="1" s="1" a="1"/>
  <c r="K2322" i="1" s="1"/>
  <c r="J2332" i="1" a="1"/>
  <c r="J2332" i="1" s="1"/>
  <c r="L2331" i="1" a="1"/>
  <c r="L2331" i="1" s="1"/>
  <c r="J2331" i="1" a="1"/>
  <c r="J2331" i="1" s="1"/>
  <c r="J2327" i="1" a="1"/>
  <c r="J2327" i="1" s="1"/>
  <c r="L2325" i="1" a="1"/>
  <c r="L2325" i="1" s="1"/>
  <c r="L2330" i="1" a="1"/>
  <c r="L2330" i="1" s="1"/>
  <c r="K2330" i="1" a="1"/>
  <c r="K2330" i="1" s="1"/>
  <c r="K2325" i="1" a="1"/>
  <c r="K2325" i="1" s="1"/>
  <c r="J2323" i="1" a="1"/>
  <c r="J2323" i="1" s="1"/>
  <c r="J2322" i="1" s="1" a="1"/>
  <c r="J2322" i="1" s="1"/>
  <c r="L1709" i="1" a="1"/>
  <c r="L1709" i="1" s="1"/>
  <c r="K1708" i="1" a="1"/>
  <c r="K1708" i="1" s="1"/>
  <c r="L1708" i="1" a="1"/>
  <c r="L1708" i="1" s="1"/>
  <c r="J1709" i="1" a="1"/>
  <c r="J1709" i="1" s="1"/>
  <c r="K1709" i="1" a="1"/>
  <c r="K1709" i="1" s="1"/>
  <c r="J1708" i="1" a="1"/>
  <c r="J1708" i="1" s="1"/>
  <c r="K31" i="1" a="1"/>
  <c r="K31" i="1" s="1"/>
  <c r="L31" i="1" a="1"/>
  <c r="L31" i="1" s="1"/>
  <c r="J31" i="1" a="1"/>
  <c r="J31" i="1" s="1"/>
  <c r="J696" i="1" a="1"/>
  <c r="J696" i="1" s="1"/>
  <c r="J709" i="1" a="1"/>
  <c r="J709" i="1" s="1"/>
  <c r="K696" i="1" a="1"/>
  <c r="K696" i="1" s="1"/>
  <c r="K711" i="1" a="1"/>
  <c r="K711" i="1" s="1"/>
  <c r="J711" i="1" a="1"/>
  <c r="J711" i="1" s="1"/>
  <c r="L709" i="1" a="1"/>
  <c r="L709" i="1" s="1"/>
  <c r="K709" i="1" a="1"/>
  <c r="K709" i="1" s="1"/>
  <c r="J697" i="1" a="1"/>
  <c r="J697" i="1" s="1"/>
  <c r="L697" i="1" a="1"/>
  <c r="L697" i="1" s="1"/>
  <c r="K697" i="1" a="1"/>
  <c r="K697" i="1" s="1"/>
  <c r="L711" i="1" a="1"/>
  <c r="L711" i="1" s="1"/>
  <c r="L696" i="1" a="1"/>
  <c r="L696" i="1" s="1"/>
  <c r="J687" i="1" a="1"/>
  <c r="J687" i="1" s="1"/>
  <c r="K688" i="1" a="1"/>
  <c r="K688" i="1" s="1"/>
  <c r="K681" i="1" a="1"/>
  <c r="K681" i="1" s="1"/>
  <c r="L685" i="1" a="1"/>
  <c r="L685" i="1" s="1"/>
  <c r="J685" i="1" a="1"/>
  <c r="J685" i="1" s="1"/>
  <c r="K683" i="1" a="1"/>
  <c r="K683" i="1" s="1"/>
  <c r="L688" i="1" a="1"/>
  <c r="L688" i="1" s="1"/>
  <c r="J681" i="1" a="1"/>
  <c r="J681" i="1" s="1"/>
  <c r="J683" i="1" a="1"/>
  <c r="J683" i="1" s="1"/>
  <c r="J682" i="1" a="1"/>
  <c r="J682" i="1" s="1"/>
  <c r="L682" i="1" a="1"/>
  <c r="L682" i="1" s="1"/>
  <c r="K685" i="1" a="1"/>
  <c r="K685" i="1" s="1"/>
  <c r="L683" i="1" a="1"/>
  <c r="L683" i="1" s="1"/>
  <c r="J688" i="1" a="1"/>
  <c r="J688" i="1" s="1"/>
  <c r="K687" i="1" a="1"/>
  <c r="K687" i="1" s="1"/>
  <c r="K682" i="1" a="1"/>
  <c r="K682" i="1" s="1"/>
  <c r="L681" i="1" a="1"/>
  <c r="L681" i="1" s="1"/>
  <c r="L687" i="1" a="1"/>
  <c r="L687" i="1" s="1"/>
  <c r="K666" i="1" a="1"/>
  <c r="K666" i="1" s="1"/>
  <c r="J665" i="1" a="1"/>
  <c r="J665" i="1" s="1"/>
  <c r="L666" i="1" a="1"/>
  <c r="L666" i="1" s="1"/>
  <c r="K664" i="1" a="1"/>
  <c r="K664" i="1" s="1"/>
  <c r="J666" i="1" a="1"/>
  <c r="J666" i="1" s="1"/>
  <c r="K665" i="1" a="1"/>
  <c r="K665" i="1" s="1"/>
  <c r="J664" i="1" a="1"/>
  <c r="J664" i="1" s="1"/>
  <c r="L664" i="1" a="1"/>
  <c r="L664" i="1" s="1"/>
  <c r="L665" i="1" a="1"/>
  <c r="L665" i="1" s="1"/>
  <c r="K743" i="1" a="1"/>
  <c r="K743" i="1" s="1"/>
  <c r="K740" i="1" a="1"/>
  <c r="K740" i="1" s="1"/>
  <c r="L743" i="1" a="1"/>
  <c r="L743" i="1" s="1"/>
  <c r="J743" i="1" a="1"/>
  <c r="J743" i="1" s="1"/>
  <c r="J740" i="1" a="1"/>
  <c r="J740" i="1" s="1"/>
  <c r="L740" i="1" a="1"/>
  <c r="L740" i="1" s="1"/>
  <c r="K727" i="1" a="1"/>
  <c r="K727" i="1" s="1"/>
  <c r="J716" i="1" a="1"/>
  <c r="J716" i="1" s="1"/>
  <c r="J724" i="1" a="1"/>
  <c r="J724" i="1" s="1"/>
  <c r="K719" i="1" a="1"/>
  <c r="K719" i="1" s="1"/>
  <c r="K724" i="1" a="1"/>
  <c r="K724" i="1" s="1"/>
  <c r="K720" i="1" a="1"/>
  <c r="K720" i="1" s="1"/>
  <c r="L727" i="1" a="1"/>
  <c r="L727" i="1" s="1"/>
  <c r="K718" i="1" a="1"/>
  <c r="K718" i="1" s="1"/>
  <c r="L718" i="1" a="1"/>
  <c r="L718" i="1" s="1"/>
  <c r="J727" i="1" a="1"/>
  <c r="J727" i="1" s="1"/>
  <c r="J720" i="1" a="1"/>
  <c r="J720" i="1" s="1"/>
  <c r="J718" i="1" a="1"/>
  <c r="J718" i="1" s="1"/>
  <c r="L716" i="1" a="1"/>
  <c r="L716" i="1" s="1"/>
  <c r="L720" i="1" a="1"/>
  <c r="L720" i="1" s="1"/>
  <c r="L724" i="1" a="1"/>
  <c r="L724" i="1" s="1"/>
  <c r="L719" i="1" a="1"/>
  <c r="L719" i="1" s="1"/>
  <c r="J719" i="1" a="1"/>
  <c r="J719" i="1" s="1"/>
  <c r="K716" i="1" a="1"/>
  <c r="K716" i="1" s="1"/>
  <c r="K653" i="1" a="1"/>
  <c r="K653" i="1" s="1"/>
  <c r="L653" i="1" a="1"/>
  <c r="L653" i="1" s="1"/>
  <c r="J653" i="1" a="1"/>
  <c r="J653" i="1" s="1"/>
  <c r="L652" i="1" a="1"/>
  <c r="L652" i="1" s="1"/>
  <c r="K652" i="1" a="1"/>
  <c r="K652" i="1" s="1"/>
  <c r="J652" i="1" a="1"/>
  <c r="J652" i="1" s="1"/>
  <c r="K650" i="1" a="1"/>
  <c r="K650" i="1" s="1"/>
  <c r="J650" i="1" a="1"/>
  <c r="J650" i="1" s="1"/>
  <c r="L650" i="1" a="1"/>
  <c r="L650" i="1" s="1"/>
  <c r="K649" i="1" a="1"/>
  <c r="K649" i="1" s="1"/>
  <c r="J649" i="1" a="1"/>
  <c r="J649" i="1" s="1"/>
  <c r="L648" i="1" a="1"/>
  <c r="L648" i="1" s="1"/>
  <c r="L649" i="1" a="1"/>
  <c r="L649" i="1" s="1"/>
  <c r="K648" i="1" a="1"/>
  <c r="K648" i="1" s="1"/>
  <c r="L640" i="1" a="1"/>
  <c r="L640" i="1" s="1"/>
  <c r="J645" i="1" a="1"/>
  <c r="J645" i="1" s="1"/>
  <c r="J648" i="1" a="1"/>
  <c r="J648" i="1" s="1"/>
  <c r="J647" i="1" a="1"/>
  <c r="J647" i="1" s="1"/>
  <c r="K642" i="1" a="1"/>
  <c r="K642" i="1" s="1"/>
  <c r="J640" i="1" a="1"/>
  <c r="J640" i="1" s="1"/>
  <c r="K639" i="1" a="1"/>
  <c r="K639" i="1" s="1"/>
  <c r="L642" i="1" a="1"/>
  <c r="L642" i="1" s="1"/>
  <c r="L645" i="1" a="1"/>
  <c r="L645" i="1" s="1"/>
  <c r="J642" i="1" a="1"/>
  <c r="J642" i="1" s="1"/>
  <c r="K645" i="1" a="1"/>
  <c r="K645" i="1" s="1"/>
  <c r="J639" i="1" a="1"/>
  <c r="J639" i="1" s="1"/>
  <c r="L647" i="1" a="1"/>
  <c r="L647" i="1" s="1"/>
  <c r="L639" i="1" a="1"/>
  <c r="L639" i="1" s="1"/>
  <c r="K647" i="1" a="1"/>
  <c r="K647" i="1" s="1"/>
  <c r="J643" i="1" a="1"/>
  <c r="J643" i="1" s="1"/>
  <c r="L643" i="1" a="1"/>
  <c r="L643" i="1" s="1"/>
  <c r="K640" i="1" a="1"/>
  <c r="K640" i="1" s="1"/>
  <c r="K643" i="1" a="1"/>
  <c r="K643" i="1" s="1"/>
  <c r="J635" i="1" a="1"/>
  <c r="J635" i="1" s="1"/>
  <c r="L628" i="1" a="1"/>
  <c r="L628" i="1" s="1"/>
  <c r="J633" i="1" a="1"/>
  <c r="J633" i="1" s="1"/>
  <c r="K632" i="1" a="1"/>
  <c r="K632" i="1" s="1"/>
  <c r="L638" i="1" a="1"/>
  <c r="L638" i="1" s="1"/>
  <c r="L637" i="1" a="1"/>
  <c r="L637" i="1" s="1"/>
  <c r="K638" i="1" a="1"/>
  <c r="K638" i="1" s="1"/>
  <c r="J638" i="1" a="1"/>
  <c r="J638" i="1" s="1"/>
  <c r="L630" i="1" a="1"/>
  <c r="L630" i="1" s="1"/>
  <c r="K635" i="1" a="1"/>
  <c r="K635" i="1" s="1"/>
  <c r="J632" i="1" a="1"/>
  <c r="J632" i="1" s="1"/>
  <c r="J637" i="1" a="1"/>
  <c r="J637" i="1" s="1"/>
  <c r="K637" i="1" a="1"/>
  <c r="K637" i="1" s="1"/>
  <c r="J629" i="1" a="1"/>
  <c r="J629" i="1" s="1"/>
  <c r="K633" i="1" a="1"/>
  <c r="K633" i="1" s="1"/>
  <c r="L635" i="1" a="1"/>
  <c r="L635" i="1" s="1"/>
  <c r="K628" i="1" a="1"/>
  <c r="K628" i="1" s="1"/>
  <c r="J630" i="1" a="1"/>
  <c r="J630" i="1" s="1"/>
  <c r="K630" i="1" a="1"/>
  <c r="K630" i="1" s="1"/>
  <c r="L629" i="1" a="1"/>
  <c r="L629" i="1" s="1"/>
  <c r="L633" i="1" a="1"/>
  <c r="L633" i="1" s="1"/>
  <c r="L632" i="1" a="1"/>
  <c r="L632" i="1" s="1"/>
  <c r="K629" i="1" a="1"/>
  <c r="K629" i="1" s="1"/>
  <c r="K625" i="1" a="1"/>
  <c r="K625" i="1" s="1"/>
  <c r="K619" i="1" a="1"/>
  <c r="K619" i="1" s="1"/>
  <c r="L617" i="1" a="1"/>
  <c r="L617" i="1" s="1"/>
  <c r="L623" i="1" a="1"/>
  <c r="L623" i="1" s="1"/>
  <c r="L622" i="1" a="1"/>
  <c r="L622" i="1" s="1"/>
  <c r="L625" i="1" a="1"/>
  <c r="L625" i="1" s="1"/>
  <c r="K617" i="1" a="1"/>
  <c r="K617" i="1" s="1"/>
  <c r="J625" i="1" a="1"/>
  <c r="J625" i="1" s="1"/>
  <c r="J623" i="1" a="1"/>
  <c r="J623" i="1" s="1"/>
  <c r="J617" i="1" a="1"/>
  <c r="J617" i="1" s="1"/>
  <c r="K622" i="1" a="1"/>
  <c r="K622" i="1" s="1"/>
  <c r="J618" i="1" a="1"/>
  <c r="J618" i="1" s="1"/>
  <c r="J622" i="1" a="1"/>
  <c r="J622" i="1" s="1"/>
  <c r="J628" i="1" a="1"/>
  <c r="J628" i="1" s="1"/>
  <c r="J620" i="1" a="1"/>
  <c r="J620" i="1" s="1"/>
  <c r="L627" i="1" a="1"/>
  <c r="L627" i="1" s="1"/>
  <c r="J627" i="1" a="1"/>
  <c r="J627" i="1" s="1"/>
  <c r="K623" i="1" a="1"/>
  <c r="K623" i="1" s="1"/>
  <c r="L619" i="1" a="1"/>
  <c r="L619" i="1" s="1"/>
  <c r="L620" i="1" a="1"/>
  <c r="L620" i="1" s="1"/>
  <c r="K618" i="1" a="1"/>
  <c r="K618" i="1" s="1"/>
  <c r="K620" i="1" a="1"/>
  <c r="K620" i="1" s="1"/>
  <c r="L618" i="1" a="1"/>
  <c r="L618" i="1" s="1"/>
  <c r="J619" i="1" a="1"/>
  <c r="J619" i="1" s="1"/>
  <c r="K627" i="1" a="1"/>
  <c r="K627" i="1" s="1"/>
  <c r="L609" i="1" a="1"/>
  <c r="L609" i="1" s="1"/>
  <c r="K606" i="1" a="1"/>
  <c r="K606" i="1" s="1"/>
  <c r="K609" i="1" a="1"/>
  <c r="K609" i="1" s="1"/>
  <c r="K610" i="1" a="1"/>
  <c r="K610" i="1" s="1"/>
  <c r="L603" i="1" a="1"/>
  <c r="L603" i="1" s="1"/>
  <c r="L602" i="1" a="1"/>
  <c r="L602" i="1" s="1"/>
  <c r="J606" i="1" a="1"/>
  <c r="J606" i="1" s="1"/>
  <c r="K603" i="1" a="1"/>
  <c r="K603" i="1" s="1"/>
  <c r="J603" i="1" a="1"/>
  <c r="J603" i="1" s="1"/>
  <c r="K602" i="1" a="1"/>
  <c r="K602" i="1" s="1"/>
  <c r="J602" i="1" a="1"/>
  <c r="J602" i="1" s="1"/>
  <c r="L610" i="1" a="1"/>
  <c r="L610" i="1" s="1"/>
  <c r="L607" i="1" a="1"/>
  <c r="L607" i="1" s="1"/>
  <c r="J610" i="1" a="1"/>
  <c r="J610" i="1" s="1"/>
  <c r="K607" i="1" a="1"/>
  <c r="K607" i="1" s="1"/>
  <c r="J609" i="1" a="1"/>
  <c r="J609" i="1" s="1"/>
  <c r="L606" i="1" a="1"/>
  <c r="L606" i="1" s="1"/>
  <c r="J607" i="1" a="1"/>
  <c r="J607" i="1" s="1"/>
  <c r="L589" i="1" a="1"/>
  <c r="L589" i="1" s="1"/>
  <c r="L585" i="1" a="1"/>
  <c r="L585" i="1" s="1"/>
  <c r="K589" i="1" a="1"/>
  <c r="K589" i="1" s="1"/>
  <c r="J596" i="1" a="1"/>
  <c r="J596" i="1" s="1"/>
  <c r="J589" i="1" a="1"/>
  <c r="J589" i="1" s="1"/>
  <c r="J593" i="1" a="1"/>
  <c r="J593" i="1" s="1"/>
  <c r="K592" i="1" a="1"/>
  <c r="K592" i="1" s="1"/>
  <c r="K596" i="1" a="1"/>
  <c r="K596" i="1" s="1"/>
  <c r="J588" i="1" a="1"/>
  <c r="J588" i="1" s="1"/>
  <c r="L588" i="1" a="1"/>
  <c r="L588" i="1" s="1"/>
  <c r="K588" i="1" a="1"/>
  <c r="K588" i="1" s="1"/>
  <c r="L593" i="1" a="1"/>
  <c r="L593" i="1" s="1"/>
  <c r="J595" i="1" a="1"/>
  <c r="J595" i="1" s="1"/>
  <c r="K593" i="1" a="1"/>
  <c r="K593" i="1" s="1"/>
  <c r="J592" i="1" a="1"/>
  <c r="J592" i="1" s="1"/>
  <c r="L596" i="1" a="1"/>
  <c r="L596" i="1" s="1"/>
  <c r="L592" i="1" a="1"/>
  <c r="L592" i="1" s="1"/>
  <c r="L595" i="1" a="1"/>
  <c r="L595" i="1" s="1"/>
  <c r="K595" i="1" a="1"/>
  <c r="K595" i="1" s="1"/>
  <c r="L584" i="1" a="1"/>
  <c r="L584" i="1" s="1"/>
  <c r="K584" i="1" a="1"/>
  <c r="K584" i="1" s="1"/>
  <c r="K585" i="1" a="1"/>
  <c r="K585" i="1" s="1"/>
  <c r="J585" i="1" a="1"/>
  <c r="J585" i="1" s="1"/>
  <c r="J584" i="1" a="1"/>
  <c r="J584" i="1" s="1"/>
  <c r="K2316" i="1" a="1"/>
  <c r="K2316" i="1" s="1"/>
  <c r="K2314" i="1" a="1"/>
  <c r="K2314" i="1" s="1"/>
  <c r="L2314" i="1" a="1"/>
  <c r="L2314" i="1" s="1"/>
  <c r="J2314" i="1" a="1"/>
  <c r="J2314" i="1" s="1"/>
  <c r="L2320" i="1" a="1"/>
  <c r="L2320" i="1" s="1"/>
  <c r="L2319" i="1" s="1" a="1"/>
  <c r="L2319" i="1" s="1"/>
  <c r="K2320" i="1" a="1"/>
  <c r="K2320" i="1" s="1"/>
  <c r="K2319" i="1" s="1" a="1"/>
  <c r="K2319" i="1" s="1"/>
  <c r="K2317" i="1" a="1"/>
  <c r="K2317" i="1" s="1"/>
  <c r="J2316" i="1" a="1"/>
  <c r="J2316" i="1" s="1"/>
  <c r="L2316" i="1" a="1"/>
  <c r="L2316" i="1" s="1"/>
  <c r="L2317" i="1" a="1"/>
  <c r="L2317" i="1" s="1"/>
  <c r="J2320" i="1" a="1"/>
  <c r="J2320" i="1" s="1"/>
  <c r="J2319" i="1" s="1" a="1"/>
  <c r="J2319" i="1" s="1"/>
  <c r="J2317" i="1" a="1"/>
  <c r="J2317" i="1" s="1"/>
  <c r="K2049" i="1" a="1"/>
  <c r="K2049" i="1" s="1"/>
  <c r="J2049" i="1" a="1"/>
  <c r="J2049" i="1" s="1"/>
  <c r="K2048" i="1" a="1"/>
  <c r="K2048" i="1" s="1"/>
  <c r="L2048" i="1" a="1"/>
  <c r="L2048" i="1" s="1"/>
  <c r="L2049" i="1" a="1"/>
  <c r="L2049" i="1" s="1"/>
  <c r="K2041" i="1" a="1"/>
  <c r="K2041" i="1" s="1"/>
  <c r="J2040" i="1" a="1"/>
  <c r="J2040" i="1" s="1"/>
  <c r="J2039" i="1" a="1"/>
  <c r="J2039" i="1" s="1"/>
  <c r="L2039" i="1" a="1"/>
  <c r="L2039" i="1" s="1"/>
  <c r="K2039" i="1" a="1"/>
  <c r="K2039" i="1" s="1"/>
  <c r="J2048" i="1" a="1"/>
  <c r="J2048" i="1" s="1"/>
  <c r="L2047" i="1" a="1"/>
  <c r="L2047" i="1" s="1"/>
  <c r="L2042" i="1" a="1"/>
  <c r="L2042" i="1" s="1"/>
  <c r="K2047" i="1" a="1"/>
  <c r="K2047" i="1" s="1"/>
  <c r="J2047" i="1" a="1"/>
  <c r="J2047" i="1" s="1"/>
  <c r="J2042" i="1" a="1"/>
  <c r="J2042" i="1" s="1"/>
  <c r="L2046" i="1" a="1"/>
  <c r="L2046" i="1" s="1"/>
  <c r="K2046" i="1" a="1"/>
  <c r="K2046" i="1" s="1"/>
  <c r="L2043" i="1" a="1"/>
  <c r="L2043" i="1" s="1"/>
  <c r="J2044" i="1" a="1"/>
  <c r="J2044" i="1" s="1"/>
  <c r="L2040" i="1" a="1"/>
  <c r="L2040" i="1" s="1"/>
  <c r="J2045" i="1" a="1"/>
  <c r="J2045" i="1" s="1"/>
  <c r="L2044" i="1" a="1"/>
  <c r="L2044" i="1" s="1"/>
  <c r="K2042" i="1" a="1"/>
  <c r="K2042" i="1" s="1"/>
  <c r="L2041" i="1" a="1"/>
  <c r="L2041" i="1" s="1"/>
  <c r="K2040" i="1" a="1"/>
  <c r="K2040" i="1" s="1"/>
  <c r="K2045" i="1" a="1"/>
  <c r="K2045" i="1" s="1"/>
  <c r="K2043" i="1" a="1"/>
  <c r="K2043" i="1" s="1"/>
  <c r="J2041" i="1" a="1"/>
  <c r="J2041" i="1" s="1"/>
  <c r="J2046" i="1" a="1"/>
  <c r="J2046" i="1" s="1"/>
  <c r="K2044" i="1" a="1"/>
  <c r="K2044" i="1" s="1"/>
  <c r="L2045" i="1" a="1"/>
  <c r="L2045" i="1" s="1"/>
  <c r="J2043" i="1" a="1"/>
  <c r="J2043" i="1" s="1"/>
  <c r="J2036" i="1" a="1"/>
  <c r="J2036" i="1" s="1"/>
  <c r="J2037" i="1" a="1"/>
  <c r="J2037" i="1" s="1"/>
  <c r="L2036" i="1" a="1"/>
  <c r="L2036" i="1" s="1"/>
  <c r="K2029" i="1" a="1"/>
  <c r="K2029" i="1" s="1"/>
  <c r="K2028" i="1" s="1" a="1"/>
  <c r="K2028" i="1" s="1"/>
  <c r="L2037" i="1" a="1"/>
  <c r="L2037" i="1" s="1"/>
  <c r="K2037" i="1" a="1"/>
  <c r="K2037" i="1" s="1"/>
  <c r="L2035" i="1" a="1"/>
  <c r="L2035" i="1" s="1"/>
  <c r="J2034" i="1" a="1"/>
  <c r="J2034" i="1" s="1"/>
  <c r="K2035" i="1" a="1"/>
  <c r="K2035" i="1" s="1"/>
  <c r="K2036" i="1" a="1"/>
  <c r="K2036" i="1" s="1"/>
  <c r="L2034" i="1" a="1"/>
  <c r="L2034" i="1" s="1"/>
  <c r="J2029" i="1" a="1"/>
  <c r="J2029" i="1" s="1"/>
  <c r="J2028" i="1" s="1" a="1"/>
  <c r="J2028" i="1" s="1"/>
  <c r="K2034" i="1" a="1"/>
  <c r="K2034" i="1" s="1"/>
  <c r="J2032" i="1" a="1"/>
  <c r="J2032" i="1" s="1"/>
  <c r="J2031" i="1" s="1" a="1"/>
  <c r="J2031" i="1" s="1"/>
  <c r="L2032" i="1" a="1"/>
  <c r="L2032" i="1" s="1"/>
  <c r="L2031" i="1" s="1" a="1"/>
  <c r="L2031" i="1" s="1"/>
  <c r="L2029" i="1" a="1"/>
  <c r="L2029" i="1" s="1"/>
  <c r="L2028" i="1" s="1" a="1"/>
  <c r="L2028" i="1" s="1"/>
  <c r="J2035" i="1" a="1"/>
  <c r="J2035" i="1" s="1"/>
  <c r="K2032" i="1" a="1"/>
  <c r="K2032" i="1" s="1"/>
  <c r="K2031" i="1" s="1" a="1"/>
  <c r="K2031" i="1" s="1"/>
  <c r="L2038" i="1" a="1"/>
  <c r="L2038" i="1" s="1"/>
  <c r="K2038" i="1" a="1"/>
  <c r="K2038" i="1" s="1"/>
  <c r="J2038" i="1" a="1"/>
  <c r="J2038" i="1" s="1"/>
  <c r="L2025" i="1" a="1"/>
  <c r="L2025" i="1" s="1"/>
  <c r="K2025" i="1" a="1"/>
  <c r="K2025" i="1" s="1"/>
  <c r="L2023" i="1" a="1"/>
  <c r="L2023" i="1" s="1"/>
  <c r="J2026" i="1" a="1"/>
  <c r="J2026" i="1" s="1"/>
  <c r="L2026" i="1" a="1"/>
  <c r="L2026" i="1" s="1"/>
  <c r="J2025" i="1" a="1"/>
  <c r="J2025" i="1" s="1"/>
  <c r="K2023" i="1" a="1"/>
  <c r="K2023" i="1" s="1"/>
  <c r="K2026" i="1" a="1"/>
  <c r="K2026" i="1" s="1"/>
  <c r="J2023" i="1" a="1"/>
  <c r="J2023" i="1" s="1"/>
  <c r="L19" i="1"/>
  <c r="L18" i="1" s="1"/>
  <c r="K19" i="1"/>
  <c r="K18" i="1" s="1"/>
  <c r="J19" i="1"/>
  <c r="J18" i="1" s="1"/>
  <c r="K62" i="1" a="1"/>
  <c r="K62" i="1" s="1"/>
  <c r="L60" i="1" a="1"/>
  <c r="L60" i="1" s="1"/>
  <c r="L62" i="1" a="1"/>
  <c r="L62" i="1" s="1"/>
  <c r="K61" i="1" a="1"/>
  <c r="K61" i="1" s="1"/>
  <c r="J62" i="1" a="1"/>
  <c r="J62" i="1" s="1"/>
  <c r="L61" i="1" a="1"/>
  <c r="L61" i="1" s="1"/>
  <c r="J61" i="1" a="1"/>
  <c r="J61" i="1" s="1"/>
  <c r="K60" i="1" a="1"/>
  <c r="K60" i="1" s="1"/>
  <c r="J60" i="1" a="1"/>
  <c r="J60" i="1" s="1"/>
  <c r="L53" i="1" a="1"/>
  <c r="L53" i="1" s="1"/>
  <c r="L55" i="1" a="1"/>
  <c r="L55" i="1" s="1"/>
  <c r="L52" i="1" a="1"/>
  <c r="L52" i="1" s="1"/>
  <c r="L54" i="1" a="1"/>
  <c r="L54" i="1" s="1"/>
  <c r="K59" i="1" a="1"/>
  <c r="K59" i="1" s="1"/>
  <c r="K55" i="1" a="1"/>
  <c r="K55" i="1" s="1"/>
  <c r="J52" i="1" a="1"/>
  <c r="J52" i="1" s="1"/>
  <c r="L59" i="1" a="1"/>
  <c r="L59" i="1" s="1"/>
  <c r="K53" i="1" a="1"/>
  <c r="K53" i="1" s="1"/>
  <c r="K54" i="1" a="1"/>
  <c r="K54" i="1" s="1"/>
  <c r="J59" i="1" a="1"/>
  <c r="J59" i="1" s="1"/>
  <c r="J54" i="1" a="1"/>
  <c r="J54" i="1" s="1"/>
  <c r="K52" i="1" a="1"/>
  <c r="K52" i="1" s="1"/>
  <c r="J53" i="1" a="1"/>
  <c r="J53" i="1" s="1"/>
  <c r="J55" i="1" a="1"/>
  <c r="J55" i="1" s="1"/>
  <c r="L14" i="1" a="1"/>
  <c r="L14" i="1" s="1"/>
  <c r="K14" i="1" a="1"/>
  <c r="K14" i="1" s="1"/>
  <c r="J14" i="1" a="1"/>
  <c r="J14" i="1" s="1"/>
  <c r="K15" i="1" a="1"/>
  <c r="K15" i="1" s="1"/>
  <c r="L15" i="1" a="1"/>
  <c r="L15" i="1" s="1"/>
  <c r="J15" i="1" a="1"/>
  <c r="J15" i="1" s="1"/>
  <c r="J13" i="1" a="1"/>
  <c r="J13" i="1" s="1"/>
  <c r="K13" i="1" a="1"/>
  <c r="K13" i="1" s="1"/>
  <c r="L13" i="1" a="1"/>
  <c r="L13" i="1" s="1"/>
  <c r="L275" i="1" a="1"/>
  <c r="L275" i="1" s="1"/>
  <c r="L284" i="1" a="1"/>
  <c r="L284" i="1" s="1"/>
  <c r="J284" i="1" a="1"/>
  <c r="J284" i="1" s="1"/>
  <c r="J283" i="1" s="1"/>
  <c r="K275" i="1" a="1"/>
  <c r="K275" i="1" s="1"/>
  <c r="K274" i="1" s="1"/>
  <c r="J275" i="1" a="1"/>
  <c r="J275" i="1" s="1"/>
  <c r="K284" i="1" a="1"/>
  <c r="K284" i="1" s="1"/>
  <c r="K283" i="1" s="1"/>
  <c r="K382" i="1" s="1"/>
  <c r="K513" i="1" s="1"/>
  <c r="K242" i="1" a="1"/>
  <c r="K242" i="1" s="1"/>
  <c r="L242" i="1" a="1"/>
  <c r="L242" i="1" s="1"/>
  <c r="J242" i="1" a="1"/>
  <c r="J242" i="1" s="1"/>
  <c r="J241" i="1" s="1"/>
  <c r="L199" i="1" a="1"/>
  <c r="L199" i="1" s="1"/>
  <c r="L198" i="1" s="1"/>
  <c r="J199" i="1" a="1"/>
  <c r="J199" i="1" s="1"/>
  <c r="J198" i="1" s="1"/>
  <c r="K199" i="1" a="1"/>
  <c r="K199" i="1" s="1"/>
  <c r="J140" i="1" a="1"/>
  <c r="J140" i="1" s="1"/>
  <c r="K138" i="1" a="1"/>
  <c r="K138" i="1" s="1"/>
  <c r="L139" i="1" a="1"/>
  <c r="L139" i="1" s="1"/>
  <c r="J56" i="1" a="1"/>
  <c r="J56" i="1" s="1"/>
  <c r="L56" i="1" a="1"/>
  <c r="L56" i="1" s="1"/>
  <c r="K56" i="1" a="1"/>
  <c r="K56" i="1" s="1"/>
  <c r="L50" i="1" a="1"/>
  <c r="L50" i="1" s="1"/>
  <c r="K50" i="1" a="1"/>
  <c r="K50" i="1" s="1"/>
  <c r="K45" i="1" a="1"/>
  <c r="K45" i="1" s="1"/>
  <c r="K44" i="1" a="1"/>
  <c r="K44" i="1" s="1"/>
  <c r="J45" i="1" a="1"/>
  <c r="J45" i="1" s="1"/>
  <c r="K43" i="1" a="1"/>
  <c r="K43" i="1" s="1"/>
  <c r="J44" i="1" a="1"/>
  <c r="J44" i="1" s="1"/>
  <c r="L43" i="1" a="1"/>
  <c r="L43" i="1" s="1"/>
  <c r="J43" i="1" a="1"/>
  <c r="J43" i="1" s="1"/>
  <c r="L44" i="1" a="1"/>
  <c r="L44" i="1" s="1"/>
  <c r="J50" i="1" a="1"/>
  <c r="J50" i="1" s="1"/>
  <c r="L45" i="1" a="1"/>
  <c r="L45" i="1" s="1"/>
  <c r="L28" i="1" a="1"/>
  <c r="L28" i="1" s="1"/>
  <c r="J26" i="1" a="1"/>
  <c r="J26" i="1" s="1"/>
  <c r="K28" i="1" a="1"/>
  <c r="K28" i="1" s="1"/>
  <c r="L26" i="1" a="1"/>
  <c r="L26" i="1" s="1"/>
  <c r="K27" i="1" a="1"/>
  <c r="K27" i="1" s="1"/>
  <c r="L25" i="1" a="1"/>
  <c r="L25" i="1" s="1"/>
  <c r="K26" i="1" a="1"/>
  <c r="K26" i="1" s="1"/>
  <c r="J27" i="1" a="1"/>
  <c r="J27" i="1" s="1"/>
  <c r="J28" i="1" a="1"/>
  <c r="J28" i="1" s="1"/>
  <c r="L27" i="1" a="1"/>
  <c r="L27" i="1" s="1"/>
  <c r="J25" i="1" a="1"/>
  <c r="J25" i="1" s="1"/>
  <c r="K25" i="1" a="1"/>
  <c r="K25" i="1" s="1"/>
  <c r="J21" i="1" a="1"/>
  <c r="J21" i="1" s="1"/>
  <c r="K16" i="1" a="1"/>
  <c r="K16" i="1" s="1"/>
  <c r="L17" i="1" a="1"/>
  <c r="L17" i="1" s="1"/>
  <c r="J17" i="1" a="1"/>
  <c r="J17" i="1" s="1"/>
  <c r="L21" i="1" a="1"/>
  <c r="L21" i="1" s="1"/>
  <c r="L24" i="1" a="1"/>
  <c r="L24" i="1" s="1"/>
  <c r="J24" i="1" a="1"/>
  <c r="J24" i="1" s="1"/>
  <c r="J16" i="1" a="1"/>
  <c r="J16" i="1" s="1"/>
  <c r="K17" i="1" a="1"/>
  <c r="K17" i="1" s="1"/>
  <c r="K21" i="1" a="1"/>
  <c r="K21" i="1" s="1"/>
  <c r="L16" i="1" a="1"/>
  <c r="L16" i="1" s="1"/>
  <c r="K24" i="1" a="1"/>
  <c r="K24" i="1" s="1"/>
  <c r="K7" i="1" a="1"/>
  <c r="K7" i="1" s="1"/>
  <c r="K4" i="1" a="1"/>
  <c r="K4" i="1" s="1"/>
  <c r="J4" i="1" a="1"/>
  <c r="J4" i="1" s="1"/>
  <c r="K6" i="1" a="1"/>
  <c r="K6" i="1" s="1"/>
  <c r="L7" i="1" a="1"/>
  <c r="L7" i="1" s="1"/>
  <c r="L9" i="1" a="1"/>
  <c r="L9" i="1" s="1"/>
  <c r="J9" i="1" a="1"/>
  <c r="J9" i="1" s="1"/>
  <c r="J7" i="1" a="1"/>
  <c r="J7" i="1" s="1"/>
  <c r="L11" i="1" a="1"/>
  <c r="L11" i="1" s="1"/>
  <c r="K11" i="1" a="1"/>
  <c r="K11" i="1" s="1"/>
  <c r="K9" i="1" a="1"/>
  <c r="K9" i="1" s="1"/>
  <c r="J6" i="1" a="1"/>
  <c r="J6" i="1" s="1"/>
  <c r="L10" i="1" a="1"/>
  <c r="L10" i="1" s="1"/>
  <c r="J11" i="1" a="1"/>
  <c r="J11" i="1" s="1"/>
  <c r="K10" i="1" a="1"/>
  <c r="K10" i="1" s="1"/>
  <c r="L6" i="1" a="1"/>
  <c r="L6" i="1" s="1"/>
  <c r="L4" i="1" a="1"/>
  <c r="L4" i="1" s="1"/>
  <c r="J10" i="1" a="1"/>
  <c r="J10" i="1" s="1"/>
  <c r="L5" i="1" a="1"/>
  <c r="L5" i="1" s="1"/>
  <c r="K5" i="1" a="1"/>
  <c r="K5" i="1" s="1"/>
  <c r="J5" i="1" a="1"/>
  <c r="J5" i="1" s="1"/>
  <c r="K318" i="1" l="1"/>
  <c r="K473" i="1" s="1"/>
  <c r="K384" i="1"/>
  <c r="K515" i="1" s="1"/>
  <c r="J314" i="1"/>
  <c r="J419" i="1" s="1"/>
  <c r="L361" i="1"/>
  <c r="L428" i="1" s="1"/>
  <c r="K314" i="1"/>
  <c r="K419" i="1" s="1"/>
  <c r="L385" i="1"/>
  <c r="L516" i="1" s="1"/>
  <c r="J319" i="1"/>
  <c r="J474" i="1" s="1"/>
  <c r="K380" i="1"/>
  <c r="K437" i="1" s="1"/>
  <c r="K320" i="1"/>
  <c r="K475" i="1" s="1"/>
  <c r="K398" i="1"/>
  <c r="K439" i="1" s="1"/>
  <c r="J118" i="1"/>
  <c r="J742" i="1" a="1"/>
  <c r="J742" i="1" s="1"/>
  <c r="J744" i="1" s="1" a="1"/>
  <c r="J744" i="1" s="1"/>
  <c r="K323" i="1"/>
  <c r="K478" i="1" s="1"/>
  <c r="K385" i="1"/>
  <c r="K516" i="1" s="1"/>
  <c r="J123" i="1"/>
  <c r="K124" i="1"/>
  <c r="J380" i="1"/>
  <c r="J437" i="1" s="1"/>
  <c r="J320" i="1"/>
  <c r="J475" i="1" s="1"/>
  <c r="L399" i="1"/>
  <c r="L519" i="1" s="1"/>
  <c r="L783" i="1"/>
  <c r="J400" i="1"/>
  <c r="J520" i="1" s="1"/>
  <c r="K301" i="1"/>
  <c r="K465" i="1" s="1"/>
  <c r="K786" i="1"/>
  <c r="K787" i="1" s="1"/>
  <c r="K783" i="1"/>
  <c r="L400" i="1"/>
  <c r="L520" i="1" s="1"/>
  <c r="J384" i="1"/>
  <c r="J515" i="1" s="1"/>
  <c r="K300" i="1"/>
  <c r="K413" i="1" s="1"/>
  <c r="J385" i="1"/>
  <c r="J516" i="1" s="1"/>
  <c r="J124" i="1"/>
  <c r="K319" i="1"/>
  <c r="K474" i="1" s="1"/>
  <c r="J398" i="1"/>
  <c r="J439" i="1" s="1"/>
  <c r="J382" i="1"/>
  <c r="J513" i="1" s="1"/>
  <c r="L300" i="1"/>
  <c r="L413" i="1" s="1"/>
  <c r="J315" i="1"/>
  <c r="J420" i="1" s="1"/>
  <c r="L323" i="1"/>
  <c r="L478" i="1" s="1"/>
  <c r="L321" i="1"/>
  <c r="L476" i="1" s="1"/>
  <c r="K324" i="1"/>
  <c r="K479" i="1" s="1"/>
  <c r="L384" i="1"/>
  <c r="L515" i="1" s="1"/>
  <c r="L325" i="1"/>
  <c r="L480" i="1" s="1"/>
  <c r="J786" i="1"/>
  <c r="J787" i="1" s="1"/>
  <c r="K400" i="1"/>
  <c r="K520" i="1" s="1"/>
  <c r="K386" i="1"/>
  <c r="K517" i="1" s="1"/>
  <c r="L742" i="1" a="1"/>
  <c r="L742" i="1" s="1"/>
  <c r="L744" i="1" s="1" a="1"/>
  <c r="L744" i="1" s="1"/>
  <c r="J323" i="1"/>
  <c r="J478" i="1" s="1"/>
  <c r="K122" i="1"/>
  <c r="K383" i="1"/>
  <c r="K514" i="1" s="1"/>
  <c r="J386" i="1"/>
  <c r="J517" i="1" s="1"/>
  <c r="J321" i="1"/>
  <c r="J476" i="1" s="1"/>
  <c r="L315" i="1"/>
  <c r="L420" i="1" s="1"/>
  <c r="J324" i="1"/>
  <c r="J479" i="1" s="1"/>
  <c r="K399" i="1"/>
  <c r="K519" i="1" s="1"/>
  <c r="L241" i="1"/>
  <c r="L316" i="1" s="1"/>
  <c r="L471" i="1" s="1"/>
  <c r="L317" i="1"/>
  <c r="L472" i="1" s="1"/>
  <c r="K363" i="1"/>
  <c r="K504" i="1" s="1"/>
  <c r="L383" i="1"/>
  <c r="L514" i="1" s="1"/>
  <c r="L283" i="1"/>
  <c r="L382" i="1" s="1"/>
  <c r="L513" i="1" s="1"/>
  <c r="K726" i="1" a="1"/>
  <c r="K726" i="1" s="1"/>
  <c r="K728" i="1" s="1" a="1"/>
  <c r="K728" i="1" s="1"/>
  <c r="K742" i="1" a="1"/>
  <c r="K742" i="1" s="1"/>
  <c r="K744" i="1" s="1" a="1"/>
  <c r="K744" i="1" s="1"/>
  <c r="K241" i="1"/>
  <c r="K316" i="1" s="1"/>
  <c r="K471" i="1" s="1"/>
  <c r="K317" i="1"/>
  <c r="K472" i="1" s="1"/>
  <c r="J361" i="1"/>
  <c r="J428" i="1" s="1"/>
  <c r="L274" i="1"/>
  <c r="L363" i="1" s="1"/>
  <c r="L504" i="1" s="1"/>
  <c r="L364" i="1"/>
  <c r="K364" i="1"/>
  <c r="K362" i="1"/>
  <c r="K429" i="1" s="1"/>
  <c r="K198" i="1"/>
  <c r="K361" i="1" s="1"/>
  <c r="K428" i="1" s="1"/>
  <c r="J274" i="1"/>
  <c r="J363" i="1" s="1"/>
  <c r="J504" i="1" s="1"/>
  <c r="J364" i="1"/>
  <c r="K325" i="1"/>
  <c r="K480" i="1" s="1"/>
  <c r="K123" i="1"/>
  <c r="J316" i="1"/>
  <c r="J471" i="1" s="1"/>
  <c r="K321" i="1"/>
  <c r="K476" i="1" s="1"/>
  <c r="J322" i="1"/>
  <c r="J477" i="1" s="1"/>
  <c r="J317" i="1"/>
  <c r="J472" i="1" s="1"/>
  <c r="J318" i="1"/>
  <c r="J473" i="1" s="1"/>
  <c r="L322" i="1"/>
  <c r="L477" i="1" s="1"/>
  <c r="J726" i="1" a="1"/>
  <c r="J726" i="1" s="1"/>
  <c r="J728" i="1" s="1" a="1"/>
  <c r="J728" i="1" s="1"/>
  <c r="L120" i="1"/>
  <c r="L318" i="1"/>
  <c r="L473" i="1" s="1"/>
  <c r="L124" i="1"/>
  <c r="L320" i="1"/>
  <c r="L475" i="1" s="1"/>
  <c r="J362" i="1"/>
  <c r="J429" i="1" s="1"/>
  <c r="L398" i="1"/>
  <c r="L439" i="1" s="1"/>
  <c r="L362" i="1"/>
  <c r="L429" i="1" s="1"/>
  <c r="J383" i="1"/>
  <c r="J514" i="1" s="1"/>
  <c r="L380" i="1"/>
  <c r="L437" i="1" s="1"/>
  <c r="L726" i="1" a="1"/>
  <c r="L726" i="1" s="1"/>
  <c r="L728" i="1" s="1" a="1"/>
  <c r="L728" i="1" s="1"/>
  <c r="L386" i="1"/>
  <c r="L517" i="1" s="1"/>
  <c r="K315" i="1"/>
  <c r="K420" i="1" s="1"/>
  <c r="L324" i="1"/>
  <c r="L479" i="1" s="1"/>
  <c r="J300" i="1"/>
  <c r="J413" i="1" s="1"/>
  <c r="J399" i="1"/>
  <c r="J519" i="1" s="1"/>
  <c r="L314" i="1"/>
  <c r="L419" i="1" s="1"/>
  <c r="J925" i="1"/>
  <c r="J924" i="1" s="1"/>
  <c r="L925" i="1"/>
  <c r="L924" i="1" s="1"/>
  <c r="J899" i="1"/>
  <c r="J902" i="1"/>
  <c r="L899" i="1"/>
  <c r="L902" i="1"/>
  <c r="K903" i="1"/>
  <c r="K925" i="1"/>
  <c r="K924" i="1" s="1"/>
  <c r="K902" i="1"/>
  <c r="L319" i="1"/>
  <c r="L474" i="1" s="1"/>
  <c r="K322" i="1"/>
  <c r="K477" i="1" s="1"/>
  <c r="J325" i="1"/>
  <c r="J480" i="1" s="1"/>
  <c r="J129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296" i="1" l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55" i="1" s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653" i="1" l="1"/>
  <c r="L1603" i="1"/>
  <c r="L1556" i="1"/>
  <c r="L1512" i="1"/>
  <c r="L1161" i="1"/>
  <c r="L1511" i="1"/>
  <c r="L1510" i="1" s="1"/>
  <c r="L1509" i="1" s="1"/>
  <c r="L1554" i="1"/>
  <c r="L1553" i="1" s="1"/>
  <c r="L1652" i="1"/>
  <c r="L1651" i="1" s="1"/>
  <c r="L1650" i="1" s="1"/>
  <c r="L1160" i="1"/>
  <c r="L1159" i="1" s="1"/>
  <c r="L1158" i="1" s="1"/>
  <c r="L1602" i="1"/>
  <c r="L1601" i="1" s="1"/>
  <c r="L1600" i="1" s="1"/>
  <c r="L1014" i="1"/>
  <c r="L1011" i="1" s="1"/>
  <c r="L1004" i="1"/>
  <c r="L1001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9" i="1" s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183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3" i="1"/>
  <c r="L49" i="1"/>
  <c r="L1570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003" i="1" l="1"/>
  <c r="L1414" i="1"/>
  <c r="L1617" i="1"/>
  <c r="L1428" i="1"/>
  <c r="L1562" i="1"/>
  <c r="L1658" i="1"/>
  <c r="L1659" i="1" s="1"/>
  <c r="L1609" i="1"/>
  <c r="L1618" i="1"/>
  <c r="L1571" i="1"/>
  <c r="L1345" i="1"/>
  <c r="L1207" i="1"/>
  <c r="L1429" i="1"/>
  <c r="L1344" i="1"/>
  <c r="L1331" i="1"/>
  <c r="L1184" i="1"/>
  <c r="L1415" i="1"/>
  <c r="L1610" i="1"/>
  <c r="L1563" i="1"/>
  <c r="L1330" i="1"/>
  <c r="L1206" i="1"/>
  <c r="L375" i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1561" i="1" l="1"/>
  <c r="L1560" i="1" s="1"/>
  <c r="L1182" i="1"/>
  <c r="L425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F1618" i="1"/>
  <c r="I1571" i="1"/>
  <c r="G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63" i="1" l="1"/>
  <c r="F1556" i="1"/>
  <c r="G1603" i="1"/>
  <c r="I1556" i="1"/>
  <c r="G1563" i="1"/>
  <c r="H1603" i="1"/>
  <c r="F1563" i="1"/>
  <c r="I1603" i="1"/>
  <c r="H1610" i="1"/>
  <c r="I1563" i="1"/>
  <c r="F1610" i="1"/>
  <c r="G1556" i="1"/>
  <c r="I1610" i="1"/>
  <c r="H1556" i="1"/>
  <c r="F160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F1512" i="1"/>
  <c r="H1429" i="1"/>
  <c r="H1512" i="1"/>
  <c r="I1512" i="1"/>
  <c r="I1415" i="1"/>
  <c r="I1429" i="1"/>
  <c r="G1512" i="1"/>
  <c r="F1415" i="1"/>
  <c r="H1415" i="1"/>
  <c r="G1415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F1331" i="1"/>
  <c r="I1331" i="1"/>
  <c r="H1345" i="1"/>
  <c r="G1331" i="1"/>
  <c r="I1345" i="1"/>
  <c r="F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G1184" i="1"/>
  <c r="G1207" i="1"/>
  <c r="I1184" i="1"/>
  <c r="F1207" i="1"/>
  <c r="H1184" i="1"/>
  <c r="F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H1570" i="1" l="1"/>
  <c r="H1617" i="1"/>
  <c r="H1428" i="1"/>
  <c r="H1427" i="1" s="1"/>
  <c r="H1426" i="1" s="1"/>
  <c r="H1344" i="1"/>
  <c r="H1343" i="1" s="1"/>
  <c r="H1342" i="1" s="1"/>
  <c r="H1206" i="1"/>
  <c r="H1205" i="1" s="1"/>
  <c r="H1204" i="1" s="1"/>
  <c r="F1617" i="1"/>
  <c r="F1616" i="1" s="1"/>
  <c r="F1615" i="1" s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H1569" i="1"/>
  <c r="H1568" i="1" s="1"/>
  <c r="H1616" i="1"/>
  <c r="H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206" i="1" s="1"/>
  <c r="J49" i="1"/>
  <c r="J1617" i="1" s="1"/>
  <c r="J1428" i="1" l="1"/>
  <c r="J1206" i="1"/>
  <c r="J1344" i="1"/>
  <c r="K1207" i="1"/>
  <c r="K1571" i="1"/>
  <c r="K1345" i="1"/>
  <c r="K1429" i="1"/>
  <c r="K1618" i="1"/>
  <c r="K1428" i="1"/>
  <c r="K1617" i="1"/>
  <c r="K1344" i="1"/>
  <c r="K1570" i="1"/>
  <c r="J1429" i="1"/>
  <c r="J1618" i="1"/>
  <c r="J1571" i="1"/>
  <c r="J1345" i="1"/>
  <c r="J1207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F1652" i="1"/>
  <c r="F1602" i="1"/>
  <c r="F1555" i="1"/>
  <c r="F1511" i="1"/>
  <c r="F1160" i="1"/>
  <c r="F1159" i="1" s="1"/>
  <c r="F1158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H1159" i="1" s="1"/>
  <c r="H1158" i="1" s="1"/>
  <c r="F1658" i="1"/>
  <c r="F1659" i="1" s="1"/>
  <c r="F1609" i="1"/>
  <c r="F1562" i="1"/>
  <c r="F1414" i="1"/>
  <c r="F1330" i="1"/>
  <c r="F1329" i="1" s="1"/>
  <c r="F1328" i="1" s="1"/>
  <c r="F1183" i="1"/>
  <c r="G1658" i="1"/>
  <c r="G1659" i="1" s="1"/>
  <c r="G1562" i="1"/>
  <c r="G1609" i="1"/>
  <c r="G1414" i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G1651" i="1"/>
  <c r="G1554" i="1"/>
  <c r="G1553" i="1" s="1"/>
  <c r="G1601" i="1"/>
  <c r="G1600" i="1" s="1"/>
  <c r="G1510" i="1"/>
  <c r="G1509" i="1" s="1"/>
  <c r="G1159" i="1"/>
  <c r="G1158" i="1" s="1"/>
  <c r="I1561" i="1"/>
  <c r="I1560" i="1" s="1"/>
  <c r="F1651" i="1"/>
  <c r="F1601" i="1"/>
  <c r="F1600" i="1" s="1"/>
  <c r="F1554" i="1"/>
  <c r="F1553" i="1" s="1"/>
  <c r="F1510" i="1"/>
  <c r="F1509" i="1" s="1"/>
  <c r="F1182" i="1"/>
  <c r="F1181" i="1" s="1"/>
  <c r="G1561" i="1"/>
  <c r="G1560" i="1" s="1"/>
  <c r="G1608" i="1"/>
  <c r="G1607" i="1" s="1"/>
  <c r="G1413" i="1"/>
  <c r="G1412" i="1" s="1"/>
  <c r="F1561" i="1"/>
  <c r="F1560" i="1" s="1"/>
  <c r="F1413" i="1"/>
  <c r="F1412" i="1" s="1"/>
  <c r="F1608" i="1"/>
  <c r="F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J1609" i="1"/>
  <c r="K1330" i="1"/>
  <c r="J1658" i="1"/>
  <c r="J1659" i="1" s="1"/>
  <c r="K1562" i="1"/>
  <c r="K1160" i="1"/>
  <c r="K1511" i="1"/>
  <c r="K1602" i="1"/>
  <c r="K1555" i="1"/>
  <c r="K1183" i="1"/>
  <c r="K1414" i="1"/>
  <c r="K1609" i="1"/>
  <c r="J1512" i="1"/>
  <c r="J1161" i="1"/>
  <c r="J1653" i="1"/>
  <c r="J1603" i="1"/>
  <c r="J1556" i="1"/>
  <c r="J1160" i="1"/>
  <c r="J1511" i="1"/>
  <c r="J1602" i="1"/>
  <c r="K1415" i="1"/>
  <c r="K1610" i="1"/>
  <c r="K1563" i="1"/>
  <c r="K1184" i="1"/>
  <c r="K1331" i="1"/>
  <c r="J1555" i="1"/>
  <c r="J1610" i="1"/>
  <c r="J1563" i="1"/>
  <c r="J1184" i="1"/>
  <c r="J1415" i="1"/>
  <c r="J1331" i="1"/>
  <c r="K1653" i="1"/>
  <c r="K1603" i="1"/>
  <c r="K1556" i="1"/>
  <c r="K1161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<sst xmlns="http://schemas.openxmlformats.org/spreadsheetml/2006/main" count="5204" uniqueCount="2482">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</sst>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2035.xlsx" TargetMode="External"/><Relationship Id="rId2" Type="http://schemas.openxmlformats.org/officeDocument/2006/relationships/externalLinkPath" Target="file:///J:\WP07%20integrated%20modelling\STEM_Results\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SOC_Mid_2035.xlsx" TargetMode="External"/><Relationship Id="rId2" Type="http://schemas.openxmlformats.org/officeDocument/2006/relationships/externalLinkPath" Target="file:///J:\WP07%20integrated%20modelling\STEM_Results\SPS3_USERS_BSM_SOC_Mid_2035.xlsx" TargetMode="External"/><Relationship Id="rId1" Type="http://schemas.openxmlformats.org/officeDocument/2006/relationships/externalLinkPath" Target="/WP07%20integrated%20modelling/STEM_Results/SPS3_USERS_BSM_SOC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</row>
        <row r="22">
          <cell r="A22" t="str">
            <v>RNWMNR2</v>
          </cell>
          <cell r="C22" t="str">
            <v>MNR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</row>
        <row r="24">
          <cell r="A24" t="str">
            <v>RNWMNR3</v>
          </cell>
          <cell r="C24" t="str">
            <v>MNR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4.5592267983687418E-4</v>
          </cell>
          <cell r="J4">
            <v>4.3765157053369603E-4</v>
          </cell>
          <cell r="K4">
            <v>3.8172751331321675E-4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1.1294922527203168E-4</v>
          </cell>
          <cell r="J5">
            <v>1.07397157413663E-4</v>
          </cell>
          <cell r="K5">
            <v>8.3215494976965633E-5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5.864293737165914E-5</v>
          </cell>
          <cell r="J6">
            <v>5.5959406713055545E-5</v>
          </cell>
          <cell r="K6">
            <v>4.6671771374129245E-5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4.5349250956037766E-5</v>
          </cell>
          <cell r="J7">
            <v>4.4728418952124995E-5</v>
          </cell>
          <cell r="K7">
            <v>4.0390728357669958E-5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5.8794611167191332E-5</v>
          </cell>
          <cell r="J8">
            <v>5.6088170791329513E-5</v>
          </cell>
          <cell r="K8">
            <v>4.6740764070773268E-5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5.9065105432917704E-5</v>
          </cell>
          <cell r="J9">
            <v>5.709075124891528E-5</v>
          </cell>
          <cell r="K9">
            <v>5.5286762668889935E-5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6.2471592523345363E-5</v>
          </cell>
          <cell r="J10">
            <v>6.042018028785256E-5</v>
          </cell>
          <cell r="K10">
            <v>6.2731028744758777E-5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5.8633506740015149E-5</v>
          </cell>
          <cell r="J11">
            <v>5.5950426383112429E-5</v>
          </cell>
          <cell r="K11">
            <v>4.6673453930506897E-5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8.5404514934978529E-3</v>
          </cell>
          <cell r="J12">
            <v>1.0547059164881068E-2</v>
          </cell>
          <cell r="K12">
            <v>2.7089754722456245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8.5404514934978529E-3</v>
          </cell>
          <cell r="J13">
            <v>1.0547059164881068E-2</v>
          </cell>
          <cell r="K13">
            <v>2.7089754722456245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0.109066695103435</v>
          </cell>
          <cell r="J14">
            <v>0.15193748592261899</v>
          </cell>
          <cell r="K14">
            <v>0.51144336586997197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8.6807330008053499E-4</v>
          </cell>
          <cell r="J15">
            <v>1.06564822687763E-3</v>
          </cell>
          <cell r="K15">
            <v>0.31392247041501498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0.22033559096104455</v>
          </cell>
          <cell r="J16">
            <v>0.16277543075605713</v>
          </cell>
          <cell r="K16">
            <v>5.6839076886773907E-2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0.22033559096104455</v>
          </cell>
          <cell r="J17">
            <v>0.16277543075605713</v>
          </cell>
          <cell r="K17">
            <v>5.6839076886773907E-2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1.1884457015835423E-2</v>
          </cell>
          <cell r="J18">
            <v>5.5890761573090027E-3</v>
          </cell>
          <cell r="K18">
            <v>3.8738999077209381E-2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1.9341851501311732E-2</v>
          </cell>
          <cell r="J19">
            <v>6.3302329101935411E-3</v>
          </cell>
          <cell r="K19">
            <v>4.2816788453757811E-2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1.86798583300212</v>
          </cell>
          <cell r="J20">
            <v>0.87850490100342005</v>
          </cell>
          <cell r="K20">
            <v>6.0914934547632402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3.3120316187980794E-2</v>
          </cell>
          <cell r="J21">
            <v>1.5576328031975535E-2</v>
          </cell>
          <cell r="K21">
            <v>0.10800520309863886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6.9058747299375397E-4</v>
          </cell>
          <cell r="J22">
            <v>4.6894305573325697E-7</v>
          </cell>
          <cell r="K22">
            <v>3.72591750250206E-3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2.8258479772388912E-3</v>
          </cell>
          <cell r="J23">
            <v>1.3291595999143002E-3</v>
          </cell>
          <cell r="K23">
            <v>4.4414004568625763E-3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2.1659151723237133E-4</v>
          </cell>
          <cell r="J24">
            <v>2.0132063079020976E-4</v>
          </cell>
          <cell r="K24">
            <v>1.5451109726978375E-4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2.1659151723237133E-4</v>
          </cell>
          <cell r="J25">
            <v>2.0132063079020976E-4</v>
          </cell>
          <cell r="K25">
            <v>1.5451109726978375E-4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5.9296590868456004E-7</v>
          </cell>
          <cell r="J26">
            <v>8.8075478930522197E-7</v>
          </cell>
          <cell r="K26">
            <v>1.3385709006061801E-6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4.2743438190173677E-4</v>
          </cell>
          <cell r="J27">
            <v>4.2581330981428245E-4</v>
          </cell>
          <cell r="K27">
            <v>4.2566625905160471E-4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4.2744557124336335E-2</v>
          </cell>
          <cell r="J28">
            <v>0.15929212594753564</v>
          </cell>
          <cell r="K28">
            <v>0.13709575595677048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4.2744557124336287E-2</v>
          </cell>
          <cell r="J29">
            <v>0.15929212594753553</v>
          </cell>
          <cell r="K29">
            <v>0.13709575595677026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4.7271470649990238E-2</v>
          </cell>
          <cell r="J30">
            <v>0.17615619362333237</v>
          </cell>
          <cell r="K30">
            <v>0.15161000469149163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4.7271470649990238E-2</v>
          </cell>
          <cell r="J31">
            <v>0.17615619362333237</v>
          </cell>
          <cell r="K31">
            <v>0.15161000469149163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8.9845484168935202E-2</v>
          </cell>
          <cell r="J32">
            <v>6.5705324903491194E-2</v>
          </cell>
          <cell r="K32">
            <v>0.14058787950580601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0.15402919615063912</v>
          </cell>
          <cell r="J33">
            <v>0.15570374971088524</v>
          </cell>
          <cell r="K33">
            <v>0.18930605724730676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1.9862203289063893E-2</v>
          </cell>
          <cell r="J34">
            <v>1.5963265990291325E-2</v>
          </cell>
          <cell r="K34">
            <v>49.611432658297609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1.9840134174298286E-2</v>
          </cell>
          <cell r="J35">
            <v>1.5963265990291343E-2</v>
          </cell>
          <cell r="K35">
            <v>49.611432658297609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2.2064886373050298E-2</v>
          </cell>
          <cell r="J36">
            <v>1.7164369690366943E-2</v>
          </cell>
          <cell r="K36">
            <v>50.112561999311161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2.2064886373050298E-2</v>
          </cell>
          <cell r="J37">
            <v>1.7164369690366943E-2</v>
          </cell>
          <cell r="K37">
            <v>50.112561999311161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6.7458476596883002E-5</v>
          </cell>
          <cell r="J38">
            <v>8.9756675544273498E-4</v>
          </cell>
          <cell r="K38">
            <v>3.0821029711858201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4.5498564815939103E-3</v>
          </cell>
          <cell r="J39">
            <v>1.742682807635705E-3</v>
          </cell>
          <cell r="K39">
            <v>3.0827744327591726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3.5566145987642449E-4</v>
          </cell>
          <cell r="J40">
            <v>3.1744842898270262E-4</v>
          </cell>
          <cell r="K40">
            <v>1.9952772559490357E-4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9.0421059076704487E-5</v>
          </cell>
          <cell r="J41">
            <v>8.0308295281198883E-5</v>
          </cell>
          <cell r="K41">
            <v>4.6920500062952904E-5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4.3806272150498237E-5</v>
          </cell>
          <cell r="J42">
            <v>3.8645073398433544E-5</v>
          </cell>
          <cell r="K42">
            <v>2.3741558369690493E-5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3.5231005983587522E-5</v>
          </cell>
          <cell r="J43">
            <v>3.223985702146569E-5</v>
          </cell>
          <cell r="K43">
            <v>2.145761998961308E-5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4.3908633863585108E-5</v>
          </cell>
          <cell r="J44">
            <v>3.8719949840534459E-5</v>
          </cell>
          <cell r="K44">
            <v>2.3769291101388172E-5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4.8129251385368637E-5</v>
          </cell>
          <cell r="J45">
            <v>4.3549000190969818E-5</v>
          </cell>
          <cell r="K45">
            <v>2.912957708956587E-5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5.0349527762709242E-5</v>
          </cell>
          <cell r="J46">
            <v>4.533036246774921E-5</v>
          </cell>
          <cell r="K46">
            <v>3.0751076973213404E-5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4.3799282388129412E-5</v>
          </cell>
          <cell r="J47">
            <v>3.8638900937944818E-5</v>
          </cell>
          <cell r="K47">
            <v>2.3740796612661533E-5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0.2512253879265639</v>
          </cell>
          <cell r="K48">
            <v>0.23053393197025265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0.25376301810764007</v>
          </cell>
          <cell r="K49">
            <v>0.23286255754570989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2.0880124327052298E-6</v>
          </cell>
          <cell r="J50">
            <v>3.6486098686003499E-2</v>
          </cell>
          <cell r="K50">
            <v>2.65935808620627E-6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2.7885962534225701E-6</v>
          </cell>
          <cell r="J51">
            <v>3.6488887282256903E-2</v>
          </cell>
          <cell r="K51">
            <v>3.6491546640343098E-2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6.7267916263121896E-2</v>
          </cell>
          <cell r="J52">
            <v>0.71870444332023753</v>
          </cell>
          <cell r="K52">
            <v>0.54091893563072035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6.726791626312173E-2</v>
          </cell>
          <cell r="J53">
            <v>0.71870444332023642</v>
          </cell>
          <cell r="K53">
            <v>0.54091893563071991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7.4390990210083011E-2</v>
          </cell>
          <cell r="J54">
            <v>0.7947905820570933</v>
          </cell>
          <cell r="K54">
            <v>0.59818384754260345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7.4390990210083011E-2</v>
          </cell>
          <cell r="J55">
            <v>0.7947905820570933</v>
          </cell>
          <cell r="K55">
            <v>0.59818384754260345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0.20980569061604201</v>
          </cell>
          <cell r="J56">
            <v>0.20351644690962201</v>
          </cell>
          <cell r="K56">
            <v>0.62261470057144097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0.24621806057945902</v>
          </cell>
          <cell r="J57">
            <v>0.41351152095832122</v>
          </cell>
          <cell r="K57">
            <v>0.76149753805186582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9.2467458159889233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2373.8902836972802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-2373.8902836972802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2513.4492517889498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27.084582454622367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0.34495556744675399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0.34495556744675399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0.30071737329839698</v>
          </cell>
          <cell r="J65">
            <v>0.3230226351324007</v>
          </cell>
          <cell r="K65">
            <v>0.33960012886017332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8.3237433150604563</v>
          </cell>
          <cell r="J66">
            <v>8.8412386809716228</v>
          </cell>
          <cell r="K66">
            <v>7.4255849957101923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3.9144014288086812</v>
          </cell>
          <cell r="J67">
            <v>4.1888167572764221</v>
          </cell>
          <cell r="K67">
            <v>3.6297671369457638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0.67434166555389252</v>
          </cell>
          <cell r="J68">
            <v>0.48444347296151324</v>
          </cell>
          <cell r="K68">
            <v>1.1489079779196454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0.50439273607509871</v>
          </cell>
          <cell r="J69">
            <v>0.57244439511328515</v>
          </cell>
          <cell r="K69">
            <v>0.61163229290560273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15.017953210069852</v>
          </cell>
          <cell r="J70">
            <v>15.718177102861768</v>
          </cell>
          <cell r="K70">
            <v>14.245450928424422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9.0354741028045596E-2</v>
          </cell>
          <cell r="J71">
            <v>5.8760928820229499E-2</v>
          </cell>
          <cell r="K71">
            <v>1.27381478971929E-7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0.87218748957169101</v>
          </cell>
          <cell r="J72">
            <v>0.93094841839192</v>
          </cell>
          <cell r="K72">
            <v>0.93094854577339903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5.1557518035585384E-3</v>
          </cell>
          <cell r="J73">
            <v>3.2405390942841818E-3</v>
          </cell>
          <cell r="K73">
            <v>1.2544383347139782E-3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5.1510174125543647E-3</v>
          </cell>
          <cell r="J74">
            <v>3.2405390942841974E-3</v>
          </cell>
          <cell r="K74">
            <v>1.2544383347139793E-3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6.2457471220935907E-3</v>
          </cell>
          <cell r="J75">
            <v>3.814223436173797E-3</v>
          </cell>
          <cell r="K75">
            <v>1.3956517734980245E-3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6.2457471220935907E-3</v>
          </cell>
          <cell r="J76">
            <v>3.814223436173797E-3</v>
          </cell>
          <cell r="K76">
            <v>1.3956517734980245E-3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1.6118434411249E-3</v>
          </cell>
          <cell r="J77">
            <v>1.65919967526191E-4</v>
          </cell>
          <cell r="K77">
            <v>2.1997646959234901E-4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2.1692858643205283E-3</v>
          </cell>
          <cell r="J78">
            <v>1.7796409823642939E-3</v>
          </cell>
          <cell r="K78">
            <v>1.0120897055417781E-3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3.4445241044174764E-3</v>
          </cell>
          <cell r="J79">
            <v>5.1473527581506872E-3</v>
          </cell>
          <cell r="K79">
            <v>2.3492003293585856E-3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1.30287276371071E-3</v>
          </cell>
          <cell r="J80">
            <v>1.988918880787411E-3</v>
          </cell>
          <cell r="K80">
            <v>9.4523189162223149E-4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0.41108661143582514</v>
          </cell>
          <cell r="J81">
            <v>0.64080881746048191</v>
          </cell>
          <cell r="K81">
            <v>0.4204179157405879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6.8424392148507806E-5</v>
          </cell>
          <cell r="J82">
            <v>7.5623435323240703E-5</v>
          </cell>
          <cell r="K82">
            <v>1.6208885872555699E-7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1.1615272286671536E-4</v>
          </cell>
          <cell r="J83">
            <v>1.7660540817822517E-4</v>
          </cell>
          <cell r="K83">
            <v>8.3933019800760421E-5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3.2816316256354506E-4</v>
          </cell>
          <cell r="J84">
            <v>5.6609530104344958E-6</v>
          </cell>
          <cell r="K84">
            <v>1.6809361199672176E-4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3.0420725169640599E-2</v>
          </cell>
          <cell r="J85">
            <v>5.2477034406727796E-4</v>
          </cell>
          <cell r="K85">
            <v>1.5582277832096101E-2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3.2816316256354506E-4</v>
          </cell>
          <cell r="J86">
            <v>5.6609530104344958E-6</v>
          </cell>
          <cell r="K86">
            <v>1.6809361199672176E-4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3.1399980858879055E-3</v>
          </cell>
          <cell r="J87">
            <v>7.173644170228196E-3</v>
          </cell>
          <cell r="K87">
            <v>3.0297513391863689E-3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3.1371147083985714E-3</v>
          </cell>
          <cell r="J88">
            <v>7.1736441702282255E-3</v>
          </cell>
          <cell r="K88">
            <v>3.0297513391863715E-3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3.8024092825000994E-3</v>
          </cell>
          <cell r="J89">
            <v>8.4414058784662172E-3</v>
          </cell>
          <cell r="K89">
            <v>3.3682232302372807E-3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3.8024092825000994E-3</v>
          </cell>
          <cell r="J90">
            <v>8.4414058784662172E-3</v>
          </cell>
          <cell r="K90">
            <v>3.3682232302372807E-3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2.75994840669453E-3</v>
          </cell>
          <cell r="J91">
            <v>1.9964602716261701E-4</v>
          </cell>
          <cell r="K91">
            <v>3.6063281536104599E-4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3.389336444573828E-3</v>
          </cell>
          <cell r="J92">
            <v>2.9809668305921383E-3</v>
          </cell>
          <cell r="K92">
            <v>1.6568870617135211E-3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218.80028184783285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-218.80028184783299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2.3974052716612513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1.1464847965378399E-3</v>
          </cell>
          <cell r="K96">
            <v>246.78310434072301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2.0327744619465304E-5</v>
          </cell>
          <cell r="K97">
            <v>4.3755869563957921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4.6047023227875901E-7</v>
          </cell>
          <cell r="K98">
            <v>0.10803487664423829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9.5634631010378093E-7</v>
          </cell>
          <cell r="K99">
            <v>0.145998986574877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4.6047023227875901E-7</v>
          </cell>
          <cell r="K100">
            <v>0.10803487664423819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1.2341839800229155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1887.6615421861595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-1887.66154218616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10.934870063003038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2120.9680249282701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22.855258889313252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6.7430510013894898E-2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6.7430510013894898E-2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I109">
            <v>6.0321346113231998E-2</v>
          </cell>
          <cell r="J109">
            <v>5.9475288119144799E-2</v>
          </cell>
          <cell r="K109">
            <v>4.6710764068157898E-2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I110">
            <v>5.0128749863957147E-4</v>
          </cell>
          <cell r="J110">
            <v>4.9183110600654477E-4</v>
          </cell>
          <cell r="K110">
            <v>3.7269226650125991E-4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I111">
            <v>4.5989678774272625E-4</v>
          </cell>
          <cell r="J111">
            <v>4.6399160944013694E-4</v>
          </cell>
          <cell r="K111">
            <v>3.7269226650125991E-4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I112">
            <v>1.0695274133551771E-3</v>
          </cell>
          <cell r="J112">
            <v>1.0545263850912196E-3</v>
          </cell>
          <cell r="K112">
            <v>8.2820503666946634E-4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I113">
            <v>2.9033190883524402E-5</v>
          </cell>
          <cell r="J113">
            <v>3.2109455452925602E-7</v>
          </cell>
          <cell r="K113">
            <v>6.29942087108366E-6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I114">
            <v>4.0818692645098898E-5</v>
          </cell>
          <cell r="J114">
            <v>4.1118748436843108E-5</v>
          </cell>
          <cell r="K114">
            <v>3.2768238178479925E-5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I115">
            <v>200.60968765004699</v>
          </cell>
          <cell r="J115">
            <v>136.79022456876501</v>
          </cell>
          <cell r="K115">
            <v>109.50903959441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I116">
            <v>5.065069092413804</v>
          </cell>
          <cell r="J116">
            <v>4.1138766385385139</v>
          </cell>
          <cell r="K116">
            <v>5.792019869410483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0.12764329490473422</v>
          </cell>
          <cell r="K117">
            <v>0.11939206696363946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I118">
            <v>3.5569093554972921</v>
          </cell>
          <cell r="J118">
            <v>2.4253585916447746</v>
          </cell>
          <cell r="K118">
            <v>1.9416496381987516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I119">
            <v>1.5243456607927202</v>
          </cell>
          <cell r="J119">
            <v>1.7020912735150853</v>
          </cell>
          <cell r="K119">
            <v>3.8692730970669467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0.12763620281859134</v>
          </cell>
          <cell r="K120">
            <v>0.11938556149416843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I121">
            <v>9.8330393590951005E-7</v>
          </cell>
          <cell r="J121">
            <v>1.27372952757528E-6</v>
          </cell>
          <cell r="K121">
            <v>2.2202358817771298E-6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I122">
            <v>1.0275162265199733</v>
          </cell>
          <cell r="J122">
            <v>1.0275175002495009</v>
          </cell>
          <cell r="K122">
            <v>0.72468440725916261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I123">
            <v>268.04771226332201</v>
          </cell>
          <cell r="J123">
            <v>115.816323979448</v>
          </cell>
          <cell r="K123">
            <v>8.0348712667086496E-4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I124">
            <v>4.6064002047825428</v>
          </cell>
          <cell r="J124">
            <v>2.5753429837399895</v>
          </cell>
          <cell r="K124">
            <v>1.0301342981095596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I125">
            <v>3.6370110212119715</v>
          </cell>
          <cell r="J125">
            <v>1.5714562276722994</v>
          </cell>
          <cell r="K125">
            <v>1.0902131976538207E-5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I126">
            <v>1.0476281166295607</v>
          </cell>
          <cell r="J126">
            <v>1.0476285236848197</v>
          </cell>
          <cell r="K126">
            <v>1.047628734273429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I127">
            <v>4.3175148506821399</v>
          </cell>
          <cell r="J127">
            <v>3.514245158306001</v>
          </cell>
          <cell r="K127">
            <v>8.0637965233220507E-5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I128">
            <v>284.98614252581899</v>
          </cell>
          <cell r="J128">
            <v>231.96473114561101</v>
          </cell>
          <cell r="K128">
            <v>5.3226690463649097E-3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I129">
            <v>5.052945789464883</v>
          </cell>
          <cell r="J129">
            <v>4.112849843007286</v>
          </cell>
          <cell r="K129">
            <v>9.437356465186018E-5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I130">
            <v>6.3758119387931095E-5</v>
          </cell>
          <cell r="J130">
            <v>2.7899318715084898E-6</v>
          </cell>
          <cell r="K130">
            <v>2.1293974402020101E-6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I131">
            <v>0.54762834692133655</v>
          </cell>
          <cell r="J131">
            <v>0.44576699155008703</v>
          </cell>
          <cell r="K131">
            <v>1.0784736844270115E-3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I132">
            <v>3.6198738175047827</v>
          </cell>
          <cell r="J132">
            <v>5.4842874424392942</v>
          </cell>
          <cell r="K132">
            <v>4.8573573429950194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I133">
            <v>3.6198738175047827</v>
          </cell>
          <cell r="J133">
            <v>5.4842874424392942</v>
          </cell>
          <cell r="K133">
            <v>4.8573573429950194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I134">
            <v>5.5583167970948899E-3</v>
          </cell>
          <cell r="J134">
            <v>5.5460609504556701E-3</v>
          </cell>
          <cell r="K134">
            <v>5.51726081774796E-3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I135">
            <v>0.69064457803228307</v>
          </cell>
          <cell r="J135">
            <v>0.69064536430773604</v>
          </cell>
          <cell r="K135">
            <v>0.70096982977508482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I136">
            <v>1.2926561742749261</v>
          </cell>
          <cell r="J136">
            <v>1.2826617102593907</v>
          </cell>
          <cell r="K136">
            <v>5.3691905223874332E-5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I137">
            <v>12.466381770815088</v>
          </cell>
          <cell r="J137">
            <v>12.034790995199238</v>
          </cell>
          <cell r="K137">
            <v>4.7571028028352616E-4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I138">
            <v>2561.2920382969701</v>
          </cell>
          <cell r="J138">
            <v>2541.4888287355502</v>
          </cell>
          <cell r="K138">
            <v>0.10638610026989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I139">
            <v>27.600129723027727</v>
          </cell>
          <cell r="J139">
            <v>27.38673306827102</v>
          </cell>
          <cell r="K139">
            <v>1.146401942563472E-3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I140">
            <v>6.3593727096775904E-3</v>
          </cell>
          <cell r="J140">
            <v>1.8907920093343401E-2</v>
          </cell>
          <cell r="K140">
            <v>2.6255004203416799E-8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I141">
            <v>7.0625269159741502E-2</v>
          </cell>
          <cell r="J141">
            <v>7.007905672381172E-2</v>
          </cell>
          <cell r="K141">
            <v>1.9708875323896924E-5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I142">
            <v>0.367870859186333</v>
          </cell>
          <cell r="J142">
            <v>0.22635515624844799</v>
          </cell>
          <cell r="K142">
            <v>0.184527759723006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I143">
            <v>1.770840031180695E-3</v>
          </cell>
          <cell r="J143">
            <v>1.0964903177775663E-3</v>
          </cell>
          <cell r="K143">
            <v>9.1081959388969458E-4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I144">
            <v>4.0121287924494995E-3</v>
          </cell>
          <cell r="J144">
            <v>2.4622940469390979E-3</v>
          </cell>
          <cell r="K144">
            <v>1.9786770487948552E-3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I145">
            <v>6.5225329642966757E-3</v>
          </cell>
          <cell r="J145">
            <v>4.0133892951852513E-3</v>
          </cell>
          <cell r="K145">
            <v>3.2717687894150034E-3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I146">
            <v>7.8586572291976005E-6</v>
          </cell>
          <cell r="J146">
            <v>2.1999298330781201E-7</v>
          </cell>
          <cell r="K146">
            <v>6.3784118332397806E-5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I147">
            <v>1.5737801092637321E-4</v>
          </cell>
          <cell r="J147">
            <v>9.8291290559958199E-5</v>
          </cell>
          <cell r="K147">
            <v>8.0824318434596709E-5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I148">
            <v>1.7883724167029436E-2</v>
          </cell>
          <cell r="J148">
            <v>0.47159809445006495</v>
          </cell>
          <cell r="K148">
            <v>0.27192853554728014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I149">
            <v>4.7572468227566042E-2</v>
          </cell>
          <cell r="J149">
            <v>1.254497394103623</v>
          </cell>
          <cell r="K149">
            <v>0.72335669554448989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I150">
            <v>0.4725809763760298</v>
          </cell>
          <cell r="J150">
            <v>2.3400296906542817</v>
          </cell>
          <cell r="K150">
            <v>1.3598220309242464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I151">
            <v>1.2584444294598E-3</v>
          </cell>
          <cell r="J151">
            <v>3.3687550954968802E-2</v>
          </cell>
          <cell r="K151">
            <v>6.3484977971848002E-8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I152">
            <v>1.3289894925087808E-3</v>
          </cell>
          <cell r="J152">
            <v>3.4994123315403365E-2</v>
          </cell>
          <cell r="K152">
            <v>2.0178028572662002E-2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I153">
            <v>15.390525664623846</v>
          </cell>
          <cell r="J153">
            <v>10.865991672769638</v>
          </cell>
          <cell r="K153">
            <v>9.7106799514707429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I154">
            <v>15.390525664623846</v>
          </cell>
          <cell r="J154">
            <v>10.865991672769638</v>
          </cell>
          <cell r="K154">
            <v>9.7106799514707429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I155">
            <v>9.4166861625494495E-7</v>
          </cell>
          <cell r="J155">
            <v>1.35063187417586E-6</v>
          </cell>
          <cell r="K155">
            <v>1.96624292110907E-6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I156">
            <v>1.6999950233709997</v>
          </cell>
          <cell r="J156">
            <v>1.1999997674436953</v>
          </cell>
          <cell r="K156">
            <v>1.1999997557729438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/>
          <cell r="K157">
            <v>351.85577461790075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/>
          <cell r="K158">
            <v>-351.85577461790098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/>
          <cell r="K159">
            <v>0.98955469308390687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/>
          <cell r="K160">
            <v>0.29171065882989872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/>
          <cell r="K161">
            <v>485.35297231177901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/>
          <cell r="K162">
            <v>5.2300966843941756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/>
          <cell r="K163">
            <v>2.9119063168153599E-2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/>
          <cell r="K164">
            <v>2.9119063168153599E-2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I165">
            <v>22.335060562277999</v>
          </cell>
          <cell r="J165">
            <v>98.224919218330896</v>
          </cell>
          <cell r="K165">
            <v>127.07258041577199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I166">
            <v>0.18561068945992376</v>
          </cell>
          <cell r="J166">
            <v>0.81227131779130446</v>
          </cell>
          <cell r="K166">
            <v>1.0138769714024358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I167">
            <v>0.17028503620176494</v>
          </cell>
          <cell r="J167">
            <v>0.76629369602953157</v>
          </cell>
          <cell r="K167">
            <v>1.0138769714024358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I168">
            <v>0.39601171209712777</v>
          </cell>
          <cell r="J168">
            <v>1.7415765818852993</v>
          </cell>
          <cell r="K168">
            <v>2.253059936449858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I169">
            <v>2.1139625529979899E-2</v>
          </cell>
          <cell r="J169">
            <v>4.6914681811560797E-2</v>
          </cell>
          <cell r="K169">
            <v>2.6348427863242499E-2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I170">
            <v>2.1202215115676534E-2</v>
          </cell>
          <cell r="J170">
            <v>6.8116825146910129E-2</v>
          </cell>
          <cell r="K170">
            <v>9.0124536533003716E-2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I171">
            <v>1.7569179540187826E-3</v>
          </cell>
          <cell r="J171">
            <v>1.8101682882002714E-3</v>
          </cell>
          <cell r="K171">
            <v>1.892081478295808E-3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I172">
            <v>1.7569179540187826E-3</v>
          </cell>
          <cell r="J172">
            <v>1.8101682882002714E-3</v>
          </cell>
          <cell r="K172">
            <v>1.892081478295808E-3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I173">
            <v>4.6097060620988003E-8</v>
          </cell>
          <cell r="J173">
            <v>3.0027997203998699E-8</v>
          </cell>
          <cell r="K173">
            <v>2.86143741807808E-8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I174">
            <v>1.6099942167745201E-4</v>
          </cell>
          <cell r="J174">
            <v>1.61029449674656E-4</v>
          </cell>
          <cell r="K174">
            <v>1.6105806404883701E-4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I175">
            <v>0.15482503277852663</v>
          </cell>
          <cell r="J175">
            <v>0.16816015161571327</v>
          </cell>
          <cell r="K175">
            <v>0.19689273327407245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I176">
            <v>7.7412516389263306</v>
          </cell>
          <cell r="J176">
            <v>8.4080075807856662</v>
          </cell>
          <cell r="K176">
            <v>9.8446366637036178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I177">
            <v>13.310529246588187</v>
          </cell>
          <cell r="J177">
            <v>14.456968463190888</v>
          </cell>
          <cell r="K177">
            <v>16.927149554905238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I178">
            <v>0.15825953378026</v>
          </cell>
          <cell r="J178">
            <v>5.6598416855664101E-2</v>
          </cell>
          <cell r="K178">
            <v>0.16594749639930001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I179">
            <v>0.29244750898900612</v>
          </cell>
          <cell r="J179">
            <v>0.31763584355681451</v>
          </cell>
          <cell r="K179">
            <v>0.37190851017277471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K180">
            <v>3.4781198441496879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K181">
            <v>-3.4781198441496901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/>
          <cell r="K182">
            <v>2.2450211759990815E-2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/>
          <cell r="K183">
            <v>2.4813391945253081E-2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1.63432164687087E-3</v>
          </cell>
          <cell r="K184">
            <v>3.91269630621967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2.8977334164377071E-5</v>
          </cell>
          <cell r="K185">
            <v>6.9374047982618356E-2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/>
          <cell r="K186">
            <v>1.42624480174558E-3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/>
          <cell r="K187">
            <v>1.42624480174558E-3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I188">
            <v>11.326542279307608</v>
          </cell>
          <cell r="J188">
            <v>12.578861422725801</v>
          </cell>
          <cell r="K188">
            <v>13.894973160832535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I189">
            <v>11.326542279307608</v>
          </cell>
          <cell r="J189">
            <v>12.578861422725801</v>
          </cell>
          <cell r="K189">
            <v>13.894973160832535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I190">
            <v>11.326542279307599</v>
          </cell>
          <cell r="J190">
            <v>12.578861422725801</v>
          </cell>
          <cell r="K190">
            <v>13.8949731608325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I191">
            <v>0.63656554825618605</v>
          </cell>
          <cell r="J191">
            <v>0.76845745790040998</v>
          </cell>
          <cell r="K191">
            <v>2.7298047377922199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I192">
            <v>3.265112374218599</v>
          </cell>
          <cell r="J192">
            <v>3.6261195343162691</v>
          </cell>
          <cell r="K192">
            <v>4.0055160596789303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I193">
            <v>11.131926487954576</v>
          </cell>
          <cell r="J193">
            <v>12.207975057702672</v>
          </cell>
          <cell r="K193">
            <v>10.458129193484416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I194">
            <v>12.07799140568854</v>
          </cell>
          <cell r="J194">
            <v>13.236807566007649</v>
          </cell>
          <cell r="K194">
            <v>11.324646511772217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I195">
            <v>1.2419270127229701E-7</v>
          </cell>
          <cell r="J195">
            <v>1.27895280088388E-7</v>
          </cell>
          <cell r="K195">
            <v>1.02314970040874E-7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I196">
            <v>0.84970056037502295</v>
          </cell>
          <cell r="J196">
            <v>0.84970068827030298</v>
          </cell>
          <cell r="K196">
            <v>0.84970079058527304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I197">
            <v>0.47281115872324209</v>
          </cell>
          <cell r="J197">
            <v>1.5537944468189553</v>
          </cell>
          <cell r="K197">
            <v>6.5255243547425135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I198">
            <v>0.47281115872324209</v>
          </cell>
          <cell r="J198">
            <v>1.5537944468189553</v>
          </cell>
          <cell r="K198">
            <v>6.5255243547425135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I199">
            <v>6.7616118719447496E-7</v>
          </cell>
          <cell r="J199">
            <v>6.3583791804779397E-2</v>
          </cell>
          <cell r="K199">
            <v>0.32113531287120101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I200">
            <v>2.78981160630952E-2</v>
          </cell>
          <cell r="J200">
            <v>9.1481907867874607E-2</v>
          </cell>
          <cell r="K200">
            <v>0.41261722073907497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I201">
            <v>5.6644867792204123E-2</v>
          </cell>
          <cell r="J201">
            <v>6.3214630438246142E-2</v>
          </cell>
          <cell r="K201">
            <v>6.0427800556038885E-2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I202">
            <v>5.6644867792204123E-2</v>
          </cell>
          <cell r="J202">
            <v>6.3214630438246142E-2</v>
          </cell>
          <cell r="K202">
            <v>6.0427800556038885E-2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I203">
            <v>3.9448315852803504E-3</v>
          </cell>
          <cell r="J203"/>
          <cell r="K203">
            <v>1.01213243019486E-8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I204">
            <v>5.0209918367442197E-3</v>
          </cell>
          <cell r="J204">
            <v>5.0209918367442197E-3</v>
          </cell>
          <cell r="K204">
            <v>5.0210019580685201E-3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I205">
            <v>8.1038824282188244</v>
          </cell>
          <cell r="J205">
            <v>7.5989154547445104</v>
          </cell>
          <cell r="K205">
            <v>2.221325363547705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I206">
            <v>3.8309262387943472</v>
          </cell>
          <cell r="J206">
            <v>3.5922145786064852</v>
          </cell>
          <cell r="K206">
            <v>1.0500810809498233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I207">
            <v>11.430189494840446</v>
          </cell>
          <cell r="J207">
            <v>10.705441105350131</v>
          </cell>
          <cell r="K207">
            <v>3.2625693472419779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I208">
            <v>6.05809927254643E-2</v>
          </cell>
          <cell r="J208">
            <v>7.2959609830884606E-2</v>
          </cell>
          <cell r="K208">
            <v>8.6531388163499594E-8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I209">
            <v>0.17083275806108275</v>
          </cell>
          <cell r="J209">
            <v>0.18559023437046732</v>
          </cell>
          <cell r="K209">
            <v>7.8558513078354514E-2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I210">
            <v>2.5419442469495897E-3</v>
          </cell>
          <cell r="J210">
            <v>2.6137731319124261E-3</v>
          </cell>
          <cell r="K210">
            <v>2.6186273857220456E-3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I211">
            <v>2.5419442469495897E-3</v>
          </cell>
          <cell r="J211">
            <v>2.6137731319124261E-3</v>
          </cell>
          <cell r="K211">
            <v>2.6186273857220456E-3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I212">
            <v>8.1568291353455893E-8</v>
          </cell>
          <cell r="J212">
            <v>1.01925686016803E-7</v>
          </cell>
          <cell r="K212">
            <v>1.2794002301869399E-7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I213">
            <v>1.8591541038480601E-4</v>
          </cell>
          <cell r="J213">
            <v>1.85998487606581E-4</v>
          </cell>
          <cell r="K213">
            <v>1.86172726439765E-4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I214">
            <v>7.7257756337373923E-3</v>
          </cell>
          <cell r="J214">
            <v>1.6944378379304986E-2</v>
          </cell>
          <cell r="K214">
            <v>4.7080376901380075E-2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I215">
            <v>7.7343693774901455E-3</v>
          </cell>
          <cell r="J215">
            <v>1.6944378379304965E-2</v>
          </cell>
          <cell r="K215">
            <v>4.7080376901380068E-2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I216">
            <v>8.5849137295807391E-3</v>
          </cell>
          <cell r="J216">
            <v>1.8212712044512889E-2</v>
          </cell>
          <cell r="K216">
            <v>4.7557046176739136E-2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I217">
            <v>8.5849137295807391E-3</v>
          </cell>
          <cell r="J217">
            <v>1.8212712044512889E-2</v>
          </cell>
          <cell r="K217">
            <v>4.7557046176739136E-2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I218">
            <v>1.6993473945808E-3</v>
          </cell>
          <cell r="J218">
            <v>1.1131714813424201E-4</v>
          </cell>
          <cell r="K218">
            <v>2.1326949001252101E-3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I219">
            <v>2.0841076651995976E-3</v>
          </cell>
          <cell r="J219">
            <v>1.8326451061365259E-3</v>
          </cell>
          <cell r="K219">
            <v>2.9223498053656772E-3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I220">
            <v>1.9677180729549764</v>
          </cell>
          <cell r="J220">
            <v>2.0680969397563427</v>
          </cell>
          <cell r="K220">
            <v>2.2844710494144498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I221">
            <v>1.9677180729549764</v>
          </cell>
          <cell r="J221">
            <v>2.0680969397563427</v>
          </cell>
          <cell r="K221">
            <v>2.2844710494144498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I222">
            <v>1.9677180729549799</v>
          </cell>
          <cell r="J222">
            <v>2.06809693975634</v>
          </cell>
          <cell r="K222">
            <v>2.2844710494144498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I223">
            <v>2.7533728093635201E-2</v>
          </cell>
          <cell r="J223">
            <v>2.89385234317877E-2</v>
          </cell>
          <cell r="K223">
            <v>0.607667516494385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I224">
            <v>0.56723626105412694</v>
          </cell>
          <cell r="J224">
            <v>0.596172683285767</v>
          </cell>
          <cell r="K224">
            <v>0.65854663984347395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I225">
            <v>2.1614834992090596E-3</v>
          </cell>
          <cell r="J225">
            <v>7.6847823555223384E-5</v>
          </cell>
          <cell r="K225">
            <v>3.9156256633424945E-2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I226">
            <v>4.5979795459735358E-3</v>
          </cell>
          <cell r="J226">
            <v>1.625896054834534E-4</v>
          </cell>
          <cell r="K226">
            <v>8.196292834176612E-2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I227">
            <v>0.50055251085303498</v>
          </cell>
          <cell r="J227">
            <v>2.1847091066530998E-2</v>
          </cell>
          <cell r="K227">
            <v>8.7719878536195495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I228">
            <v>8.8750445186708479E-3</v>
          </cell>
          <cell r="J228">
            <v>3.8735977068317449E-4</v>
          </cell>
          <cell r="K228">
            <v>0.15553169953226156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I229">
            <v>1.6388585263547501E-6</v>
          </cell>
          <cell r="J229">
            <v>8.5456945668313503E-7</v>
          </cell>
          <cell r="K229">
            <v>5.1463835567030604E-3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I230">
            <v>3.6471284666030751E-4</v>
          </cell>
          <cell r="J230">
            <v>2.5611022808201545E-5</v>
          </cell>
          <cell r="K230">
            <v>5.1476541669770188E-3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I231">
            <v>12.768564772067041</v>
          </cell>
          <cell r="J231">
            <v>12.930244167505471</v>
          </cell>
          <cell r="K231">
            <v>13.231690532224507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I232">
            <v>12.768564772067041</v>
          </cell>
          <cell r="J232">
            <v>12.930244167505471</v>
          </cell>
          <cell r="K232">
            <v>13.231690532224505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I233">
            <v>15.960704699836814</v>
          </cell>
          <cell r="J233">
            <v>16.162803938926</v>
          </cell>
          <cell r="K233">
            <v>16.539612340299882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I234">
            <v>15.960704699836814</v>
          </cell>
          <cell r="J234">
            <v>16.162803938926</v>
          </cell>
          <cell r="K234">
            <v>16.539612340299882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I235">
            <v>4.3594499999999998</v>
          </cell>
          <cell r="J235">
            <v>4.3594499999999998</v>
          </cell>
          <cell r="K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I236">
            <v>4.9146446400567482E-3</v>
          </cell>
          <cell r="J236">
            <v>3.364133087005677E-3</v>
          </cell>
          <cell r="K236">
            <v>1.2398268660258997E-3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I237">
            <v>4.9101316514065657E-3</v>
          </cell>
          <cell r="J237">
            <v>3.3641330870056857E-3</v>
          </cell>
          <cell r="K237">
            <v>1.2398268660259006E-3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I238">
            <v>5.9534960148124212E-3</v>
          </cell>
          <cell r="J238">
            <v>3.9596281334891952E-3</v>
          </cell>
          <cell r="K238">
            <v>1.3794168178291009E-3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I239">
            <v>5.9534960148124212E-3</v>
          </cell>
          <cell r="J239">
            <v>3.9596281334891952E-3</v>
          </cell>
          <cell r="K239">
            <v>1.3794168178291009E-3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I240">
            <v>1.6471524225682699E-3</v>
          </cell>
          <cell r="J240">
            <v>1.42008372848224E-4</v>
          </cell>
          <cell r="K240">
            <v>2.2221332241953101E-4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I241">
            <v>2.1498389815331541E-3</v>
          </cell>
          <cell r="J241">
            <v>1.7930629520796254E-3</v>
          </cell>
          <cell r="K241">
            <v>1.0119117477178203E-3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I242">
            <v>3.9505121309330304E-4</v>
          </cell>
          <cell r="J242">
            <v>3.2558233942580142E-4</v>
          </cell>
          <cell r="K242">
            <v>10.592691376836589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I243">
            <v>1.8755871814292162E-4</v>
          </cell>
          <cell r="J243">
            <v>1.4636270304462648E-4</v>
          </cell>
          <cell r="K243">
            <v>4.2742438888989804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I244">
            <v>4.1842043978333E-2</v>
          </cell>
          <cell r="J244">
            <v>3.3693291639660901E-2</v>
          </cell>
          <cell r="K244">
            <v>1048.11893623436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I245">
            <v>7.4188021238179096E-4</v>
          </cell>
          <cell r="J245">
            <v>5.9739878793725045E-4</v>
          </cell>
          <cell r="K245">
            <v>18.583669082169475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I246">
            <v>7.7162725609854405E-5</v>
          </cell>
          <cell r="J246">
            <v>9.7743769871090206E-8</v>
          </cell>
          <cell r="K246">
            <v>0.39513492751561502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I247">
            <v>7.7162725609854405E-5</v>
          </cell>
          <cell r="J247">
            <v>7.710336265951369E-5</v>
          </cell>
          <cell r="K247">
            <v>0.39516750056095662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I248">
            <v>4.6337469091291021E-3</v>
          </cell>
          <cell r="J248">
            <v>0.19601968854899435</v>
          </cell>
          <cell r="K248">
            <v>8.4283509928530717E-2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I249">
            <v>4.6285983014522957E-3</v>
          </cell>
          <cell r="J249">
            <v>0.19601968854899451</v>
          </cell>
          <cell r="K249">
            <v>8.4283509928530717E-2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I250">
            <v>5.1522566802307129E-3</v>
          </cell>
          <cell r="J250">
            <v>0.21077745697773589</v>
          </cell>
          <cell r="K250">
            <v>8.5136695240113497E-2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I251">
            <v>5.1522566802307129E-3</v>
          </cell>
          <cell r="J251">
            <v>0.21077745697773589</v>
          </cell>
          <cell r="K251">
            <v>8.5136695240113497E-2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I252">
            <v>2.2513672978698501E-3</v>
          </cell>
          <cell r="J252">
            <v>4.1268395250465002E-2</v>
          </cell>
          <cell r="K252">
            <v>2.8674254874319401E-5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I253">
            <v>4.1377840425641148E-3</v>
          </cell>
          <cell r="J253">
            <v>4.436451781314997E-2</v>
          </cell>
          <cell r="K253">
            <v>3.0828565531770189E-2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I254">
            <v>0.28417905177504799</v>
          </cell>
          <cell r="J254">
            <v>3.12309884773532E-2</v>
          </cell>
          <cell r="K254">
            <v>2.7812775679008001E-2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I255">
            <v>3.7914915933438507E-3</v>
          </cell>
          <cell r="J255">
            <v>4.1668106612389089E-4</v>
          </cell>
          <cell r="K255">
            <v>3.7107557547201396E-4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I256">
            <v>3.8558894406383738E-3</v>
          </cell>
          <cell r="J256">
            <v>4.2375832398036905E-4</v>
          </cell>
          <cell r="K256">
            <v>3.7737823173687978E-4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I257">
            <v>71.394498022563454</v>
          </cell>
          <cell r="J257">
            <v>71.390735847832431</v>
          </cell>
          <cell r="K257">
            <v>65.955098542701151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I258">
            <v>71.394498022563454</v>
          </cell>
          <cell r="J258">
            <v>71.390735847832431</v>
          </cell>
          <cell r="K258">
            <v>65.955098542701151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I259">
            <v>7.3394300010600002</v>
          </cell>
          <cell r="J259">
            <v>7.3394300010600002</v>
          </cell>
          <cell r="K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I260">
            <v>1.7748072849037863E-3</v>
          </cell>
          <cell r="J260">
            <v>2.8790366251981365E-3</v>
          </cell>
          <cell r="K260">
            <v>1.0754741368224402E-3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I261">
            <v>1.7764385415994671E-3</v>
          </cell>
          <cell r="J261">
            <v>2.8790366251981248E-3</v>
          </cell>
          <cell r="K261">
            <v>1.0754741368224389E-3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I262">
            <v>2.1496098348650341E-3</v>
          </cell>
          <cell r="J262">
            <v>3.3889264137200604E-3</v>
          </cell>
          <cell r="K262">
            <v>1.1968028023919095E-3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I263">
            <v>2.1496098348650341E-3</v>
          </cell>
          <cell r="J263">
            <v>3.3889264137200604E-3</v>
          </cell>
          <cell r="K263">
            <v>1.1968028023919095E-3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I264">
            <v>1.7020055502587801E-3</v>
          </cell>
          <cell r="J264">
            <v>1.08220911859336E-4</v>
          </cell>
          <cell r="K264">
            <v>2.2297858435716599E-4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I265">
            <v>2.0981235039241059E-3</v>
          </cell>
          <cell r="J265">
            <v>1.8238445787411288E-3</v>
          </cell>
          <cell r="K265">
            <v>1.0113760728297091E-3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I266">
            <v>1.8829741980456625E-3</v>
          </cell>
          <cell r="J266">
            <v>1.0421772965016518E-3</v>
          </cell>
          <cell r="K266">
            <v>7.4483471326270963E-4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I267">
            <v>49.842527268112029</v>
          </cell>
          <cell r="J267">
            <v>39.165992438008978</v>
          </cell>
          <cell r="K267">
            <v>35.200060759070233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I268">
            <v>1.0553285887689675E-3</v>
          </cell>
          <cell r="J268">
            <v>7.2258788312261704E-4</v>
          </cell>
          <cell r="K268">
            <v>5.743928599998585E-4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I269">
            <v>49.843306250050695</v>
          </cell>
          <cell r="J269">
            <v>17.789882543199127</v>
          </cell>
          <cell r="K269">
            <v>15.885443130691732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I270">
            <v>2.1464770209299478E-3</v>
          </cell>
          <cell r="J270">
            <v>21.377874659989502</v>
          </cell>
          <cell r="K270">
            <v>19.315908952752874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I271">
            <v>4.2308830457898402E-7</v>
          </cell>
          <cell r="J271">
            <v>5.55624039583543E-7</v>
          </cell>
          <cell r="K271">
            <v>1.0483274047003801E-6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I272">
            <v>4.4927386988643354</v>
          </cell>
          <cell r="J272">
            <v>4.4927392875922791</v>
          </cell>
          <cell r="K272">
            <v>4.4927403514139854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I273">
            <v>0.16773656019103605</v>
          </cell>
          <cell r="J273">
            <v>5.7866959938674167</v>
          </cell>
          <cell r="K273">
            <v>5.4521703481618493</v>
          </cell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I274">
            <v>0.16773656019103605</v>
          </cell>
          <cell r="J274">
            <v>5.7866959938674167</v>
          </cell>
          <cell r="K274">
            <v>5.4521703481618493</v>
          </cell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I275">
            <v>7.8248992261168802E-3</v>
          </cell>
          <cell r="J275">
            <v>0.22169382003135901</v>
          </cell>
          <cell r="K275">
            <v>0.116162436625264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I276">
            <v>7.8252372845113698E-3</v>
          </cell>
          <cell r="J276">
            <v>0.22307978123161301</v>
          </cell>
          <cell r="K276">
            <v>0.19209728025792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I277"/>
          <cell r="J277">
            <v>2.0253902927591199E-8</v>
          </cell>
          <cell r="K277">
            <v>2.0217305646540224E-7</v>
          </cell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I278"/>
          <cell r="J278">
            <v>2.0253902927591199E-8</v>
          </cell>
          <cell r="K278">
            <v>2.0217305646540224E-7</v>
          </cell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I279"/>
          <cell r="J279">
            <v>2.0253902927591299E-8</v>
          </cell>
          <cell r="K279">
            <v>2.02173056465402E-7</v>
          </cell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I280">
            <v>3.0117003426535102E-8</v>
          </cell>
          <cell r="J280">
            <v>4.0043861528392298E-8</v>
          </cell>
          <cell r="K280">
            <v>5.3765658386538698E-8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I281">
            <v>5.5050056398261099E-8</v>
          </cell>
          <cell r="J281">
            <v>9.5093917926653403E-8</v>
          </cell>
          <cell r="K281">
            <v>1.4885957631319199E-7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I282">
            <v>7.5667799140842504</v>
          </cell>
          <cell r="J282">
            <v>7.6680257303165273</v>
          </cell>
          <cell r="K282">
            <v>1.0131364057186772E-3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I283">
            <v>1964.42443947574</v>
          </cell>
          <cell r="J283">
            <v>1990.7090358376799</v>
          </cell>
          <cell r="K283">
            <v>0.26302204352632302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I284">
            <v>21.16836680469541</v>
          </cell>
          <cell r="J284">
            <v>21.45160598963016</v>
          </cell>
          <cell r="K284">
            <v>2.8342892621371044E-3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I285">
            <v>9.2251537098662198E-2</v>
          </cell>
          <cell r="J285">
            <v>3.65788224757383E-2</v>
          </cell>
          <cell r="K285">
            <v>2.4747597632511499E-8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I286">
            <v>0.28228449614767109</v>
          </cell>
          <cell r="J286">
            <v>0.28606062045215908</v>
          </cell>
          <cell r="K286">
            <v>6.2362465896692587E-5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I287">
            <v>1.4257497002192556</v>
          </cell>
          <cell r="J287">
            <v>1.4257475367564416</v>
          </cell>
          <cell r="K287">
            <v>1.4257461648438061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I288">
            <v>1.4257497002192556</v>
          </cell>
          <cell r="J288">
            <v>1.4257475367564416</v>
          </cell>
          <cell r="K288">
            <v>1.4257461648438061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I289">
            <v>6.3946256189851178</v>
          </cell>
          <cell r="J289">
            <v>7.7014324481884913</v>
          </cell>
          <cell r="K289">
            <v>19.751464796808001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I290">
            <v>6.3946256189851178</v>
          </cell>
          <cell r="J290">
            <v>7.7014324481884913</v>
          </cell>
          <cell r="K290">
            <v>19.751464796808001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I291">
            <v>4.0572502822107666</v>
          </cell>
          <cell r="J291">
            <v>4.5028223349112526</v>
          </cell>
          <cell r="K291">
            <v>5.4103660571119097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I292">
            <v>5.7960718317296669</v>
          </cell>
          <cell r="J292">
            <v>6.4326033355874994</v>
          </cell>
          <cell r="K292">
            <v>7.7290943673027153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I293">
            <v>5.7209209604143101E-2</v>
          </cell>
          <cell r="J293">
            <v>0.23616610330201601</v>
          </cell>
          <cell r="K293">
            <v>0.35740945069174401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I294">
            <v>0.51462308648469202</v>
          </cell>
          <cell r="J294">
            <v>0.57113802872842401</v>
          </cell>
          <cell r="K294">
            <v>0.68624451424595501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I295"/>
          <cell r="J295">
            <v>1.4812798688468534E-4</v>
          </cell>
          <cell r="K295">
            <v>3.0736773464784012E-2</v>
          </cell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I296"/>
          <cell r="J296">
            <v>1.64389759906775E-2</v>
          </cell>
          <cell r="K296">
            <v>2.7718428087960998</v>
          </cell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I297"/>
          <cell r="J297">
            <v>2.9147120550846719E-4</v>
          </cell>
          <cell r="K297">
            <v>4.9146149092129394E-2</v>
          </cell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I298"/>
          <cell r="J298">
            <v>3.9622535501039502E-5</v>
          </cell>
          <cell r="K298">
            <v>1.8848879631745961E-3</v>
          </cell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I299"/>
          <cell r="J299">
            <v>8.2291672657865906E-5</v>
          </cell>
          <cell r="K299">
            <v>2.4363729121685599E-3</v>
          </cell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I300"/>
          <cell r="J300">
            <v>3.9622535501039502E-5</v>
          </cell>
          <cell r="K300">
            <v>1.8848879631746002E-3</v>
          </cell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I301">
            <v>516.76069884175604</v>
          </cell>
          <cell r="J301">
            <v>282.202794850099</v>
          </cell>
          <cell r="K301">
            <v>333.26952882910302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I302">
            <v>9.6393691397576529</v>
          </cell>
          <cell r="J302">
            <v>4.9877054175400746</v>
          </cell>
          <cell r="K302">
            <v>5.8898977642654717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I303">
            <v>6.6443079973720499E-4</v>
          </cell>
          <cell r="J303">
            <v>2.8040767346391006E-4</v>
          </cell>
          <cell r="K303">
            <v>1.4687731374359257E-3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I304">
            <v>9.162423738329009</v>
          </cell>
          <cell r="J304">
            <v>5.003595653370553</v>
          </cell>
          <cell r="K304">
            <v>5.9090341990975732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I305">
            <v>0.50777607777276379</v>
          </cell>
          <cell r="J305">
            <v>9.5523269883384805E-5</v>
          </cell>
          <cell r="K305">
            <v>2.3313007486328973E-4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I306">
            <v>6.6125733564674385E-4</v>
          </cell>
          <cell r="J306">
            <v>2.7599378563829833E-4</v>
          </cell>
          <cell r="K306">
            <v>1.4672509650188877E-3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I307">
            <v>2.9016239781405802E-7</v>
          </cell>
          <cell r="J307">
            <v>3.21259578575387E-7</v>
          </cell>
          <cell r="K307">
            <v>6.6318744885259304E-7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I308">
            <v>2.2350535800083007</v>
          </cell>
          <cell r="J308">
            <v>2.2350539012678792</v>
          </cell>
          <cell r="K308">
            <v>1.120892865319048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I309">
            <v>7.5304882203827792E-4</v>
          </cell>
          <cell r="J309">
            <v>9.6224595745667745E-4</v>
          </cell>
          <cell r="K309">
            <v>4.0429179826789659E-4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I310">
            <v>1.9909041708158549E-3</v>
          </cell>
          <cell r="J310">
            <v>2.490307388088689E-3</v>
          </cell>
          <cell r="K310">
            <v>1.0047930397459517E-3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I311">
            <v>0.40960445304117682</v>
          </cell>
          <cell r="J311">
            <v>0.63668235288089303</v>
          </cell>
          <cell r="K311">
            <v>0.41829509200928255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I312">
            <v>3.5870160059932099E-5</v>
          </cell>
          <cell r="J312">
            <v>2.8191167639498201E-5</v>
          </cell>
          <cell r="K312">
            <v>2.0077948790897199E-7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I313">
            <v>6.7021229489606728E-5</v>
          </cell>
          <cell r="J313">
            <v>8.5306493434424125E-5</v>
          </cell>
          <cell r="K313">
            <v>3.5800325843030857E-5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I314">
            <v>14.440107506802057</v>
          </cell>
          <cell r="J314">
            <v>13.770604983795661</v>
          </cell>
          <cell r="K314">
            <v>11.585627699924325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I315">
            <v>9.2322834032429707E-4</v>
          </cell>
          <cell r="J315">
            <v>7.6645430427638487E-4</v>
          </cell>
          <cell r="K315">
            <v>0.12323293049151486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I316">
            <v>17.45218245747883</v>
          </cell>
          <cell r="J316">
            <v>16.904307062342621</v>
          </cell>
          <cell r="K316">
            <v>13.381053586832923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I317">
            <v>13.103971672232635</v>
          </cell>
          <cell r="J317">
            <v>12.289299996027388</v>
          </cell>
          <cell r="K317">
            <v>10.099464399235059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I318">
            <v>16.189320364733494</v>
          </cell>
          <cell r="J318">
            <v>15.902835653218531</v>
          </cell>
          <cell r="K318">
            <v>12.799552007694091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I319">
            <v>61.186505229587304</v>
          </cell>
          <cell r="J319">
            <v>58.867785512347922</v>
          </cell>
          <cell r="K319">
            <v>47.98890239411044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I320">
            <v>6.3823716035615094E-8</v>
          </cell>
          <cell r="J320">
            <v>9.1982203785194994E-8</v>
          </cell>
          <cell r="K320">
            <v>1.6368165219086699E-7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I321">
            <v>4.3300926978319758</v>
          </cell>
          <cell r="J321">
            <v>4.3300927905742199</v>
          </cell>
          <cell r="K321">
            <v>4.3300929593865334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I322">
            <v>0.22226082950749201</v>
          </cell>
          <cell r="J322">
            <v>0.11415774348146999</v>
          </cell>
          <cell r="K322">
            <v>4.46885765171929E-2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I323">
            <v>1.3079262886000356E-3</v>
          </cell>
          <cell r="J323">
            <v>6.5198931158466557E-4</v>
          </cell>
          <cell r="K323">
            <v>2.2503594573530707E-4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I324">
            <v>1.8524071212174967E-3</v>
          </cell>
          <cell r="J324">
            <v>9.7798396737699858E-4</v>
          </cell>
          <cell r="K324">
            <v>3.3755391860296028E-4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I325">
            <v>3.9407948494236088E-3</v>
          </cell>
          <cell r="J325">
            <v>2.0240734659835065E-3</v>
          </cell>
          <cell r="K325">
            <v>7.9235064746795939E-4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I326">
            <v>1.8740369010312101E-7</v>
          </cell>
          <cell r="J326">
            <v>4.5757723186114998E-7</v>
          </cell>
          <cell r="K326">
            <v>3.6055934065665898E-5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I327">
            <v>2.1321651389663923E-4</v>
          </cell>
          <cell r="J327">
            <v>1.0613120092170004E-4</v>
          </cell>
          <cell r="K327">
            <v>3.6485481806347478E-5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I328">
            <v>0.73243876901547111</v>
          </cell>
          <cell r="J328">
            <v>0.73039235010171977</v>
          </cell>
          <cell r="K328">
            <v>0.72633889693895948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I329">
            <v>0.73243876901547111</v>
          </cell>
          <cell r="J329">
            <v>0.73039235010171977</v>
          </cell>
          <cell r="K329">
            <v>0.72633889693895948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I330">
            <v>4.0786732317208969E-4</v>
          </cell>
          <cell r="J330">
            <v>7.2636618056713529E-5</v>
          </cell>
          <cell r="K330">
            <v>1.8174557294789982E-2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I331">
            <v>4.0824220122647506E-4</v>
          </cell>
          <cell r="J331">
            <v>7.2636618056713231E-5</v>
          </cell>
          <cell r="K331">
            <v>1.8174557294789975E-2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I332">
            <v>4.9685978663737437E-4</v>
          </cell>
          <cell r="J332">
            <v>8.7279346495414828E-5</v>
          </cell>
          <cell r="K332">
            <v>2.0194900993366197E-2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I333">
            <v>4.9685978663737437E-4</v>
          </cell>
          <cell r="J333">
            <v>8.7279346495414828E-5</v>
          </cell>
          <cell r="K333">
            <v>2.0194900993366197E-2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I334">
            <v>7.1458450034793603E-5</v>
          </cell>
          <cell r="J334">
            <v>3.05300686174438E-5</v>
          </cell>
          <cell r="K334">
            <v>4.59485464288076E-2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I335">
            <v>2.209985518466558E-4</v>
          </cell>
          <cell r="J335">
            <v>1.4453868872574599E-4</v>
          </cell>
          <cell r="K335">
            <v>4.6034772360378118E-2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I336">
            <v>0.5264759356078782</v>
          </cell>
          <cell r="J336">
            <v>1.5644696128544672E-4</v>
          </cell>
          <cell r="K336">
            <v>0.38009916805165089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I337">
            <v>0.10618727667218758</v>
          </cell>
          <cell r="J337">
            <v>7.0575879624632255E-5</v>
          </cell>
          <cell r="K337">
            <v>0.17146918616649176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I338">
            <v>29.714952537660199</v>
          </cell>
          <cell r="J338">
            <v>3.2802291869695098E-2</v>
          </cell>
          <cell r="K338">
            <v>47.995297537954499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I339">
            <v>0.40318795844857852</v>
          </cell>
          <cell r="J339">
            <v>4.4507858710576766E-4</v>
          </cell>
          <cell r="K339">
            <v>0.6512252040428026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I340">
            <v>1.5489571622650399E-4</v>
          </cell>
          <cell r="J340">
            <v>4.5802254575640798E-7</v>
          </cell>
          <cell r="K340">
            <v>4.4720805740512001E-2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I341">
            <v>1.4896044818290021E-2</v>
          </cell>
          <cell r="J341">
            <v>1.7090894794052989E-4</v>
          </cell>
          <cell r="K341">
            <v>4.4786186829052686E-2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I342">
            <v>22.558643482545648</v>
          </cell>
          <cell r="J342"/>
          <cell r="K342"/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I343">
            <v>68.007978029705058</v>
          </cell>
          <cell r="J343"/>
          <cell r="K343"/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I344">
            <v>0.76677402432955355</v>
          </cell>
          <cell r="J344"/>
          <cell r="K344"/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I345">
            <v>1498.2988298185801</v>
          </cell>
          <cell r="J345">
            <v>876.52684298058705</v>
          </cell>
          <cell r="K345">
            <v>699.54227493505596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I346">
            <v>27.348517957267468</v>
          </cell>
          <cell r="J346">
            <v>15.491801014709285</v>
          </cell>
          <cell r="K346">
            <v>12.363577081899598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I347">
            <v>8.1490959673760546E-4</v>
          </cell>
          <cell r="J347">
            <v>3.4305905739804047E-4</v>
          </cell>
          <cell r="K347">
            <v>4.1286914075070484E-3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I348">
            <v>26.565582088981948</v>
          </cell>
          <cell r="J348">
            <v>15.541256081216082</v>
          </cell>
          <cell r="K348">
            <v>12.403231825089652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I349">
            <v>0.87034944958500016</v>
          </cell>
          <cell r="J349">
            <v>9.679792068750417E-5</v>
          </cell>
          <cell r="K349">
            <v>2.3007978233349478E-4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I350">
            <v>8.1356054411690242E-4</v>
          </cell>
          <cell r="J350">
            <v>3.4192435702492868E-4</v>
          </cell>
          <cell r="K350">
            <v>4.1286914075070805E-3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I351">
            <v>1.12387443765255E-7</v>
          </cell>
          <cell r="J351">
            <v>1.5330381244931701E-7</v>
          </cell>
          <cell r="K351">
            <v>2.5986959308067E-7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I352">
            <v>3.0972405482859418</v>
          </cell>
          <cell r="J352">
            <v>3.0972407015897545</v>
          </cell>
          <cell r="K352">
            <v>1.5532832020996474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I353">
            <v>6.06141056961612E-2</v>
          </cell>
          <cell r="J353">
            <v>5.98202764359618E-2</v>
          </cell>
          <cell r="K353">
            <v>4.73326012568063E-2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I354">
            <v>4.6212882002392378E-4</v>
          </cell>
          <cell r="J354">
            <v>4.6668300765643898E-4</v>
          </cell>
          <cell r="K354">
            <v>3.7765373343196554E-4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I355">
            <v>5.0372041382607652E-4</v>
          </cell>
          <cell r="J355">
            <v>4.9468398811582548E-4</v>
          </cell>
          <cell r="K355">
            <v>3.7765373343196554E-4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I356">
            <v>1.0747181861021477E-3</v>
          </cell>
          <cell r="J356">
            <v>1.0606431992191796E-3</v>
          </cell>
          <cell r="K356">
            <v>8.3923051873770118E-4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I357">
            <v>2.92474580079024E-5</v>
          </cell>
          <cell r="J357">
            <v>3.5914081167508801E-7</v>
          </cell>
          <cell r="K357">
            <v>6.5364239926933503E-6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I358">
            <v>4.1017455550406497E-5</v>
          </cell>
          <cell r="J358">
            <v>4.1355726513738587E-5</v>
          </cell>
          <cell r="K358">
            <v>3.3210054719146588E-5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I359">
            <v>1.050431307692572E-3</v>
          </cell>
          <cell r="J359">
            <v>7.8299843865076786E-4</v>
          </cell>
          <cell r="K359">
            <v>8.61888664792626E-4</v>
          </cell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I360">
            <v>1.5591109364552394E-3</v>
          </cell>
          <cell r="J360">
            <v>1.3049973977512788E-3</v>
          </cell>
          <cell r="K360">
            <v>1.7237773295852516E-3</v>
          </cell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I361">
            <v>2.9839443759908909E-3</v>
          </cell>
          <cell r="J361">
            <v>2.3727225413659619E-3</v>
          </cell>
          <cell r="K361">
            <v>2.872962215975417E-3</v>
          </cell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I362">
            <v>2.4843775676147597E-4</v>
          </cell>
          <cell r="J362">
            <v>3.6281605623066101E-5</v>
          </cell>
          <cell r="K362">
            <v>7.1665067375584901E-5</v>
          </cell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I363">
            <v>2.4843775676147597E-4</v>
          </cell>
          <cell r="J363">
            <v>2.8462422747383483E-4</v>
          </cell>
          <cell r="K363">
            <v>2.0293216892034867E-4</v>
          </cell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I364">
            <v>30.728950263175509</v>
          </cell>
          <cell r="J364">
            <v>41.98226128588739</v>
          </cell>
          <cell r="K364">
            <v>37.878834307546043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I365">
            <v>30.726743850759206</v>
          </cell>
          <cell r="J365">
            <v>21.917209936014736</v>
          </cell>
          <cell r="K365">
            <v>17.381110679095503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I366">
            <v>2.2064124163109905E-3</v>
          </cell>
          <cell r="J366">
            <v>20.065051349872629</v>
          </cell>
          <cell r="K366">
            <v>20.497723628450522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I367">
            <v>0.52633508035255605</v>
          </cell>
          <cell r="J367">
            <v>2.4209938650146201E-6</v>
          </cell>
          <cell r="K367">
            <v>4.8503891503518998E-6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I368">
            <v>0.99028897362312107</v>
          </cell>
          <cell r="J368">
            <v>1.3898743235894271</v>
          </cell>
          <cell r="K368">
            <v>1.3898791680146911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I369">
            <v>10.472610775716731</v>
          </cell>
          <cell r="J369">
            <v>13.364277270065354</v>
          </cell>
          <cell r="K369">
            <v>99.583785668580333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I370">
            <v>10.484259953442761</v>
          </cell>
          <cell r="J370">
            <v>13.364277270065344</v>
          </cell>
          <cell r="K370">
            <v>99.583785668580333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I371">
            <v>11.649169115791977</v>
          </cell>
          <cell r="J371">
            <v>14.370184503099955</v>
          </cell>
          <cell r="K371">
            <v>100.5896835615091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I372">
            <v>11.649169115791977</v>
          </cell>
          <cell r="J372">
            <v>14.370184503099955</v>
          </cell>
          <cell r="K372">
            <v>100.5896835615091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I373">
            <v>0.10230322171110499</v>
          </cell>
          <cell r="J373">
            <v>0.60022040624957795</v>
          </cell>
          <cell r="K373">
            <v>5.7091083956290296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I374">
            <v>0.65541447607031744</v>
          </cell>
          <cell r="J374">
            <v>0.83388258451697927</v>
          </cell>
          <cell r="K374">
            <v>6.1879721581981535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I375">
            <v>5.6034243500575421E-3</v>
          </cell>
          <cell r="J375">
            <v>4.8051771662376451E-3</v>
          </cell>
          <cell r="K375">
            <v>0.1825412083675492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I376">
            <v>5.6096573026160005E-3</v>
          </cell>
          <cell r="J376">
            <v>4.8051771662376399E-3</v>
          </cell>
          <cell r="K376">
            <v>0.18254120836754914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I377">
            <v>6.2202452532672233E-3</v>
          </cell>
          <cell r="J377">
            <v>5.1588353571555834E-3</v>
          </cell>
          <cell r="K377">
            <v>0.18438564830203091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I378">
            <v>6.2202452532672233E-3</v>
          </cell>
          <cell r="J378">
            <v>5.1588353571555834E-3</v>
          </cell>
          <cell r="K378">
            <v>0.18438564830203091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I379">
            <v>1.69580144750589E-3</v>
          </cell>
          <cell r="J379">
            <v>1.0927106182638299E-4</v>
          </cell>
          <cell r="K379">
            <v>1.05580364989857E-2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I380">
            <v>2.0808312989492703E-3</v>
          </cell>
          <cell r="J380">
            <v>1.8272122349371777E-3</v>
          </cell>
          <cell r="K380">
            <v>1.134467833606272E-2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I381">
            <v>3.45028101288129E-2</v>
          </cell>
          <cell r="J381">
            <v>4.4625626689785101E-4</v>
          </cell>
          <cell r="K381"/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I382">
            <v>4.4060484402915688E-4</v>
          </cell>
          <cell r="J382">
            <v>5.6987437295539111E-6</v>
          </cell>
          <cell r="K382"/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I383">
            <v>4.4808844323133583E-4</v>
          </cell>
          <cell r="J383">
            <v>5.7955359337383286E-6</v>
          </cell>
          <cell r="K383"/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I384">
            <v>166.45717615337199</v>
          </cell>
          <cell r="J384">
            <v>25.679816206132202</v>
          </cell>
          <cell r="K384">
            <v>26.798305209836599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I385">
            <v>0.89270717426817903</v>
          </cell>
          <cell r="J385">
            <v>0.13882831298708476</v>
          </cell>
          <cell r="K385">
            <v>0.14711162318251744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I386">
            <v>1.8224885262655297</v>
          </cell>
          <cell r="J386">
            <v>0.27993249995756436</v>
          </cell>
          <cell r="K386">
            <v>0.2894777101333405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I387">
            <v>2.9513683715136958</v>
          </cell>
          <cell r="J387">
            <v>0.45531589017964835</v>
          </cell>
          <cell r="K387">
            <v>0.47514725549355757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I388">
            <v>1.49109097426435E-7</v>
          </cell>
          <cell r="J388">
            <v>1.8356599976095901E-7</v>
          </cell>
          <cell r="K388">
            <v>3.5327987865348398E-6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I389">
            <v>6.6266319263167617E-2</v>
          </cell>
          <cell r="J389">
            <v>4.1968128771500399E-2</v>
          </cell>
          <cell r="K389">
            <v>1.0916233147506491E-2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I390">
            <v>1.1134382229149717E-3</v>
          </cell>
          <cell r="J390">
            <v>1.1477358192465018E-3</v>
          </cell>
          <cell r="K390">
            <v>3.7986757728070012E-4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I391">
            <v>1.1134382229149717E-3</v>
          </cell>
          <cell r="J391">
            <v>1.1477358192465018E-3</v>
          </cell>
          <cell r="K391">
            <v>3.7986757728070012E-4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I392">
            <v>1.69995114100032E-5</v>
          </cell>
          <cell r="J392">
            <v>2.47032919614612E-5</v>
          </cell>
          <cell r="K392">
            <v>3.7422115057008898E-5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I393">
            <v>6.049056697667865E-4</v>
          </cell>
          <cell r="J393">
            <v>6.0453058513232349E-4</v>
          </cell>
          <cell r="K393">
            <v>3.4489756382471981E-4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I394">
            <v>4.1954330912853929E-2</v>
          </cell>
          <cell r="J394">
            <v>4.2065382646371344E-2</v>
          </cell>
          <cell r="K394">
            <v>0.22191395631774438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I395">
            <v>4.1954330912853763E-2</v>
          </cell>
          <cell r="J395">
            <v>4.2065382646371205E-2</v>
          </cell>
          <cell r="K395">
            <v>0.22191395631774385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I396">
            <v>4.8391070243207018E-2</v>
          </cell>
          <cell r="J396">
            <v>4.8518088914600806E-2</v>
          </cell>
          <cell r="K396">
            <v>0.25594481094196736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I397">
            <v>4.8391070243207018E-2</v>
          </cell>
          <cell r="J397">
            <v>4.8518088914600806E-2</v>
          </cell>
          <cell r="K397">
            <v>0.25594481094196736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I398">
            <v>2.52528346136539E-2</v>
          </cell>
          <cell r="J398">
            <v>6.4604066192750206E-2</v>
          </cell>
          <cell r="K398">
            <v>0.89525792029880602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I399">
            <v>4.8513178905777485E-2</v>
          </cell>
          <cell r="J399">
            <v>9.3458321649304052E-2</v>
          </cell>
          <cell r="K399">
            <v>0.9320882256761035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I400">
            <v>0.829639462633323</v>
          </cell>
          <cell r="J400">
            <v>1.4212421453347686</v>
          </cell>
          <cell r="K400">
            <v>1.6437129906105341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I401">
            <v>0.829639462633323</v>
          </cell>
          <cell r="J401">
            <v>1.4212421453347686</v>
          </cell>
          <cell r="K401">
            <v>1.6437129906105341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I402">
            <v>0.829639462633324</v>
          </cell>
          <cell r="J402">
            <v>1.4212421453347699</v>
          </cell>
          <cell r="K402">
            <v>1.6437129906105299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I403">
            <v>0.1942347620879</v>
          </cell>
          <cell r="J403">
            <v>0.170541783626316</v>
          </cell>
          <cell r="K403">
            <v>0.14851501839371001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I404">
            <v>0.239160853862701</v>
          </cell>
          <cell r="J404">
            <v>0.40970263748901697</v>
          </cell>
          <cell r="K404">
            <v>0.47383494934897702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I405">
            <v>0.37944750583249731</v>
          </cell>
          <cell r="J405">
            <v>3.6801840548766417E-2</v>
          </cell>
          <cell r="K405">
            <v>4.8257320172661204E-2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I406">
            <v>0.37909906918802361</v>
          </cell>
          <cell r="J406">
            <v>3.6801840548766548E-2</v>
          </cell>
          <cell r="K406">
            <v>4.8257320172661246E-2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I407">
            <v>0.45993272170262095</v>
          </cell>
          <cell r="J407">
            <v>4.3298107500265526E-2</v>
          </cell>
          <cell r="K407">
            <v>5.362107760143002E-2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I408">
            <v>0.45993272170262095</v>
          </cell>
          <cell r="J408">
            <v>4.3298107500265526E-2</v>
          </cell>
          <cell r="K408">
            <v>5.362107760143002E-2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I409">
            <v>2.1475929253075799E-4</v>
          </cell>
          <cell r="J409">
            <v>1.0088648038114401E-3</v>
          </cell>
          <cell r="K409">
            <v>2.7409726058571698E-2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I410">
            <v>3.7676399620798613E-2</v>
          </cell>
          <cell r="J410">
            <v>2.636274733426067E-2</v>
          </cell>
          <cell r="K410">
            <v>2.8217445578050972E-2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I411">
            <v>1.5343265559466651E-3</v>
          </cell>
          <cell r="J411">
            <v>1.6191310028277784E-3</v>
          </cell>
          <cell r="K411">
            <v>1.7964006198997226E-3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I412">
            <v>1.5343265559466651E-3</v>
          </cell>
          <cell r="J412">
            <v>1.6191310028277784E-3</v>
          </cell>
          <cell r="K412">
            <v>1.7964006198997226E-3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I413">
            <v>1.5343265559466699E-3</v>
          </cell>
          <cell r="J413">
            <v>1.6191310028277799E-3</v>
          </cell>
          <cell r="K413">
            <v>1.79640061989972E-3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I414">
            <v>3.4317198974823099E-5</v>
          </cell>
          <cell r="J414">
            <v>2.65553904007989E-5</v>
          </cell>
          <cell r="K414">
            <v>4.6413378532339798E-4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I415">
            <v>4.42573916104089E-4</v>
          </cell>
          <cell r="J415">
            <v>4.6710665037724599E-4</v>
          </cell>
          <cell r="K415">
            <v>5.1808476512946297E-4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I416">
            <v>0.78497105537376821</v>
          </cell>
          <cell r="J416">
            <v>0.13454249666690893</v>
          </cell>
          <cell r="K416">
            <v>1.9098832311657779E-2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I417">
            <v>0.78569253612319101</v>
          </cell>
          <cell r="J417">
            <v>0.1345424966669086</v>
          </cell>
          <cell r="K417">
            <v>1.9098832311657769E-2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I418">
            <v>0.95235094023679678</v>
          </cell>
          <cell r="J418">
            <v>0.15828711469807899</v>
          </cell>
          <cell r="K418">
            <v>2.1222758083666596E-2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I419">
            <v>0.95235094023679678</v>
          </cell>
          <cell r="J419">
            <v>0.15828711469807899</v>
          </cell>
          <cell r="K419">
            <v>2.1222758083666596E-2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I420">
            <v>2.7838406789727099E-4</v>
          </cell>
          <cell r="J420">
            <v>2.0708940356644499E-3</v>
          </cell>
          <cell r="K420">
            <v>6.2335166857537799E-3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I421">
            <v>4.9992262879878679E-2</v>
          </cell>
          <cell r="J421">
            <v>3.5697947777962147E-2</v>
          </cell>
          <cell r="K421">
            <v>7.8399023701070936E-3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I422">
            <v>9.2330430581598431E-4</v>
          </cell>
          <cell r="J422">
            <v>7.8013939999374711E-4</v>
          </cell>
          <cell r="K422">
            <v>0.16817990342833716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I423">
            <v>45.945032196243581</v>
          </cell>
          <cell r="J423">
            <v>42.997981835538539</v>
          </cell>
          <cell r="K423">
            <v>33.165252744161705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I424">
            <v>45.945955500549353</v>
          </cell>
          <cell r="J424">
            <v>42.998752018649753</v>
          </cell>
          <cell r="K424">
            <v>33.333419580043625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I425">
            <v>9.89525942953323E-8</v>
          </cell>
          <cell r="J425">
            <v>1.35661491292802E-7</v>
          </cell>
          <cell r="K425">
            <v>2.2867064254221699E-7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I426">
            <v>4.3683891324829442</v>
          </cell>
          <cell r="J426">
            <v>4.3683892729255014</v>
          </cell>
          <cell r="K426">
            <v>4.3683895124755177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I427">
            <v>7.4808372093742421E-4</v>
          </cell>
          <cell r="J427">
            <v>2.8311944066999636E-3</v>
          </cell>
          <cell r="K427">
            <v>7.3823268206839722E-4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I428">
            <v>1.9563771278554216E-3</v>
          </cell>
          <cell r="J428">
            <v>7.4040963955735086E-3</v>
          </cell>
          <cell r="K428">
            <v>1.9306148413765355E-3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I429">
            <v>0.5985537872554576</v>
          </cell>
          <cell r="J429">
            <v>0.63871256100501994</v>
          </cell>
          <cell r="K429">
            <v>0.40386267922608265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I430">
            <v>4.5815226920413596E-6</v>
          </cell>
          <cell r="J430">
            <v>1.0446223166520901E-4</v>
          </cell>
          <cell r="K430">
            <v>1.2063423738071799E-6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I431">
            <v>1.3643001663790448E-4</v>
          </cell>
          <cell r="J431">
            <v>1.9961814600947181E-4</v>
          </cell>
          <cell r="K431">
            <v>1.0814403351617826E-4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J432">
            <v>3.6763794411528183E-3</v>
          </cell>
          <cell r="K432">
            <v>3.2619960726803086E-2</v>
          </cell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J433">
            <v>3.6763794411528183E-3</v>
          </cell>
          <cell r="K433">
            <v>3.2619960726803086E-2</v>
          </cell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I434">
            <v>8.7271573716147703E-7</v>
          </cell>
          <cell r="J434">
            <v>5.7817043222964002E-4</v>
          </cell>
          <cell r="K434">
            <v>1.6664841543386701E-3</v>
          </cell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I435">
            <v>8.7271573716147703E-7</v>
          </cell>
          <cell r="J435">
            <v>5.7832500931946705E-4</v>
          </cell>
          <cell r="K435">
            <v>1.8645198116166799E-3</v>
          </cell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I436">
            <v>122.32388120020603</v>
          </cell>
          <cell r="J436">
            <v>125.01855914380623</v>
          </cell>
          <cell r="K436">
            <v>79.776107394113211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I437">
            <v>124.32249280972904</v>
          </cell>
          <cell r="J437">
            <v>126.60643376376483</v>
          </cell>
          <cell r="K437">
            <v>80.215156778897466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I438">
            <v>2.1129272136275899E-7</v>
          </cell>
          <cell r="J438">
            <v>3.1975165668039098E-7</v>
          </cell>
          <cell r="K438">
            <v>1.0149501718384701E-6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I439">
            <v>15.305609535013893</v>
          </cell>
          <cell r="J439">
            <v>15.305609641715467</v>
          </cell>
          <cell r="K439">
            <v>15.305610269414796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I440">
            <v>12.262724648747509</v>
          </cell>
          <cell r="J440">
            <v>12.270849887940082</v>
          </cell>
          <cell r="K440">
            <v>12.287119566478607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I441">
            <v>12.262724648747509</v>
          </cell>
          <cell r="J441">
            <v>12.270849887940082</v>
          </cell>
          <cell r="K441">
            <v>12.287119566478607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I442">
            <v>0.89707999999999899</v>
          </cell>
          <cell r="J442">
            <v>0.89707999999999899</v>
          </cell>
          <cell r="K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I443">
            <v>2.9561328110294573E-3</v>
          </cell>
          <cell r="J443">
            <v>3.9280274277231526E-3</v>
          </cell>
          <cell r="K443">
            <v>1.2098972715530022E-3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I444">
            <v>2.9588498448631199E-3</v>
          </cell>
          <cell r="J444">
            <v>3.9280274277231379E-3</v>
          </cell>
          <cell r="K444">
            <v>1.2098972715530009E-3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I445">
            <v>3.5828356570058507E-3</v>
          </cell>
          <cell r="J445">
            <v>4.623033240212359E-3</v>
          </cell>
          <cell r="K445">
            <v>1.3461599584493314E-3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I446">
            <v>3.5828356570058507E-3</v>
          </cell>
          <cell r="J446">
            <v>4.623033240212359E-3</v>
          </cell>
          <cell r="K446">
            <v>1.3461599584493314E-3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I447">
            <v>1.7030521464921199E-3</v>
          </cell>
          <cell r="J447">
            <v>1.08721190911501E-4</v>
          </cell>
          <cell r="K447">
            <v>2.2265443230839999E-4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I448">
            <v>2.0991358688135157E-3</v>
          </cell>
          <cell r="J448">
            <v>1.82539218204571E-3</v>
          </cell>
          <cell r="K448">
            <v>1.0118573267367576E-3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I449">
            <v>9.7943594797837672E-5</v>
          </cell>
          <cell r="J449">
            <v>1.6762832998070471E-5</v>
          </cell>
          <cell r="K449">
            <v>5.288866634484719E-6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I450">
            <v>8.4480081955539705E-3</v>
          </cell>
          <cell r="J450">
            <v>1.4458582089078901E-3</v>
          </cell>
          <cell r="K450">
            <v>4.5618489667999501E-4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I451">
            <v>1.1462697687318821E-4</v>
          </cell>
          <cell r="J451">
            <v>1.9618157515710887E-5</v>
          </cell>
          <cell r="K451">
            <v>6.1897543647217759E-6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I452">
            <v>3.6786834536017902E-4</v>
          </cell>
          <cell r="J452">
            <v>2.2393794967085101E-5</v>
          </cell>
          <cell r="K452">
            <v>6.0398143423571598E-6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I453">
            <v>3.8927589020988765E-4</v>
          </cell>
          <cell r="J453">
            <v>4.0074991494700704E-4</v>
          </cell>
          <cell r="K453">
            <v>3.1766151908974808E-4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I454">
            <v>0.11066165265693383</v>
          </cell>
          <cell r="J454">
            <v>0.3580962913752111</v>
          </cell>
          <cell r="K454">
            <v>0.60956676601850635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I455">
            <v>8.28611119553995E-4</v>
          </cell>
          <cell r="J455">
            <v>1.4821359747900764E-3</v>
          </cell>
          <cell r="K455">
            <v>1.1851718872886148E-3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I456">
            <v>1.9930996481870395E-3</v>
          </cell>
          <cell r="J456">
            <v>3.4246964521178094E-3</v>
          </cell>
          <cell r="K456">
            <v>1.3346373924746683E-3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I457">
            <v>2.035985985392604E-4</v>
          </cell>
          <cell r="J457">
            <v>3.1236591978006737E-4</v>
          </cell>
          <cell r="K457">
            <v>9.5211470896665632E-4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I458">
            <v>2.1994589417286594E-4</v>
          </cell>
          <cell r="J458">
            <v>2.9141599812844481E-4</v>
          </cell>
          <cell r="K458">
            <v>2.0258149634123568E-4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I459">
            <v>9.6729913943231615E-3</v>
          </cell>
          <cell r="J459">
            <v>1.1440317333311727E-2</v>
          </cell>
          <cell r="K459">
            <v>0.17529221461132527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I460">
            <v>1.5180090950771316E-2</v>
          </cell>
          <cell r="J460">
            <v>5.9553886840262089E-2</v>
          </cell>
          <cell r="K460">
            <v>0.1331914623272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I461">
            <v>1.5043260723073222E-2</v>
          </cell>
          <cell r="J461">
            <v>5.836361600551758E-2</v>
          </cell>
          <cell r="K461">
            <v>0.13264597014199891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I462">
            <v>1.522255160783683E-2</v>
          </cell>
          <cell r="J462">
            <v>5.8306479886654806E-2</v>
          </cell>
          <cell r="K462">
            <v>0.13040546270837847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I463">
            <v>9.3857719271081856E-4</v>
          </cell>
          <cell r="J463">
            <v>1.0707730052065306E-3</v>
          </cell>
          <cell r="K463">
            <v>4.609909148309381E-4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I464">
            <v>7.864757805427664E-4</v>
          </cell>
          <cell r="J464">
            <v>1.8033324713572069E-3</v>
          </cell>
          <cell r="K464">
            <v>1.7023287565870321E-3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I465">
            <v>3.2784279537606091E-2</v>
          </cell>
          <cell r="J465">
            <v>0.14410256939859695</v>
          </cell>
          <cell r="K465">
            <v>6.1522435171392929E-4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I466">
            <v>9.7058967438195588E-4</v>
          </cell>
          <cell r="J466">
            <v>6.7271815460898988E-4</v>
          </cell>
          <cell r="K466">
            <v>4.3732237201977889E-4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I467">
            <v>4.9721892911514518E-4</v>
          </cell>
          <cell r="J467">
            <v>1.1271091280319193E-3</v>
          </cell>
          <cell r="K467">
            <v>5.78269110901857E-4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I468">
            <v>3.730276950902878E-3</v>
          </cell>
          <cell r="J468">
            <v>3.2441096532109708E-3</v>
          </cell>
          <cell r="K468">
            <v>2.1286349655681418E-3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I469">
            <v>5.4732394682517746E-3</v>
          </cell>
          <cell r="J469">
            <v>5.2287688062693698E-3</v>
          </cell>
          <cell r="K469">
            <v>3.4006729870104712E-3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I470">
            <v>5.5995183566945675E-3</v>
          </cell>
          <cell r="J470">
            <v>5.9384438254553133E-3</v>
          </cell>
          <cell r="K470">
            <v>4.9816340605255E-3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I471">
            <v>1.5930831668535357E-4</v>
          </cell>
          <cell r="J471">
            <v>2.2947095181481954E-4</v>
          </cell>
          <cell r="K471">
            <v>1.0718240678987719E-4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I472">
            <v>1.5881079166011331E-4</v>
          </cell>
          <cell r="J472">
            <v>1.3568040437665656E-4</v>
          </cell>
          <cell r="K472">
            <v>9.4158669321822347E-5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I473">
            <v>7.6410669935165904E-5</v>
          </cell>
          <cell r="J473">
            <v>6.7810531863984091E-5</v>
          </cell>
          <cell r="K473">
            <v>5.2377468280580081E-5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I474">
            <v>1.6216459088279282E-4</v>
          </cell>
          <cell r="J474">
            <v>2.0062321419938889E-4</v>
          </cell>
          <cell r="K474">
            <v>1.2737885045411678E-4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I475">
            <v>4.6730856692128617E-4</v>
          </cell>
          <cell r="J475">
            <v>3.5993123654478123E-4</v>
          </cell>
          <cell r="K475">
            <v>2.0966143721360301E-4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I476">
            <v>5.6742255324403385E-4</v>
          </cell>
          <cell r="J476">
            <v>8.1056825197965753E-4</v>
          </cell>
          <cell r="K476">
            <v>1.9523618063907081E-2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I477">
            <v>0.58838543738142701</v>
          </cell>
          <cell r="J477">
            <v>1.15022317733222</v>
          </cell>
          <cell r="K477">
            <v>1.86238017959351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I478">
            <v>0.59119155177832727</v>
          </cell>
          <cell r="J478">
            <v>1.7405170695843704</v>
          </cell>
          <cell r="K478">
            <v>2.9460139989237546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I479">
            <v>6.9021032853310098</v>
          </cell>
          <cell r="J479">
            <v>8.7697148064837318</v>
          </cell>
          <cell r="K479">
            <v>8.7697091332085702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I480">
            <v>6.9021032853310098</v>
          </cell>
          <cell r="J480">
            <v>8.7697148064837318</v>
          </cell>
          <cell r="K480">
            <v>8.7697091332085702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I481">
            <v>87.425095158921309</v>
          </cell>
          <cell r="J481">
            <v>130.73444006218628</v>
          </cell>
          <cell r="K481">
            <v>96.423555108979656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I482">
            <v>80.570050100809851</v>
          </cell>
          <cell r="J482">
            <v>39.707092479213856</v>
          </cell>
          <cell r="K482">
            <v>33.266553809787226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I483">
            <v>1.6263191300747162E-3</v>
          </cell>
          <cell r="J483">
            <v>2.3807344048736606E-2</v>
          </cell>
          <cell r="K483">
            <v>1.4333374258372009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I484">
            <v>173.43630396257763</v>
          </cell>
          <cell r="J484">
            <v>175.03659148176547</v>
          </cell>
          <cell r="K484">
            <v>133.20431452402909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I485">
            <v>2.7342574174314398E-7</v>
          </cell>
          <cell r="J485">
            <v>4.1250622744588402E-7</v>
          </cell>
          <cell r="K485">
            <v>1.30663659628107E-6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I486">
            <v>13.914190637645364</v>
          </cell>
          <cell r="J486">
            <v>13.914190781204654</v>
          </cell>
          <cell r="K486">
            <v>13.914191591274259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I487">
            <v>5.2570964413144559</v>
          </cell>
          <cell r="J487">
            <v>6.6795923785277314</v>
          </cell>
          <cell r="K487">
            <v>6.6795880573877255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I488">
            <v>6.9021032853310098</v>
          </cell>
          <cell r="J488">
            <v>8.7697148064837318</v>
          </cell>
          <cell r="K488">
            <v>8.7697091332085702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I489">
            <v>0.23184312424033701</v>
          </cell>
          <cell r="J489">
            <v>0.180448665302192</v>
          </cell>
          <cell r="K489">
            <v>0.36894507684609401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I490">
            <v>0.66680766336195207</v>
          </cell>
          <cell r="J490">
            <v>0.84723611630530971</v>
          </cell>
          <cell r="K490">
            <v>0.84723262273367961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  <cell r="J491">
            <v>3.5514039348588833E-5</v>
          </cell>
          <cell r="K491">
            <v>0.47640919040342833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  <cell r="J492">
            <v>4.5280400169450758E-5</v>
          </cell>
          <cell r="K492">
            <v>0.63124217728454268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  <cell r="J493">
            <v>5.0074795481510198E-3</v>
          </cell>
          <cell r="K493">
            <v>67.173695846883405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  <cell r="J494">
            <v>8.8785098371472045E-5</v>
          </cell>
          <cell r="K494">
            <v>1.1910229760085711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  <cell r="J495">
            <v>1.1891811942984199E-5</v>
          </cell>
          <cell r="K495">
            <v>3.9639264934504898E-2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  <cell r="J496">
            <v>1.1891811942984199E-5</v>
          </cell>
          <cell r="K496">
            <v>3.9651090469843935E-2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I497">
            <v>106.58030654895272</v>
          </cell>
          <cell r="J497">
            <v>139.68544655079444</v>
          </cell>
          <cell r="K497">
            <v>115.26870265995126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I498">
            <v>1.1523266317561714E-3</v>
          </cell>
          <cell r="J498">
            <v>1.0930556321739739E-3</v>
          </cell>
          <cell r="K498">
            <v>0.25074002341423762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I499">
            <v>110.57958622332606</v>
          </cell>
          <cell r="J499">
            <v>144.40781208288362</v>
          </cell>
          <cell r="K499">
            <v>118.57510635041423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I500">
            <v>8.3831053879964398E-7</v>
          </cell>
          <cell r="J500">
            <v>1.2566502938459301E-6</v>
          </cell>
          <cell r="K500">
            <v>3.93898518336659E-6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I501">
            <v>12.649265888934414</v>
          </cell>
          <cell r="J501">
            <v>12.649266530914121</v>
          </cell>
          <cell r="K501">
            <v>12.649268995609846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I502">
            <v>645.70208204840901</v>
          </cell>
          <cell r="J502">
            <v>213.59300732036201</v>
          </cell>
          <cell r="K502">
            <v>8.42084874162047E-4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I503">
            <v>8.6154645435408028</v>
          </cell>
          <cell r="J503">
            <v>2.8501330970032779</v>
          </cell>
          <cell r="K503">
            <v>0.22129871543060523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I504">
            <v>8.7612222801683739</v>
          </cell>
          <cell r="J504">
            <v>2.8981412119452106</v>
          </cell>
          <cell r="K504">
            <v>1.1425846325129549E-5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I505">
            <v>5.750387385941838E-4</v>
          </cell>
          <cell r="J505">
            <v>4.0166273109127102E-4</v>
          </cell>
          <cell r="K505">
            <v>0.22504808372640048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I509">
            <v>51.056602297921152</v>
          </cell>
          <cell r="J509">
            <v>49.956985353038327</v>
          </cell>
          <cell r="K509">
            <v>47.773666862021315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I510">
            <v>51.056602297921152</v>
          </cell>
          <cell r="J510">
            <v>49.956985353038327</v>
          </cell>
          <cell r="K510">
            <v>47.773666862021315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I511">
            <v>3.9647700000000001</v>
          </cell>
          <cell r="J511">
            <v>3.9647700000000001</v>
          </cell>
          <cell r="K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I512">
            <v>7.3479224098023765</v>
          </cell>
          <cell r="J512">
            <v>9.0124377830944784</v>
          </cell>
          <cell r="K512">
            <v>9.9553375135971027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I513">
            <v>2.5337663482077151</v>
          </cell>
          <cell r="J513">
            <v>3.1077371665843021</v>
          </cell>
          <cell r="K513">
            <v>3.4328750046886554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I514">
            <v>14.695844819604799</v>
          </cell>
          <cell r="J514">
            <v>18.024875566188999</v>
          </cell>
          <cell r="K514">
            <v>19.910675027194198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I515">
            <v>0.230755515933003</v>
          </cell>
          <cell r="J515">
            <v>0.17711077263897701</v>
          </cell>
          <cell r="K515">
            <v>0.235874828086688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I516">
            <v>0.45244973273110634</v>
          </cell>
          <cell r="J516">
            <v>0.55493742809122992</v>
          </cell>
          <cell r="K516">
            <v>0.61299129866419588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I517">
            <v>6.4767538808811791</v>
          </cell>
          <cell r="J517">
            <v>6.4767534302022121</v>
          </cell>
          <cell r="K517">
            <v>7.7120040306706912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I518">
            <v>7.0271913666235708</v>
          </cell>
          <cell r="J518">
            <v>7.0225846958930278</v>
          </cell>
          <cell r="K518">
            <v>8.3509887790561805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I519">
            <v>6.3958544571578505E-8</v>
          </cell>
          <cell r="J519">
            <v>6.5028384247279406E-8</v>
          </cell>
          <cell r="K519">
            <v>9.6034594589358797E-8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I520">
            <v>0.795472618966925</v>
          </cell>
          <cell r="J520">
            <v>0.79547268399530902</v>
          </cell>
          <cell r="K520">
            <v>0.79547278002990396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  <cell r="I521">
            <v>3.9093913980875666E-2</v>
          </cell>
          <cell r="J521">
            <v>1.0938979748829576</v>
          </cell>
          <cell r="K521">
            <v>1.0461022671862306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  <cell r="I522">
            <v>3.9391746586738142E-2</v>
          </cell>
          <cell r="J522">
            <v>1.1022317141081066</v>
          </cell>
          <cell r="K522">
            <v>1.0540718801645332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I523">
            <v>2.78306879591271E-3</v>
          </cell>
          <cell r="J523">
            <v>4.6817264842041101E-2</v>
          </cell>
          <cell r="K523">
            <v>5.5663382329344503E-6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I524">
            <v>2.7836265858403298E-3</v>
          </cell>
          <cell r="J524">
            <v>4.9600891427881398E-2</v>
          </cell>
          <cell r="K524">
            <v>4.9606457766114297E-2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I525">
            <v>2.0485836903486274</v>
          </cell>
          <cell r="J525">
            <v>2.1530875341018638</v>
          </cell>
          <cell r="K525">
            <v>2.3783536627340629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I526">
            <v>2.0485836903486274</v>
          </cell>
          <cell r="J526">
            <v>2.1530875341018638</v>
          </cell>
          <cell r="K526">
            <v>2.3783536627340629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I527">
            <v>2.0485836903486301</v>
          </cell>
          <cell r="J527">
            <v>2.1530875341018598</v>
          </cell>
          <cell r="K527">
            <v>2.3783536627340598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I528">
            <v>0.11711299284887999</v>
          </cell>
          <cell r="J528">
            <v>0.255113934244107</v>
          </cell>
          <cell r="K528">
            <v>0.33717356211459298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I529">
            <v>0.59054746078350395</v>
          </cell>
          <cell r="J529">
            <v>0.62067298727183107</v>
          </cell>
          <cell r="K529">
            <v>0.68561025318494295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I530">
            <v>0.65012437483857255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I531">
            <v>0.65012437483857255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I532">
            <v>8.85558611937695E-2</v>
          </cell>
          <cell r="J532">
            <v>1.56851844506808E-2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  <cell r="K533">
            <v>383.67130390287878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  <cell r="K534">
            <v>-383.671303902879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  <cell r="K535">
            <v>2.8441705610093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  <cell r="K536">
            <v>1.3445169924771212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  <cell r="J537">
            <v>0.32696067337640239</v>
          </cell>
          <cell r="K537">
            <v>4.2066451127183804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  <cell r="K538">
            <v>5.0167537121142199E-2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  <cell r="K539">
            <v>5.0167537121142199E-2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I540">
            <v>1014.28236865424</v>
          </cell>
          <cell r="J540">
            <v>289.956146555749</v>
          </cell>
          <cell r="K540">
            <v>1.0175866800104501E-3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I541">
            <v>13.533031132533418</v>
          </cell>
          <cell r="J541">
            <v>3.8689681627654897</v>
          </cell>
          <cell r="K541">
            <v>0.43241631703443489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I542">
            <v>13.762311650668114</v>
          </cell>
          <cell r="J542">
            <v>3.9342760726695905</v>
          </cell>
          <cell r="K542">
            <v>1.3807146268798456E-5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I543">
            <v>5.7586825187272699E-4</v>
          </cell>
          <cell r="J543">
            <v>4.0595922493051595E-4</v>
          </cell>
          <cell r="K543">
            <v>0.43975355921697296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I544">
            <v>45.873235072844331</v>
          </cell>
          <cell r="J544">
            <v>20.811752416670235</v>
          </cell>
          <cell r="K544">
            <v>16.630807513482363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I545">
            <v>45.873235072844331</v>
          </cell>
          <cell r="J545">
            <v>20.811752416670235</v>
          </cell>
          <cell r="K545">
            <v>16.630807513482363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I546">
            <v>9.3083912382439195E-7</v>
          </cell>
          <cell r="J546">
            <v>1.3652662487263399E-6</v>
          </cell>
          <cell r="K546">
            <v>2.02936381732355E-6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I547">
            <v>3.7499980187252602</v>
          </cell>
          <cell r="J547">
            <v>2.4000000818041549</v>
          </cell>
          <cell r="K547">
            <v>2.4000001568443521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  <cell r="K548">
            <v>1328.9710992395451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  <cell r="K549">
            <v>-1328.9710992395401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  <cell r="K550">
            <v>2.9454562281793524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  <cell r="J551">
            <v>0.63011655159596347</v>
          </cell>
          <cell r="K551">
            <v>11.618573432806304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  <cell r="J552">
            <v>5.4486578054764505E-7</v>
          </cell>
          <cell r="K552">
            <v>0.15356885456748701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  <cell r="J553">
            <v>2.6234688195983601E-7</v>
          </cell>
          <cell r="K553">
            <v>0.11363595367290823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I554">
            <v>4.8635354855294035E-4</v>
          </cell>
          <cell r="J554">
            <v>3.4033900799890495E-5</v>
          </cell>
          <cell r="K554">
            <v>7.1000614961641849E-5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I555">
            <v>0.118408524887421</v>
          </cell>
          <cell r="J555">
            <v>1.49696479747342E-2</v>
          </cell>
          <cell r="K555">
            <v>1.6608096872464301E-2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I556">
            <v>1.6066285602092418E-3</v>
          </cell>
          <cell r="J556">
            <v>2.0311598337495554E-4</v>
          </cell>
          <cell r="K556">
            <v>2.2534731170236532E-4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I557">
            <v>8.8184135367128601E-4</v>
          </cell>
          <cell r="J557">
            <v>2.1986936004407099E-6</v>
          </cell>
          <cell r="K557">
            <v>2.4141545140211899E-6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I558">
            <v>7.9224493160378381E-3</v>
          </cell>
          <cell r="J558">
            <v>3.0791604884009768E-3</v>
          </cell>
          <cell r="K558">
            <v>8.9048764757288759E-4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I559">
            <v>6.740300885796505</v>
          </cell>
          <cell r="J559">
            <v>4.8916710886577013</v>
          </cell>
          <cell r="K559">
            <v>1.9219679656581419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I560">
            <v>6.740300885796505</v>
          </cell>
          <cell r="J560">
            <v>4.8916710886577013</v>
          </cell>
          <cell r="K560">
            <v>1.9219679656581419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I561">
            <v>5.439219047829036E-4</v>
          </cell>
          <cell r="J561">
            <v>8.2929920637987156E-4</v>
          </cell>
          <cell r="K561">
            <v>3.2450910070303972E-4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I562">
            <v>8.5054435209059036E-4</v>
          </cell>
          <cell r="J562">
            <v>1.2683336652079063E-3</v>
          </cell>
          <cell r="K562">
            <v>4.7666927535904664E-4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I563">
            <v>0.61756753849228141</v>
          </cell>
          <cell r="J563">
            <v>0.96475358788123233</v>
          </cell>
          <cell r="K563">
            <v>0.48411072268578564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I564">
            <v>2.95989875132622E-5</v>
          </cell>
          <cell r="J564">
            <v>2.0226029948223801E-5</v>
          </cell>
          <cell r="K564">
            <v>1.3553835318042399E-5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I565">
            <v>8.8343383510987091E-5</v>
          </cell>
          <cell r="J565">
            <v>8.9818086070077795E-5</v>
          </cell>
          <cell r="K565">
            <v>4.0649801267597801E-5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I566">
            <v>32.820798965223219</v>
          </cell>
          <cell r="J566">
            <v>32.820800234807884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I567">
            <v>98.945496287101648</v>
          </cell>
          <cell r="J567">
            <v>98.945500114542966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I568">
            <v>1.219999970680258</v>
          </cell>
          <cell r="J568">
            <v>1.22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I569">
            <v>1.3790826719586841E-4</v>
          </cell>
          <cell r="J569">
            <v>2.0891544936790782E-4</v>
          </cell>
          <cell r="K569">
            <v>5.6754513271964379E-5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I570">
            <v>1.3790826719586841E-4</v>
          </cell>
          <cell r="J570">
            <v>2.0891544936790782E-4</v>
          </cell>
          <cell r="K570">
            <v>5.6754513271964379E-5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I571">
            <v>4.12488126413578E-5</v>
          </cell>
          <cell r="J571">
            <v>5.6998368287244701E-5</v>
          </cell>
          <cell r="K571">
            <v>1.7729903927679499E-5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I572">
            <v>7.46842624517087E-5</v>
          </cell>
          <cell r="J572">
            <v>6.4304437314517606E-5</v>
          </cell>
          <cell r="K572">
            <v>3.72530560958198E-5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I573">
            <v>1.2355265895065619E-3</v>
          </cell>
          <cell r="J573">
            <v>7.8262661459361016E-5</v>
          </cell>
          <cell r="K573">
            <v>8.6500811042619676E-3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I574">
            <v>0.18263999493765601</v>
          </cell>
          <cell r="J574">
            <v>1.37623267873814E-2</v>
          </cell>
          <cell r="K574">
            <v>1.17347745971775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I575">
            <v>3.2382977825825511E-3</v>
          </cell>
          <cell r="J575">
            <v>2.4401288630108878E-4</v>
          </cell>
          <cell r="K575">
            <v>2.080633793825799E-2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I576">
            <v>1.2062828362198824E-2</v>
          </cell>
          <cell r="J576">
            <v>1.2068291863102461E-2</v>
          </cell>
          <cell r="K576">
            <v>1.0491429655118269E-2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I577">
            <v>5.28863619988007E-6</v>
          </cell>
          <cell r="J577">
            <v>6.6025014740552299E-6</v>
          </cell>
          <cell r="K577">
            <v>4.6031730238975002E-5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I578">
            <v>1.2062828362198809E-2</v>
          </cell>
          <cell r="J578">
            <v>1.2068291863102454E-2</v>
          </cell>
          <cell r="K578">
            <v>1.0491429655118194E-2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I579">
            <v>1.3087478585417127E-4</v>
          </cell>
          <cell r="J579">
            <v>2.0801435375939498E-4</v>
          </cell>
          <cell r="K579">
            <v>5.7065147553312908E-5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I580">
            <v>1.3187184075462723E-4</v>
          </cell>
          <cell r="J580">
            <v>2.0959908781972112E-4</v>
          </cell>
          <cell r="K580">
            <v>5.7499891989698588E-5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I581">
            <v>1.35560253071545E-5</v>
          </cell>
          <cell r="J581">
            <v>6.9686308373487199E-7</v>
          </cell>
          <cell r="K581">
            <v>4.6354046946937101E-7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I582">
            <v>7.1479668471442694E-5</v>
          </cell>
          <cell r="J582">
            <v>7.2176531555177595E-5</v>
          </cell>
          <cell r="K582">
            <v>7.2640072024646903E-5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I583">
            <v>11.232728270218706</v>
          </cell>
          <cell r="J583">
            <v>12.758441460842734</v>
          </cell>
          <cell r="K583">
            <v>6.2952696588436394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I584">
            <v>11.232728270218706</v>
          </cell>
          <cell r="J584">
            <v>12.758441460842734</v>
          </cell>
          <cell r="K584">
            <v>6.2952696588436394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I585">
            <v>0.10968583278144201</v>
          </cell>
          <cell r="J585">
            <v>6.9831671197243803E-2</v>
          </cell>
          <cell r="K585">
            <v>156.91470909616899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I586">
            <v>1.1765944828505792E-3</v>
          </cell>
          <cell r="J586">
            <v>7.5527162110494228E-4</v>
          </cell>
          <cell r="K586">
            <v>1.7249489297805778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I587">
            <v>3.5008507973341018E-4</v>
          </cell>
          <cell r="J587">
            <v>2.2286703573588478E-4</v>
          </cell>
          <cell r="K587">
            <v>0.50079162477500616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I588">
            <v>1.9447842691745108E-3</v>
          </cell>
          <cell r="J588">
            <v>1.2381501985326911E-3</v>
          </cell>
          <cell r="K588">
            <v>2.7821756931944823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I589">
            <v>4.2303429081303303E-5</v>
          </cell>
          <cell r="J589">
            <v>4.4351230265214302E-7</v>
          </cell>
          <cell r="K589">
            <v>0.10121668484065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I590">
            <v>7.4716029754868743E-5</v>
          </cell>
          <cell r="J590">
            <v>6.4782989222551059E-5</v>
          </cell>
          <cell r="K590">
            <v>0.10123484007977777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I591">
            <v>2.1507373741972108E-4</v>
          </cell>
          <cell r="J591">
            <v>1.0709333653251075E-5</v>
          </cell>
          <cell r="K591">
            <v>1.5689250021113278E-5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I592">
            <v>1.1060935067299929E-3</v>
          </cell>
          <cell r="J592">
            <v>5.5076573073862574E-5</v>
          </cell>
          <cell r="K592">
            <v>8.0687571537153916E-5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I593">
            <v>0.153229455641678</v>
          </cell>
          <cell r="J593">
            <v>1.5794010361332201E-2</v>
          </cell>
          <cell r="K593">
            <v>1.1343883179437299E-2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I594">
            <v>2.0790970914745955E-3</v>
          </cell>
          <cell r="J594">
            <v>2.1430136175484661E-4</v>
          </cell>
          <cell r="K594">
            <v>1.5391971749575679E-4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I595">
            <v>6.4683821994216099E-6</v>
          </cell>
          <cell r="J595">
            <v>1.7328864000731299E-5</v>
          </cell>
          <cell r="K595">
            <v>3.7321203594020499E-5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I596">
            <v>3.9164982734648732E-4</v>
          </cell>
          <cell r="J596">
            <v>1.2723592059183818E-4</v>
          </cell>
          <cell r="K596">
            <v>5.9170076646569616E-5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  <cell r="J597">
            <v>0.16066151239889076</v>
          </cell>
          <cell r="K597">
            <v>0.16066218227691931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  <cell r="J598">
            <v>0.19508897934150948</v>
          </cell>
          <cell r="K598">
            <v>0.20274037287325494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  <cell r="J599">
            <v>0.38252741047354932</v>
          </cell>
          <cell r="K599">
            <v>0.38252900542123636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  <cell r="J600">
            <v>1.5528399255084299E-2</v>
          </cell>
          <cell r="K600">
            <v>2.7726836389533899E-3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  <cell r="J601">
            <v>1.5528399255084299E-2</v>
          </cell>
          <cell r="K601">
            <v>1.8301002444255882E-2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I602">
            <v>30.162316632815816</v>
          </cell>
          <cell r="J602">
            <v>40.847583691360121</v>
          </cell>
          <cell r="K602">
            <v>64.282161369807724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I603">
            <v>30.162316632815816</v>
          </cell>
          <cell r="J603">
            <v>40.847583691360121</v>
          </cell>
          <cell r="K603">
            <v>64.282161369807724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I604">
            <v>30.162316632815799</v>
          </cell>
          <cell r="J604">
            <v>40.8475836913601</v>
          </cell>
          <cell r="K604">
            <v>64.282161369807696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I605">
            <v>5.71502990280523</v>
          </cell>
          <cell r="J605">
            <v>3.7926811486306899</v>
          </cell>
          <cell r="K605">
            <v>10.183911338489899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I606">
            <v>8.6949167248878698</v>
          </cell>
          <cell r="J606">
            <v>11.775167640408236</v>
          </cell>
          <cell r="K606">
            <v>18.530672925434398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I607">
            <v>0.33061025207959599</v>
          </cell>
          <cell r="J607">
            <v>0.24659876085158</v>
          </cell>
          <cell r="K607">
            <v>0.17659521782956999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I608">
            <v>3.5826602552575123E-3</v>
          </cell>
          <cell r="J608">
            <v>2.6945704237893364E-3</v>
          </cell>
          <cell r="K608">
            <v>1.8891301111949178E-3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I609">
            <v>1.5812847808050277E-3</v>
          </cell>
          <cell r="J609">
            <v>1.1999258918436884E-3</v>
          </cell>
          <cell r="K609">
            <v>8.6959957499448473E-4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I610">
            <v>5.8618839021205042E-3</v>
          </cell>
          <cell r="J610">
            <v>4.3723184548152497E-3</v>
          </cell>
          <cell r="K610">
            <v>3.1311208835030123E-3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I611">
            <v>4.2119439823304602E-7</v>
          </cell>
          <cell r="J611">
            <v>1.53746458395163E-7</v>
          </cell>
          <cell r="K611">
            <v>6.8455118551905198E-5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I612">
            <v>1.405783711792639E-4</v>
          </cell>
          <cell r="J612">
            <v>1.0804655014694451E-4</v>
          </cell>
          <cell r="K612">
            <v>7.7161786480786979E-5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I616">
            <v>4.7521493708070579E-2</v>
          </cell>
          <cell r="J616">
            <v>1.2552083796585605</v>
          </cell>
          <cell r="K616">
            <v>0.72474662030871195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I617">
            <v>1.7864561523589451E-2</v>
          </cell>
          <cell r="J617">
            <v>0.47186537235312498</v>
          </cell>
          <cell r="K617">
            <v>0.27245104430123779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I618">
            <v>0.47250791933888203</v>
          </cell>
          <cell r="J618">
            <v>2.341020606646441</v>
          </cell>
          <cell r="K618">
            <v>1.3616297334835501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I619">
            <v>1.2518281575743999E-3</v>
          </cell>
          <cell r="J619">
            <v>3.3710414354963698E-2</v>
          </cell>
          <cell r="K619">
            <v>6.3484762328748706E-8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I620">
            <v>1.3276197415218497E-3</v>
          </cell>
          <cell r="J620">
            <v>3.5013953822302699E-2</v>
          </cell>
          <cell r="K620">
            <v>2.0216800766448752E-2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I621">
            <v>0.37493078861497214</v>
          </cell>
          <cell r="J621">
            <v>3.6366387199506855E-2</v>
          </cell>
          <cell r="K621">
            <v>4.7966819635232798E-2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I622">
            <v>0.37527539411921329</v>
          </cell>
          <cell r="J622">
            <v>3.636638719950671E-2</v>
          </cell>
          <cell r="K622">
            <v>4.7966819635232728E-2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I623">
            <v>0.4548756165955965</v>
          </cell>
          <cell r="J623">
            <v>4.2785809442307705E-2</v>
          </cell>
          <cell r="K623">
            <v>5.3298299187717155E-2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I624">
            <v>0.4548756165955965</v>
          </cell>
          <cell r="J624">
            <v>4.2785809442307705E-2</v>
          </cell>
          <cell r="K624">
            <v>5.3298299187717155E-2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I625">
            <v>2.19366650989831E-4</v>
          </cell>
          <cell r="J625">
            <v>1.0625704352677E-3</v>
          </cell>
          <cell r="K625">
            <v>2.7357278662891699E-2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I626">
            <v>3.7084362048884101E-2</v>
          </cell>
          <cell r="J626">
            <v>2.5959787386978857E-2</v>
          </cell>
          <cell r="K626">
            <v>2.8205847350572966E-2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I631">
            <v>-1.1519069649003344E-7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I632">
            <v>1.6800308734786766E-2</v>
          </cell>
          <cell r="J632">
            <v>7.3636181142082952E-2</v>
          </cell>
          <cell r="K632">
            <v>6.9315669316725392E-2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I633">
            <v>1.680030873478678E-2</v>
          </cell>
          <cell r="J633">
            <v>7.3636181142082993E-2</v>
          </cell>
          <cell r="K633">
            <v>6.9315669316725531E-2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I634">
            <v>1.8580639687937908E-2</v>
          </cell>
          <cell r="J634">
            <v>8.143229966386005E-2</v>
          </cell>
          <cell r="K634">
            <v>7.6654392131305302E-2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I635">
            <v>1.8580639687937908E-2</v>
          </cell>
          <cell r="J635">
            <v>8.143229966386005E-2</v>
          </cell>
          <cell r="K635">
            <v>7.6654392131305302E-2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I636">
            <v>4.27646301581351E-2</v>
          </cell>
          <cell r="J636">
            <v>3.4331909320533198E-2</v>
          </cell>
          <cell r="K636">
            <v>7.0757665461394198E-2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I637">
            <v>7.5712406473281535E-2</v>
          </cell>
          <cell r="J637">
            <v>7.7163560992219951E-2</v>
          </cell>
          <cell r="K637">
            <v>9.5479754851737667E-2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I638">
            <v>2.1135570306074725E-4</v>
          </cell>
          <cell r="J638">
            <v>1.8449903852471803E-4</v>
          </cell>
          <cell r="K638">
            <v>1.1719895046706666E-4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I639">
            <v>2.1135570306074725E-4</v>
          </cell>
          <cell r="J639">
            <v>1.8449903852471803E-4</v>
          </cell>
          <cell r="K639">
            <v>1.1719895046706666E-4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I640">
            <v>4.43987656937753E-7</v>
          </cell>
          <cell r="J640">
            <v>7.2169717228330904E-7</v>
          </cell>
          <cell r="K640">
            <v>1.4343773011284499E-6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I641">
            <v>4.2959280357424134E-4</v>
          </cell>
          <cell r="J641">
            <v>4.2779131335590748E-4</v>
          </cell>
          <cell r="K641">
            <v>4.2988287577228057E-4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I642">
            <v>26.865636767650713</v>
          </cell>
          <cell r="J642">
            <v>29.321605699591355</v>
          </cell>
          <cell r="K642">
            <v>14.819072801740466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I643">
            <v>26.865636767650713</v>
          </cell>
          <cell r="J643">
            <v>29.321605699591355</v>
          </cell>
          <cell r="K643">
            <v>14.819072801740466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I644">
            <v>1.0687487169941199E-6</v>
          </cell>
          <cell r="J644">
            <v>1.5496555957122801E-6</v>
          </cell>
          <cell r="K644">
            <v>2.2965400739225501E-6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I645">
            <v>2.1060169207123383</v>
          </cell>
          <cell r="J645">
            <v>2.1060163656865454</v>
          </cell>
          <cell r="K645">
            <v>2.1060158681367316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I646">
            <v>3.1396479440129778E-3</v>
          </cell>
          <cell r="J646">
            <v>7.1750664352722331E-3</v>
          </cell>
          <cell r="K646">
            <v>3.0299634614441282E-3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I647">
            <v>3.1425336498438687E-3</v>
          </cell>
          <cell r="J647">
            <v>7.1750664352722045E-3</v>
          </cell>
          <cell r="K647">
            <v>3.0299634614441261E-3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I648">
            <v>3.8054826933332209E-3</v>
          </cell>
          <cell r="J648">
            <v>8.4430791314508875E-3</v>
          </cell>
          <cell r="K648">
            <v>3.368458921845641E-3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I649">
            <v>3.8054826933332209E-3</v>
          </cell>
          <cell r="J649">
            <v>8.4430791314508875E-3</v>
          </cell>
          <cell r="K649">
            <v>3.368458921845641E-3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I650">
            <v>2.7599491933149802E-3</v>
          </cell>
          <cell r="J650">
            <v>1.99633940816787E-4</v>
          </cell>
          <cell r="K650">
            <v>3.60638273877882E-4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I651">
            <v>3.3893356520898533E-3</v>
          </cell>
          <cell r="J651">
            <v>2.9809550558808602E-3</v>
          </cell>
          <cell r="K651">
            <v>1.6568840878032527E-3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I652">
            <v>22.8339742446347</v>
          </cell>
          <cell r="J652">
            <v>98.164648298307398</v>
          </cell>
          <cell r="K652">
            <v>125.673938495988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I653">
            <v>0.17408881073037097</v>
          </cell>
          <cell r="J653">
            <v>0.76582349736268251</v>
          </cell>
          <cell r="K653">
            <v>1.0027175943828843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I654">
            <v>0.18975680369610443</v>
          </cell>
          <cell r="J654">
            <v>0.81177290720444228</v>
          </cell>
          <cell r="K654">
            <v>1.0027175943828843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I655">
            <v>0.40485769937295585</v>
          </cell>
          <cell r="J655">
            <v>1.7405079485515518</v>
          </cell>
          <cell r="K655">
            <v>2.2282613208508537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I656">
            <v>2.1617985387871599E-2</v>
          </cell>
          <cell r="J656">
            <v>4.6394654337197999E-2</v>
          </cell>
          <cell r="K656">
            <v>2.5495329771583301E-2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I657">
            <v>2.1680450464900487E-2</v>
          </cell>
          <cell r="J657">
            <v>6.8075033050285297E-2</v>
          </cell>
          <cell r="K657">
            <v>8.9132564546094695E-2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I658">
            <v>9.3378292043590412E-4</v>
          </cell>
          <cell r="J658">
            <v>1.3030207651874392E-3</v>
          </cell>
          <cell r="K658">
            <v>8.9546589952470832E-4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I659">
            <v>9.3378292043590412E-4</v>
          </cell>
          <cell r="J659">
            <v>1.3030207651874392E-3</v>
          </cell>
          <cell r="K659">
            <v>8.9546589952470832E-4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I660">
            <v>2.56031918987679E-6</v>
          </cell>
          <cell r="J660">
            <v>3.7924464864716599E-6</v>
          </cell>
          <cell r="K660">
            <v>5.8860485488551098E-6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I661">
            <v>8.1702761820068304E-4</v>
          </cell>
          <cell r="J661">
            <v>8.1658888286195719E-4</v>
          </cell>
          <cell r="K661">
            <v>8.2173541524910299E-4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I662">
            <v>1.2536151703274521E-2</v>
          </cell>
          <cell r="J662">
            <v>3.3103787629176339E-2</v>
          </cell>
          <cell r="K662">
            <v>2.3808604092042333E-2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I663">
            <v>1.2536151703274529E-2</v>
          </cell>
          <cell r="J663">
            <v>3.3103787629176394E-2</v>
          </cell>
          <cell r="K663">
            <v>2.3808604092042364E-2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I664">
            <v>1.3865058540629881E-2</v>
          </cell>
          <cell r="J664">
            <v>3.6608952565659082E-2</v>
          </cell>
          <cell r="K664">
            <v>2.6329730792846263E-2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I665">
            <v>1.3865058540629881E-2</v>
          </cell>
          <cell r="J665">
            <v>3.6608952565659082E-2</v>
          </cell>
          <cell r="K665">
            <v>2.6329730792846263E-2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I666">
            <v>1.4764559722752001E-2</v>
          </cell>
          <cell r="J666">
            <v>1.0347010239018999E-2</v>
          </cell>
          <cell r="K666">
            <v>2.2555829958005799E-2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I667">
            <v>2.4887244128365505E-2</v>
          </cell>
          <cell r="J667">
            <v>2.5212873014391606E-2</v>
          </cell>
          <cell r="K667">
            <v>3.0335671379225375E-2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I668">
            <v>3.9441905041383554E-3</v>
          </cell>
          <cell r="J668">
            <v>0.581948213780482</v>
          </cell>
          <cell r="K668">
            <v>3.0012419204078516E-4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I669">
            <v>6.6834433824695667E-4</v>
          </cell>
          <cell r="J669">
            <v>0.11489511166642442</v>
          </cell>
          <cell r="K669">
            <v>8.8473559271559123E-5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I670">
            <v>1.0008020315656501</v>
          </cell>
          <cell r="J670">
            <v>172.04793187045999</v>
          </cell>
          <cell r="K670">
            <v>0.132483381382522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I671">
            <v>1.0784504650491968E-2</v>
          </cell>
          <cell r="J671">
            <v>1.8539647830868566</v>
          </cell>
          <cell r="K671">
            <v>1.4276226442082067E-3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I672">
            <v>5.86964397936557E-7</v>
          </cell>
          <cell r="J672">
            <v>4.1921023904296098E-5</v>
          </cell>
          <cell r="K672">
            <v>3.3126371026456099E-8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I673">
            <v>6.0386758052690826E-3</v>
          </cell>
          <cell r="J673">
            <v>6.0804637527048224E-3</v>
          </cell>
          <cell r="K673">
            <v>6.0661166078332992E-5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I674">
            <v>8.4936961500534959E-4</v>
          </cell>
          <cell r="J674">
            <v>8.1940927475634246E-4</v>
          </cell>
          <cell r="K674">
            <v>1.8628955992438481E-2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I675">
            <v>8.4936961500534872E-4</v>
          </cell>
          <cell r="J675">
            <v>8.1940927475634138E-4</v>
          </cell>
          <cell r="K675">
            <v>1.8628955992438467E-2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I676">
            <v>1.2172367868690211E-3</v>
          </cell>
          <cell r="J676">
            <v>1.1748418269552671E-3</v>
          </cell>
          <cell r="K676">
            <v>2.6615083911318033E-2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I677">
            <v>1.2172367868690211E-3</v>
          </cell>
          <cell r="J677">
            <v>1.1748418269552671E-3</v>
          </cell>
          <cell r="K677">
            <v>2.6615083911318033E-2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I678">
            <v>5.3130680028142701E-7</v>
          </cell>
          <cell r="J678">
            <v>9.1518042458994804E-7</v>
          </cell>
          <cell r="K678">
            <v>5.8174252737048795E-7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I679">
            <v>9.9997751370279803E-2</v>
          </cell>
          <cell r="J679">
            <v>9.9998375643344878E-2</v>
          </cell>
          <cell r="K679">
            <v>9.9998789248541539E-2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I680">
            <v>165.677315578182</v>
          </cell>
          <cell r="J680">
            <v>26.661312890537399</v>
          </cell>
          <cell r="K680">
            <v>27.819027933675301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I681">
            <v>1.8139476313094021</v>
          </cell>
          <cell r="J681">
            <v>0.29063568510787013</v>
          </cell>
          <cell r="K681">
            <v>0.30050670303337135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I682">
            <v>0.88852359884802001</v>
          </cell>
          <cell r="J682">
            <v>0.14413639667951286</v>
          </cell>
          <cell r="K682">
            <v>0.15271652121368071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I683">
            <v>2.9375410563507458</v>
          </cell>
          <cell r="J683">
            <v>0.47271831366200978</v>
          </cell>
          <cell r="K683">
            <v>0.49324517612899477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I684">
            <v>1.3478348723753E-7</v>
          </cell>
          <cell r="J684">
            <v>1.7723255615708201E-7</v>
          </cell>
          <cell r="K684">
            <v>3.2039145010218E-6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I685">
            <v>6.593219922475016E-2</v>
          </cell>
          <cell r="J685">
            <v>4.357281148224653E-2</v>
          </cell>
          <cell r="K685">
            <v>1.1332140999638501E-2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I686">
            <v>2.9902562189021307</v>
          </cell>
          <cell r="J686">
            <v>2.9495686380498607</v>
          </cell>
          <cell r="K686">
            <v>2.8712749994346187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I687">
            <v>2.9902562189021307</v>
          </cell>
          <cell r="J687">
            <v>2.9495686380498607</v>
          </cell>
          <cell r="K687">
            <v>2.8712749994346187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I688">
            <v>1.1649091623492087</v>
          </cell>
          <cell r="J688">
            <v>1.0059072330346099</v>
          </cell>
          <cell r="K688">
            <v>1.0058978929287903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I689">
            <v>1.1059379078512506</v>
          </cell>
          <cell r="J689">
            <v>1.1059384890876227</v>
          </cell>
          <cell r="K689">
            <v>1.1059282201660183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I690">
            <v>2.9902562189021307</v>
          </cell>
          <cell r="J690">
            <v>2.9495686380498607</v>
          </cell>
          <cell r="K690">
            <v>2.8712749994346187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I691">
            <v>4.4081480250725301E-2</v>
          </cell>
          <cell r="J691">
            <v>3.1152288706673501E-2</v>
          </cell>
          <cell r="K691">
            <v>4.3489036545897898E-2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I692">
            <v>8.4744314491717265E-2</v>
          </cell>
          <cell r="J692">
            <v>8.4743912670967439E-2</v>
          </cell>
          <cell r="K692">
            <v>8.4743389311357997E-2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I693">
            <v>8.8437472070754827E-4</v>
          </cell>
          <cell r="J693">
            <v>5.6197626396081203E-4</v>
          </cell>
          <cell r="K693">
            <v>3.2641521350283086E-3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I694">
            <v>6.1058795065122343E-4</v>
          </cell>
          <cell r="J694">
            <v>3.5365819091794494E-4</v>
          </cell>
          <cell r="K694">
            <v>1.8444399344816913E-3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I695">
            <v>1.7426102871084691E-3</v>
          </cell>
          <cell r="J695">
            <v>1.0406967851126158E-3</v>
          </cell>
          <cell r="K695">
            <v>5.6767863217883612E-3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I696">
            <v>1.7075569251282799E-7</v>
          </cell>
          <cell r="J696">
            <v>6.4094592773673097E-7</v>
          </cell>
          <cell r="K696">
            <v>1.92603798754142E-4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I697">
            <v>9.599928069023348E-5</v>
          </cell>
          <cell r="J697">
            <v>6.6169048163460534E-5</v>
          </cell>
          <cell r="K697">
            <v>1.9307805095851601E-4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I698">
            <v>1.6806116642096199E-2</v>
          </cell>
          <cell r="J698">
            <v>7.3689609782463319E-2</v>
          </cell>
          <cell r="K698">
            <v>6.9500542761489564E-2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I699">
            <v>1.6806116642096209E-2</v>
          </cell>
          <cell r="J699">
            <v>7.3689609782463486E-2</v>
          </cell>
          <cell r="K699">
            <v>6.9500542761489634E-2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I700">
            <v>1.8587062448175127E-2</v>
          </cell>
          <cell r="J700">
            <v>8.1491384516376136E-2</v>
          </cell>
          <cell r="K700">
            <v>7.6858837139761618E-2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I701">
            <v>1.8587062448175127E-2</v>
          </cell>
          <cell r="J701">
            <v>8.1491384516376136E-2</v>
          </cell>
          <cell r="K701">
            <v>7.6858837139761618E-2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I702">
            <v>4.2772861827436899E-2</v>
          </cell>
          <cell r="J702">
            <v>3.4333952611941297E-2</v>
          </cell>
          <cell r="K702">
            <v>7.1018280154483804E-2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I703">
            <v>7.5716529096428856E-2</v>
          </cell>
          <cell r="J703">
            <v>7.7173810253132316E-2</v>
          </cell>
          <cell r="K703">
            <v>9.5742838833771021E-2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I704">
            <v>701.48002116569796</v>
          </cell>
          <cell r="J704">
            <v>117.389450624921</v>
          </cell>
          <cell r="K704">
            <v>1067.26560350912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0.15198523815019274</v>
          </cell>
          <cell r="J705">
            <v>0.10955763991849335</v>
          </cell>
          <cell r="K705">
            <v>0.4621242699073797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I706">
            <v>13.853513358770986</v>
          </cell>
          <cell r="J706">
            <v>3.5303775036617528</v>
          </cell>
          <cell r="K706">
            <v>20.31730511815136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I707">
            <v>12.437589027760577</v>
          </cell>
          <cell r="J707">
            <v>2.0813732380305106</v>
          </cell>
          <cell r="K707">
            <v>18.923148998388651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I708">
            <v>1.4608391122777344</v>
          </cell>
          <cell r="J708">
            <v>1.4608395596868444</v>
          </cell>
          <cell r="K708">
            <v>1.4608404191008182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0.15198227982652407</v>
          </cell>
          <cell r="J709">
            <v>0.10955678404830285</v>
          </cell>
          <cell r="K709">
            <v>0.46212426990722888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I710">
            <v>1.5300002568914899E-6</v>
          </cell>
          <cell r="J710">
            <v>1.9384971100051398E-6</v>
          </cell>
          <cell r="K710">
            <v>0.28899578383396701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I711">
            <v>1.9844871842264322</v>
          </cell>
          <cell r="J711">
            <v>1.9844891227235422</v>
          </cell>
          <cell r="K711">
            <v>1.3844609737373288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I712">
            <v>3.6358989449662165</v>
          </cell>
          <cell r="J712">
            <v>5.1006219495500558</v>
          </cell>
          <cell r="K712">
            <v>6.1200029154631306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I713">
            <v>3.6358989449662165</v>
          </cell>
          <cell r="J713">
            <v>5.1006219495500558</v>
          </cell>
          <cell r="K713">
            <v>6.1200029154631306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I714">
            <v>0.31878777047204099</v>
          </cell>
          <cell r="J714">
            <v>3.3713285574055398E-6</v>
          </cell>
          <cell r="K714">
            <v>0.673418204152607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I715">
            <v>0.60450338663729775</v>
          </cell>
          <cell r="J715">
            <v>0.84802777890790171</v>
          </cell>
          <cell r="K715">
            <v>1.01750987695187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I716">
            <v>0.19842300619504027</v>
          </cell>
          <cell r="J716">
            <v>0.12679112258837641</v>
          </cell>
          <cell r="K716">
            <v>4.0572822894145814E-2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I717">
            <v>0.19842300619504027</v>
          </cell>
          <cell r="J717">
            <v>0.12679112258837641</v>
          </cell>
          <cell r="K717">
            <v>4.0572822894145814E-2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I718">
            <v>4.6110679620995834</v>
          </cell>
          <cell r="J718">
            <v>4.8944546710408448</v>
          </cell>
          <cell r="K718">
            <v>5.5145469048761706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I719">
            <v>4.6110679620995834</v>
          </cell>
          <cell r="J719">
            <v>4.8944546710408448</v>
          </cell>
          <cell r="K719">
            <v>5.5145469048761706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I720">
            <v>4.6110679620995896</v>
          </cell>
          <cell r="J720">
            <v>4.8944546710408501</v>
          </cell>
          <cell r="K720">
            <v>5.5145469048761697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I721">
            <v>0.29984480490100202</v>
          </cell>
          <cell r="J721">
            <v>0.664799399871569</v>
          </cell>
          <cell r="K721">
            <v>0.68594943082013904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I722">
            <v>1.3292367253587549</v>
          </cell>
          <cell r="J722">
            <v>1.410928915512726</v>
          </cell>
          <cell r="K722">
            <v>1.58968328177048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  <cell r="K723">
            <v>9.097596411434674E-3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  <cell r="K724">
            <v>-9.0975964114346792E-3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  <cell r="K725">
            <v>5.7985991553537826E-5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  <cell r="K726">
            <v>8.2788127344055569E-6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  <cell r="J727">
            <v>1.45599674171033E-5</v>
          </cell>
          <cell r="K727">
            <v>1.4024234169569599E-3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  <cell r="J728">
            <v>1.45599674171033E-5</v>
          </cell>
          <cell r="K728">
            <v>1.4084444618655898E-3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I729">
            <v>0.73028916251182263</v>
          </cell>
          <cell r="J729">
            <v>0.73586379070235441</v>
          </cell>
          <cell r="K729">
            <v>0.67108897954909996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I730">
            <v>0.73028916251182263</v>
          </cell>
          <cell r="J730">
            <v>0.73586379070235441</v>
          </cell>
          <cell r="K730">
            <v>0.67108897954909996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I731">
            <v>5.4202145444993903E-2</v>
          </cell>
          <cell r="J731">
            <v>3.84584314150759E-7</v>
          </cell>
          <cell r="K731">
            <v>1.7727698472131798E-5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I732">
            <v>7.5300764546705604E-2</v>
          </cell>
          <cell r="J732">
            <v>7.5301149131019804E-2</v>
          </cell>
          <cell r="K732">
            <v>7.5318876829491899E-2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I733">
            <v>1.7999990200125604E-2</v>
          </cell>
          <cell r="J733">
            <v>2.4455500249119699E-2</v>
          </cell>
          <cell r="K733">
            <v>3.522044503242807E-2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I734">
            <v>1.7999990200125601E-2</v>
          </cell>
          <cell r="J734">
            <v>2.4455500249119692E-2</v>
          </cell>
          <cell r="K734">
            <v>3.5220445032428049E-2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I735">
            <v>2.0130434433853758E-2</v>
          </cell>
          <cell r="J735">
            <v>2.734880878405763E-2</v>
          </cell>
          <cell r="K735">
            <v>3.9384708962044289E-2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I736">
            <v>2.0130434433853758E-2</v>
          </cell>
          <cell r="J736">
            <v>2.734880878405763E-2</v>
          </cell>
          <cell r="K736">
            <v>3.9384708962044289E-2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I737">
            <v>1.7162902784977199E-2</v>
          </cell>
          <cell r="J737">
            <v>2.3073018624111E-2</v>
          </cell>
          <cell r="K737">
            <v>4.0703192157336102E-2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I738">
            <v>2.7155834869229827E-2</v>
          </cell>
          <cell r="J738">
            <v>4.168999731010066E-2</v>
          </cell>
          <cell r="K738">
            <v>5.5285886133839696E-2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I739">
            <v>1.2532770957709933E-2</v>
          </cell>
          <cell r="J739">
            <v>3.3099125750061201E-2</v>
          </cell>
          <cell r="K739">
            <v>2.380481979326465E-2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I740">
            <v>1.253277095770995E-2</v>
          </cell>
          <cell r="J740">
            <v>3.3099125750061242E-2</v>
          </cell>
          <cell r="K740">
            <v>2.3804819793264674E-2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I741">
            <v>1.3861319893125787E-2</v>
          </cell>
          <cell r="J741">
            <v>3.6603797157661169E-2</v>
          </cell>
          <cell r="K741">
            <v>2.6325545799870138E-2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I742">
            <v>1.3861319893125787E-2</v>
          </cell>
          <cell r="J742">
            <v>3.6603797157661169E-2</v>
          </cell>
          <cell r="K742">
            <v>2.6325545799870138E-2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I743">
            <v>1.47638025684491E-2</v>
          </cell>
          <cell r="J743">
            <v>1.03460024288392E-2</v>
          </cell>
          <cell r="K743">
            <v>2.25521190303314E-2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I744">
            <v>2.4885480176170531E-2</v>
          </cell>
          <cell r="J744">
            <v>2.5211057665657809E-2</v>
          </cell>
          <cell r="K744">
            <v>3.0331322158949334E-2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I745">
            <v>2.0535621710450727E-3</v>
          </cell>
          <cell r="J745">
            <v>1.8040372575556915E-3</v>
          </cell>
          <cell r="K745">
            <v>1.9220148441702852E-3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I746">
            <v>2.0535621710450727E-3</v>
          </cell>
          <cell r="J746">
            <v>1.8040372575556915E-3</v>
          </cell>
          <cell r="K746">
            <v>1.9220148441702852E-3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I747">
            <v>2.5664205672876017E-3</v>
          </cell>
          <cell r="J747">
            <v>2.254514425452723E-3</v>
          </cell>
          <cell r="K747">
            <v>2.401963986054322E-3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I748">
            <v>2.5664205672876017E-3</v>
          </cell>
          <cell r="J748">
            <v>2.254514425452723E-3</v>
          </cell>
          <cell r="K748">
            <v>2.401963986054322E-3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I749">
            <v>4.43754215835785E-8</v>
          </cell>
          <cell r="J749">
            <v>6.7404063700353896E-8</v>
          </cell>
          <cell r="K749">
            <v>2.1822440671802999E-7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I750">
            <v>1.7581408811460201E-4</v>
          </cell>
          <cell r="J750">
            <v>1.75841403357679E-4</v>
          </cell>
          <cell r="K750">
            <v>1.75974425562255E-4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I751">
            <v>2262.8577221926498</v>
          </cell>
          <cell r="J751">
            <v>2266.0985864700901</v>
          </cell>
          <cell r="K751">
            <v>2317.3910001824102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I752">
            <v>48.768496527723194</v>
          </cell>
          <cell r="J752">
            <v>48.838339057901194</v>
          </cell>
          <cell r="K752">
            <v>49.943771555655438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I753">
            <v>24.38424269604144</v>
          </cell>
          <cell r="J753">
            <v>24.419165802479434</v>
          </cell>
          <cell r="K753">
            <v>24.971885777827723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I754">
            <v>24.38424269604144</v>
          </cell>
          <cell r="J754">
            <v>24.419165802479434</v>
          </cell>
          <cell r="K754">
            <v>24.971885777827723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2373.8902836972802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218.80028184783285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1887.6615421861595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351.85577461790075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3.4781198441496879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383.67130390287878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1328.9710992395451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1031.8726323905942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9.097596411434674E-3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7580.1491708160647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7580.1491708160647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7580.1491708160647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17.276137233557701</v>
          </cell>
          <cell r="I4">
            <v>29.138468482673801</v>
          </cell>
          <cell r="J4">
            <v>57.958627493208098</v>
          </cell>
        </row>
        <row r="5">
          <cell r="A5" t="str">
            <v>EXPELC_DE</v>
          </cell>
          <cell r="C5" t="str">
            <v>ELC_E-DE</v>
          </cell>
          <cell r="H5">
            <v>1.1134382229149717E-3</v>
          </cell>
          <cell r="I5">
            <v>1.1477358192465018E-3</v>
          </cell>
          <cell r="J5">
            <v>3.7986757728070012E-4</v>
          </cell>
        </row>
        <row r="6">
          <cell r="A6" t="str">
            <v>IMPDSL</v>
          </cell>
          <cell r="C6" t="str">
            <v>DSL</v>
          </cell>
          <cell r="H6">
            <v>42.032106987007346</v>
          </cell>
          <cell r="I6">
            <v>36.899794837375303</v>
          </cell>
        </row>
        <row r="7">
          <cell r="A7" t="str">
            <v>IMPELC_AT</v>
          </cell>
          <cell r="C7" t="str">
            <v>ELC_I-AT</v>
          </cell>
          <cell r="H7">
            <v>3.6198738175047827</v>
          </cell>
          <cell r="I7">
            <v>5.4842874424392942</v>
          </cell>
          <cell r="J7">
            <v>4.8573573429950194</v>
          </cell>
        </row>
        <row r="8">
          <cell r="A8" t="str">
            <v>IMPELC_AT</v>
          </cell>
          <cell r="C8" t="str">
            <v>ELCS</v>
          </cell>
          <cell r="H8">
            <v>3.6198738175047827</v>
          </cell>
          <cell r="I8">
            <v>5.4842874424392942</v>
          </cell>
          <cell r="J8">
            <v>4.8573573429950194</v>
          </cell>
        </row>
        <row r="9">
          <cell r="A9" t="str">
            <v>IMPELC_FR</v>
          </cell>
          <cell r="C9" t="str">
            <v>ELC_I-FR</v>
          </cell>
          <cell r="H9">
            <v>15.390525664623846</v>
          </cell>
          <cell r="I9">
            <v>10.865991672769638</v>
          </cell>
          <cell r="J9">
            <v>9.7106799514707429</v>
          </cell>
        </row>
        <row r="10">
          <cell r="A10" t="str">
            <v>IMPELC_FR</v>
          </cell>
          <cell r="C10" t="str">
            <v>ELCS</v>
          </cell>
          <cell r="H10">
            <v>15.390525664623846</v>
          </cell>
          <cell r="I10">
            <v>10.865991672769638</v>
          </cell>
          <cell r="J10">
            <v>9.7106799514707429</v>
          </cell>
        </row>
        <row r="11">
          <cell r="A11" t="str">
            <v>RNWHYDR1</v>
          </cell>
          <cell r="C11" t="str">
            <v>HYDR</v>
          </cell>
          <cell r="H11">
            <v>63.85308183538514</v>
          </cell>
          <cell r="I11">
            <v>63.849268259655737</v>
          </cell>
          <cell r="J11">
            <v>66.651249292662428</v>
          </cell>
        </row>
        <row r="12">
          <cell r="A12" t="str">
            <v>EXPELC_IT</v>
          </cell>
          <cell r="C12" t="str">
            <v>ELC_E-IT</v>
          </cell>
          <cell r="H12">
            <v>45.873235072844331</v>
          </cell>
          <cell r="I12">
            <v>20.811752416670235</v>
          </cell>
          <cell r="J12">
            <v>16.630807513482363</v>
          </cell>
        </row>
        <row r="13">
          <cell r="A13" t="str">
            <v>IMPLNG</v>
          </cell>
          <cell r="C13" t="str">
            <v>LBIO</v>
          </cell>
          <cell r="H13">
            <v>1.8271121376745112</v>
          </cell>
          <cell r="I13">
            <v>2.1353265792136411</v>
          </cell>
          <cell r="J13">
            <v>2.1354432141481525</v>
          </cell>
        </row>
        <row r="14">
          <cell r="A14" t="str">
            <v>IMPLNG</v>
          </cell>
          <cell r="C14" t="str">
            <v>LNGA</v>
          </cell>
          <cell r="H14">
            <v>2.0721407990711201E-3</v>
          </cell>
          <cell r="I14">
            <v>3.7904354739208139E-4</v>
          </cell>
          <cell r="J14">
            <v>2.6388500736200624E-4</v>
          </cell>
        </row>
        <row r="15">
          <cell r="A15" t="str">
            <v>IMPURN1</v>
          </cell>
          <cell r="C15" t="str">
            <v>URN</v>
          </cell>
          <cell r="H15">
            <v>167.60369274845081</v>
          </cell>
          <cell r="I15">
            <v>98.945500114542966</v>
          </cell>
        </row>
        <row r="16">
          <cell r="A16" t="str">
            <v>EXPELC_AT</v>
          </cell>
          <cell r="C16" t="str">
            <v>ELC_E-AT</v>
          </cell>
          <cell r="H16">
            <v>2.1135570306074725E-4</v>
          </cell>
          <cell r="I16">
            <v>1.8449903852471803E-4</v>
          </cell>
          <cell r="J16">
            <v>1.1719895046706666E-4</v>
          </cell>
        </row>
        <row r="17">
          <cell r="A17" t="str">
            <v>EXPELC_FR</v>
          </cell>
          <cell r="C17" t="str">
            <v>ELC_E-FR</v>
          </cell>
          <cell r="H17">
            <v>9.3378292043590412E-4</v>
          </cell>
          <cell r="I17">
            <v>1.3030207651874392E-3</v>
          </cell>
          <cell r="J17">
            <v>8.9546589952470832E-4</v>
          </cell>
        </row>
        <row r="18">
          <cell r="A18" t="str">
            <v>RNWWND1</v>
          </cell>
          <cell r="C18" t="str">
            <v>WND</v>
          </cell>
          <cell r="H18">
            <v>0.87512559428208869</v>
          </cell>
          <cell r="I18">
            <v>0.87512721959979256</v>
          </cell>
          <cell r="J18">
            <v>0.87512954917274322</v>
          </cell>
        </row>
        <row r="19">
          <cell r="A19" t="str">
            <v>RNWWND2</v>
          </cell>
          <cell r="C19" t="str">
            <v>WND</v>
          </cell>
          <cell r="H19">
            <v>2.3070385719371962</v>
          </cell>
          <cell r="I19">
            <v>2.3070691110245751</v>
          </cell>
          <cell r="J19">
            <v>2.3070747725723848</v>
          </cell>
        </row>
        <row r="20">
          <cell r="A20" t="str">
            <v>RNWMNR1</v>
          </cell>
          <cell r="C20" t="str">
            <v>MNR</v>
          </cell>
          <cell r="H20">
            <v>12.540438421620154</v>
          </cell>
          <cell r="I20">
            <v>12.540428898474442</v>
          </cell>
          <cell r="J20">
            <v>12.540427344394299</v>
          </cell>
        </row>
        <row r="21">
          <cell r="A21" t="str">
            <v>RNWWND3</v>
          </cell>
          <cell r="C21" t="str">
            <v>WND</v>
          </cell>
          <cell r="H21">
            <v>0.4510095023137366</v>
          </cell>
          <cell r="I21">
            <v>1.9162906963197237</v>
          </cell>
          <cell r="J21">
            <v>2.9363836146810378</v>
          </cell>
        </row>
        <row r="22">
          <cell r="A22" t="str">
            <v>RNWMNR2</v>
          </cell>
          <cell r="C22" t="str">
            <v>MNR</v>
          </cell>
          <cell r="I22">
            <v>2.0900725773482045</v>
          </cell>
          <cell r="J22">
            <v>6.2702127401154515</v>
          </cell>
        </row>
        <row r="23">
          <cell r="A23" t="str">
            <v>RNWWND4</v>
          </cell>
          <cell r="C23" t="str">
            <v>WND</v>
          </cell>
          <cell r="H23">
            <v>1.8486056540294828E-3</v>
          </cell>
          <cell r="I23">
            <v>1.4752008424759018E-3</v>
          </cell>
          <cell r="J23">
            <v>9.9310479820959529E-4</v>
          </cell>
        </row>
        <row r="24">
          <cell r="A24" t="str">
            <v>RNWMNR3</v>
          </cell>
          <cell r="C24" t="str">
            <v>MNR</v>
          </cell>
          <cell r="I24">
            <v>2.4318752993809256</v>
          </cell>
          <cell r="J24">
            <v>0.66051852966571345</v>
          </cell>
        </row>
        <row r="25">
          <cell r="A25" t="str">
            <v>IMPLFO1</v>
          </cell>
          <cell r="C25" t="str">
            <v>LFO</v>
          </cell>
          <cell r="H25">
            <v>26.164424246746503</v>
          </cell>
          <cell r="I25">
            <v>8.40524175790196</v>
          </cell>
        </row>
        <row r="26">
          <cell r="A26" t="str">
            <v>RNWWND5</v>
          </cell>
          <cell r="C26" t="str">
            <v>WND</v>
          </cell>
          <cell r="H26">
            <v>8.9022789089740148E-4</v>
          </cell>
          <cell r="I26">
            <v>6.6965118378529899E-4</v>
          </cell>
          <cell r="J26">
            <v>4.3221354078455524E-4</v>
          </cell>
        </row>
        <row r="27">
          <cell r="A27" t="str">
            <v>IMPBNGA</v>
          </cell>
          <cell r="C27" t="str">
            <v>BIO</v>
          </cell>
          <cell r="H27">
            <v>2.1853531058447118</v>
          </cell>
          <cell r="I27">
            <v>3.3496298969436282E-4</v>
          </cell>
          <cell r="J27">
            <v>1.9931083948636531E-5</v>
          </cell>
        </row>
        <row r="28">
          <cell r="A28" t="str">
            <v>IMPKERintl</v>
          </cell>
          <cell r="C28" t="str">
            <v>KERintl</v>
          </cell>
          <cell r="H28">
            <v>69.104545854202001</v>
          </cell>
          <cell r="I28">
            <v>56.562908219204097</v>
          </cell>
          <cell r="J28">
            <v>24.839411899669098</v>
          </cell>
        </row>
        <row r="29">
          <cell r="A29" t="str">
            <v>IMPGSL</v>
          </cell>
          <cell r="C29" t="str">
            <v>GSL</v>
          </cell>
          <cell r="H29">
            <v>30.199817153214806</v>
          </cell>
          <cell r="I29">
            <v>15.299848238358303</v>
          </cell>
        </row>
        <row r="30">
          <cell r="A30" t="str">
            <v>RNWWOD1</v>
          </cell>
          <cell r="C30" t="str">
            <v>WOD</v>
          </cell>
          <cell r="H30">
            <v>15.849138837977588</v>
          </cell>
          <cell r="I30">
            <v>16.266396404803849</v>
          </cell>
          <cell r="J30">
            <v>16.956995174839527</v>
          </cell>
        </row>
        <row r="31">
          <cell r="A31" t="str">
            <v>RNWWOD2</v>
          </cell>
          <cell r="C31" t="str">
            <v>WOD</v>
          </cell>
          <cell r="H31">
            <v>7.6690265416233467</v>
          </cell>
          <cell r="I31">
            <v>7.6690271326706316</v>
          </cell>
          <cell r="J31">
            <v>7.6690281520076446</v>
          </cell>
        </row>
        <row r="32">
          <cell r="A32" t="str">
            <v>RNWWOD3</v>
          </cell>
          <cell r="C32" t="str">
            <v>WOD</v>
          </cell>
          <cell r="H32">
            <v>4.8053852202669471</v>
          </cell>
          <cell r="I32">
            <v>4.8053860167483036</v>
          </cell>
          <cell r="J32">
            <v>4.8053872639745725</v>
          </cell>
        </row>
        <row r="33">
          <cell r="A33" t="str">
            <v>RNWWOD4</v>
          </cell>
          <cell r="C33" t="str">
            <v>WOD</v>
          </cell>
          <cell r="H33">
            <v>19.385195860443684</v>
          </cell>
          <cell r="I33">
            <v>18.968296186994468</v>
          </cell>
          <cell r="J33">
            <v>18.278109732141424</v>
          </cell>
        </row>
        <row r="34">
          <cell r="A34" t="str">
            <v>RNWWOD5</v>
          </cell>
          <cell r="C34" t="str">
            <v>WOD</v>
          </cell>
          <cell r="H34">
            <v>1.261420900059839E-3</v>
          </cell>
          <cell r="I34">
            <v>9.0127306631465338E-4</v>
          </cell>
          <cell r="J34">
            <v>4.8787723413968844E-4</v>
          </cell>
        </row>
        <row r="35">
          <cell r="A35" t="str">
            <v>RNNWWST1</v>
          </cell>
          <cell r="C35" t="str">
            <v>WSTNREN</v>
          </cell>
          <cell r="H35">
            <v>35.286969489574339</v>
          </cell>
          <cell r="I35">
            <v>35.15944883831785</v>
          </cell>
          <cell r="J35">
            <v>35.603183359034006</v>
          </cell>
        </row>
        <row r="36">
          <cell r="A36" t="str">
            <v>RNWSOL1</v>
          </cell>
          <cell r="C36" t="str">
            <v>SOL</v>
          </cell>
          <cell r="H36">
            <v>56.056720102803325</v>
          </cell>
          <cell r="I36">
            <v>69.303068770737937</v>
          </cell>
          <cell r="J36">
            <v>95.974439464300403</v>
          </cell>
        </row>
        <row r="37">
          <cell r="A37" t="str">
            <v>IMPHFO1</v>
          </cell>
          <cell r="C37" t="str">
            <v>HFO</v>
          </cell>
          <cell r="H37">
            <v>4.4808844323133583E-4</v>
          </cell>
          <cell r="I37">
            <v>5.7955359337383286E-6</v>
          </cell>
        </row>
        <row r="38">
          <cell r="A38" t="str">
            <v>RNWHYDD1</v>
          </cell>
          <cell r="C38" t="str">
            <v>HYDD</v>
          </cell>
          <cell r="H38">
            <v>72.133327636568737</v>
          </cell>
          <cell r="I38">
            <v>72.137146697699606</v>
          </cell>
          <cell r="J38">
            <v>69.335162994495818</v>
          </cell>
        </row>
        <row r="39">
          <cell r="A39" t="str">
            <v>IMPKER</v>
          </cell>
          <cell r="C39" t="str">
            <v>KER</v>
          </cell>
          <cell r="H39">
            <v>1.3799657354824304</v>
          </cell>
          <cell r="I39">
            <v>0.34070246678081367</v>
          </cell>
        </row>
        <row r="40">
          <cell r="A40" t="str">
            <v>IMPBDS</v>
          </cell>
          <cell r="C40" t="str">
            <v>BDS</v>
          </cell>
          <cell r="H40">
            <v>4.0668272542335524</v>
          </cell>
          <cell r="I40">
            <v>4.0662103107922141</v>
          </cell>
          <cell r="J40">
            <v>10.288507204351589</v>
          </cell>
        </row>
        <row r="41">
          <cell r="A41" t="str">
            <v>IMPCOA1</v>
          </cell>
          <cell r="C41" t="str">
            <v>COA</v>
          </cell>
          <cell r="H41">
            <v>3.2816316256354506E-4</v>
          </cell>
          <cell r="I41">
            <v>5.6609530104344958E-6</v>
          </cell>
          <cell r="J41">
            <v>1.6809361199672176E-4</v>
          </cell>
        </row>
        <row r="42">
          <cell r="A42" t="str">
            <v>IMPETH</v>
          </cell>
          <cell r="C42" t="str">
            <v>ETH</v>
          </cell>
          <cell r="H42">
            <v>2.1599248593719307</v>
          </cell>
          <cell r="I42">
            <v>4.3455610691852078</v>
          </cell>
        </row>
        <row r="43">
          <cell r="A43" t="str">
            <v>IMPELC_DE</v>
          </cell>
          <cell r="C43" t="str">
            <v>ELC_I-DE</v>
          </cell>
          <cell r="H43">
            <v>26.865636767650713</v>
          </cell>
          <cell r="I43">
            <v>29.321605699591355</v>
          </cell>
          <cell r="J43">
            <v>14.819072801740466</v>
          </cell>
        </row>
        <row r="44">
          <cell r="A44" t="str">
            <v>IMPELC_DE</v>
          </cell>
          <cell r="C44" t="str">
            <v>ELCS</v>
          </cell>
          <cell r="H44">
            <v>26.865636767650713</v>
          </cell>
          <cell r="I44">
            <v>29.321605699591355</v>
          </cell>
          <cell r="J44">
            <v>14.819072801740466</v>
          </cell>
        </row>
        <row r="45">
          <cell r="A45" t="str">
            <v>RNWWST1</v>
          </cell>
          <cell r="C45" t="str">
            <v>WSTREN</v>
          </cell>
          <cell r="H45">
            <v>37.694771942629657</v>
          </cell>
          <cell r="I45">
            <v>39.02070027562862</v>
          </cell>
          <cell r="J45">
            <v>42.068390792973112</v>
          </cell>
        </row>
        <row r="46">
          <cell r="A46" t="str">
            <v>IMPNGA1</v>
          </cell>
          <cell r="C46" t="str">
            <v>NGA</v>
          </cell>
          <cell r="H46">
            <v>51.867783075700828</v>
          </cell>
          <cell r="I46">
            <v>25.22517261170367</v>
          </cell>
          <cell r="J46">
            <v>39.241819453005206</v>
          </cell>
        </row>
        <row r="47">
          <cell r="A47" t="str">
            <v>IMPELC_IT</v>
          </cell>
          <cell r="C47" t="str">
            <v>ELC_I-IT</v>
          </cell>
          <cell r="H47">
            <v>2.1659151723237133E-4</v>
          </cell>
          <cell r="I47">
            <v>2.0132063079020976E-4</v>
          </cell>
          <cell r="J47">
            <v>1.5451109726978375E-4</v>
          </cell>
        </row>
        <row r="48">
          <cell r="A48" t="str">
            <v>IMPELC_IT</v>
          </cell>
          <cell r="C48" t="str">
            <v>ELCS</v>
          </cell>
          <cell r="H48">
            <v>2.1659151723237133E-4</v>
          </cell>
          <cell r="I48">
            <v>2.0132063079020976E-4</v>
          </cell>
          <cell r="J48">
            <v>1.5451109726978375E-4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0.22033559096104455</v>
          </cell>
          <cell r="I4">
            <v>0.16277543075605713</v>
          </cell>
          <cell r="J4">
            <v>5.6839076886773907E-2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0.22033559096104455</v>
          </cell>
          <cell r="I5">
            <v>0.16277543075605713</v>
          </cell>
          <cell r="J5">
            <v>5.6839076886773907E-2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3.3673535665271393E-4</v>
          </cell>
          <cell r="I6">
            <v>2.01107153589775E-4</v>
          </cell>
          <cell r="J6">
            <v>2.9749251260205597E-4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3.3707209200936627E-4</v>
          </cell>
          <cell r="I7">
            <v>2.0130826074336468E-4</v>
          </cell>
          <cell r="J7">
            <v>2.9779000511465819E-4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3.3555624074136986E-4</v>
          </cell>
          <cell r="I8">
            <v>2.0127186555052206E-4</v>
          </cell>
          <cell r="J8">
            <v>3.0102669279836655E-4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7.3379749772472699E-7</v>
          </cell>
          <cell r="I9">
            <v>2.64086856297093E-5</v>
          </cell>
          <cell r="J9">
            <v>4.2469932103226901E-5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1.48585343569213E-4</v>
          </cell>
          <cell r="I10">
            <v>4.66749794933309E-5</v>
          </cell>
          <cell r="J10">
            <v>6.1945993002909098E-5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9.5215788092209905</v>
          </cell>
          <cell r="I11">
            <v>5.2208734237461298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0.122711223047624</v>
          </cell>
          <cell r="I12">
            <v>6.7285034975952701E-2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0.12919374232321545</v>
          </cell>
          <cell r="I13">
            <v>7.0839530851372234E-2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2.9510501851906606E-2</v>
          </cell>
          <cell r="I15">
            <v>5.2262237031983731E-3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24.360893110219202</v>
          </cell>
          <cell r="I16">
            <v>28.1137613635326</v>
          </cell>
          <cell r="J16">
            <v>27.755565124014598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0.88160319688786903</v>
          </cell>
          <cell r="I17">
            <v>1.0300424978219727</v>
          </cell>
          <cell r="J17">
            <v>1.0549634521878295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0.43193072890459566</v>
          </cell>
          <cell r="I18">
            <v>0.49847094616192472</v>
          </cell>
          <cell r="J18">
            <v>0.49211994900735151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0.88160319688786903</v>
          </cell>
          <cell r="I19">
            <v>1.0300424978219727</v>
          </cell>
          <cell r="J19">
            <v>1.0549634521878295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2.7808587426897999E-2</v>
          </cell>
          <cell r="I20">
            <v>3.02870221680436E-2</v>
          </cell>
          <cell r="J20">
            <v>4.3118223898055801E-2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6.4253318470400458E-2</v>
          </cell>
          <cell r="I21">
            <v>7.5990968048869248E-2</v>
          </cell>
          <cell r="J21">
            <v>7.6861311458883017E-2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0.54475133445525648</v>
          </cell>
          <cell r="I22">
            <v>0.54475096111753207</v>
          </cell>
          <cell r="J22">
            <v>0.54475417270421911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0.54475133445525648</v>
          </cell>
          <cell r="I23">
            <v>0.54475096111753207</v>
          </cell>
          <cell r="J23">
            <v>0.54475417270421911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0.73243876901547111</v>
          </cell>
          <cell r="I24">
            <v>0.73039235010171977</v>
          </cell>
          <cell r="J24">
            <v>0.72633889693895948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2.0259159927316299E-2</v>
          </cell>
          <cell r="I25">
            <v>1.6498314388436599E-2</v>
          </cell>
          <cell r="J25">
            <v>1.8883109136897901E-2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3.2185033701649379E-2</v>
          </cell>
          <cell r="I26">
            <v>3.6765104545181414E-2</v>
          </cell>
          <cell r="J26">
            <v>3.9416452727057051E-2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8.2622118522162941E-4</v>
          </cell>
          <cell r="I27">
            <v>1.4273799704132978E-3</v>
          </cell>
          <cell r="J27">
            <v>6.565546702033614E-4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4.8735015801771887E-4</v>
          </cell>
          <cell r="I28">
            <v>5.6795015382263975E-4</v>
          </cell>
          <cell r="J28">
            <v>2.9427381285900705E-4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1.30287276371071E-3</v>
          </cell>
          <cell r="I29">
            <v>1.988918880787411E-3</v>
          </cell>
          <cell r="J29">
            <v>9.4523189162223149E-4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0.7180840007948609</v>
          </cell>
          <cell r="I30">
            <v>0.56314330258527023</v>
          </cell>
          <cell r="J30">
            <v>0.26741140909221078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1.5835475661255789</v>
          </cell>
          <cell r="I31">
            <v>1.2153032663717478</v>
          </cell>
          <cell r="J31">
            <v>0.53980913554760346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1.1940203458566801E-2</v>
          </cell>
          <cell r="I32">
            <v>2.1810428671424902E-2</v>
          </cell>
          <cell r="J32">
            <v>1.4203902281318E-7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5.040702993895263E-2</v>
          </cell>
          <cell r="I33">
            <v>3.8496927470388916E-2</v>
          </cell>
          <cell r="J33">
            <v>2.0876634834269804E-2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2.8909490293401015</v>
          </cell>
          <cell r="I34">
            <v>2.0902308906905431</v>
          </cell>
          <cell r="J34">
            <v>0.91361592583009099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3.9788922639879267</v>
          </cell>
          <cell r="I35">
            <v>2.8564231432464191</v>
          </cell>
          <cell r="J35">
            <v>1.2048778320445903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0.115647756417251</v>
          </cell>
          <cell r="I36">
            <v>5.3233770589580599E-2</v>
          </cell>
          <cell r="J36">
            <v>6.9240532281494195E-8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0.23423796328479368</v>
          </cell>
          <cell r="I37">
            <v>0.16888167096515119</v>
          </cell>
          <cell r="J37">
            <v>8.330730444873663E-2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0.2512253879265639</v>
          </cell>
          <cell r="J38">
            <v>0.23053393197025265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0.25376301810764007</v>
          </cell>
          <cell r="J39">
            <v>0.23286255754570989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2.0880124327052298E-6</v>
          </cell>
          <cell r="I40">
            <v>3.6486098686003499E-2</v>
          </cell>
          <cell r="J40">
            <v>2.65935808620627E-6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2.7885962534225701E-6</v>
          </cell>
          <cell r="I41">
            <v>3.6488887282256903E-2</v>
          </cell>
          <cell r="J41">
            <v>3.6491546640343098E-2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4.1245255432143573</v>
          </cell>
          <cell r="I42">
            <v>2.6453334841340554</v>
          </cell>
          <cell r="J42">
            <v>1.0268736639755891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6.122733347304222</v>
          </cell>
          <cell r="I43">
            <v>3.9269175007764705</v>
          </cell>
          <cell r="J43">
            <v>1.437863761767759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0.180985312630908</v>
          </cell>
          <cell r="I44">
            <v>3.2269803510058898E-2</v>
          </cell>
          <cell r="J44">
            <v>4.3865607263153599E-7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0.32857745020889295</v>
          </cell>
          <cell r="I45">
            <v>0.21325528397252802</v>
          </cell>
          <cell r="J45">
            <v>9.9974635616884813E-2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8.114390664400398</v>
          </cell>
          <cell r="I46">
            <v>7.698731145381827</v>
          </cell>
          <cell r="J46">
            <v>10.219907397126232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8.114390664400398</v>
          </cell>
          <cell r="I47">
            <v>7.698731145381827</v>
          </cell>
          <cell r="J47">
            <v>10.219907397126232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8.6385150681146285</v>
          </cell>
          <cell r="I48">
            <v>8.1530407524530091</v>
          </cell>
          <cell r="J48">
            <v>10.757797260132879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0.25734883251552898</v>
          </cell>
          <cell r="I49">
            <v>0.13260131925422899</v>
          </cell>
          <cell r="J49">
            <v>0.552632377232678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0.47566886527285002</v>
          </cell>
          <cell r="I50">
            <v>0.42548372524478795</v>
          </cell>
          <cell r="J50">
            <v>0.72237937945766328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0.19510017177444358</v>
          </cell>
          <cell r="I51">
            <v>0.24004617728443367</v>
          </cell>
          <cell r="J51">
            <v>0.27263586646145765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0.19529527194621796</v>
          </cell>
          <cell r="I52">
            <v>0.24028622346171816</v>
          </cell>
          <cell r="J52">
            <v>0.27290850232791908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0.19510389678823828</v>
          </cell>
          <cell r="I53">
            <v>0.24004785844814458</v>
          </cell>
          <cell r="J53">
            <v>0.27263915438210001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1.81822650535515E-2</v>
          </cell>
          <cell r="I54">
            <v>3.0227214526205099E-2</v>
          </cell>
          <cell r="J54">
            <v>3.4121638160976901E-2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5.0124626115116144E-2</v>
          </cell>
          <cell r="I55">
            <v>6.2437356604558944E-2</v>
          </cell>
          <cell r="J55">
            <v>6.3703195190872502E-2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0.30071737329839698</v>
          </cell>
          <cell r="I56">
            <v>0.3230226351324007</v>
          </cell>
          <cell r="J56">
            <v>0.33960012886017332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8.3237433150604563</v>
          </cell>
          <cell r="I57">
            <v>8.8412386809716228</v>
          </cell>
          <cell r="J57">
            <v>7.4255849957101923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3.9144014288086812</v>
          </cell>
          <cell r="I58">
            <v>4.1888167572764221</v>
          </cell>
          <cell r="J58">
            <v>3.6297671369457638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0.67434166555389252</v>
          </cell>
          <cell r="I59">
            <v>0.48444347296151324</v>
          </cell>
          <cell r="J59">
            <v>1.1489079779196454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0.50439273607509871</v>
          </cell>
          <cell r="I60">
            <v>0.57244439511328515</v>
          </cell>
          <cell r="J60">
            <v>0.61163229290560273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15.017953210069852</v>
          </cell>
          <cell r="I61">
            <v>15.718177102861768</v>
          </cell>
          <cell r="J61">
            <v>14.245450928424422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9.0354741028045596E-2</v>
          </cell>
          <cell r="I62">
            <v>5.8760928820229499E-2</v>
          </cell>
          <cell r="J62">
            <v>1.27381478971929E-7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0.87218748957169101</v>
          </cell>
          <cell r="I63">
            <v>0.93094841839192</v>
          </cell>
          <cell r="J63">
            <v>0.93094854577339903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1.485508503450835E-3</v>
          </cell>
          <cell r="I64">
            <v>9.0699288435754641E-4</v>
          </cell>
          <cell r="J64">
            <v>6.7404506610671186E-4</v>
          </cell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1.0573343016193384</v>
          </cell>
          <cell r="I65">
            <v>0.90953608356179982</v>
          </cell>
          <cell r="J65">
            <v>1.1659276477075846</v>
          </cell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1.058819810122789</v>
          </cell>
          <cell r="I66">
            <v>0.91044307644615685</v>
          </cell>
          <cell r="J66">
            <v>1.1666016927736904</v>
          </cell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59.216311276901422</v>
          </cell>
          <cell r="I67">
            <v>58.272350138597268</v>
          </cell>
          <cell r="J67">
            <v>55.653276280739668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7.8402091806388556</v>
          </cell>
          <cell r="I68">
            <v>10.038893609679741</v>
          </cell>
          <cell r="J68">
            <v>15.153880186297737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4.1245255432143573</v>
          </cell>
          <cell r="I69">
            <v>2.6453334841340554</v>
          </cell>
          <cell r="J69">
            <v>1.0268736639755891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9.2289774534063742</v>
          </cell>
          <cell r="I70">
            <v>10.121080720502245</v>
          </cell>
          <cell r="J70">
            <v>8.6703625500866206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0.253598267109653</v>
          </cell>
          <cell r="I71">
            <v>0.20351151949102872</v>
          </cell>
          <cell r="J71">
            <v>0.13631977302521597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18.281581462900391</v>
          </cell>
          <cell r="I73">
            <v>23.703496099093275</v>
          </cell>
          <cell r="J73">
            <v>23.081083287129676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0.12994536537116361</v>
          </cell>
          <cell r="I74">
            <v>8.3034316768547972E-2</v>
          </cell>
          <cell r="J74">
            <v>2.7989923074063096E-2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0.9775310400746372</v>
          </cell>
          <cell r="I76">
            <v>1.179751830373974</v>
          </cell>
          <cell r="J76">
            <v>1.2936575240617516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6.2637830157104535</v>
          </cell>
          <cell r="I77">
            <v>1.9352956837624677</v>
          </cell>
          <cell r="J77">
            <v>0.77623492283026274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5.0665901096973487</v>
          </cell>
          <cell r="I78">
            <v>6.0298427238423153</v>
          </cell>
          <cell r="J78">
            <v>5.3056422326229429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7.0495698387781909</v>
          </cell>
          <cell r="I80">
            <v>2.3321101509495903</v>
          </cell>
          <cell r="J80">
            <v>0.1812322176358033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2.8381657306729543E-4</v>
          </cell>
          <cell r="I81">
            <v>2.5916495533315757E-4</v>
          </cell>
          <cell r="J81">
            <v>8.0985855059699291E-4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3.0887180093795556E-4</v>
          </cell>
          <cell r="I82">
            <v>2.9822390155996017E-4</v>
          </cell>
          <cell r="J82">
            <v>8.9994818806010484E-4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3.2241635448473502E-5</v>
          </cell>
          <cell r="I83">
            <v>3.69578138465435E-5</v>
          </cell>
          <cell r="J83">
            <v>2.2199396133597E-4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3.2943963371469091E-5</v>
          </cell>
          <cell r="I84">
            <v>1.6997777822325496E-5</v>
          </cell>
          <cell r="J84">
            <v>2.2211407383474808E-4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2.9955923844757808E-2</v>
          </cell>
          <cell r="I85">
            <v>3.2511240835955607E-2</v>
          </cell>
          <cell r="J85">
            <v>4.520770358780362E-2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2.9958103902584462E-2</v>
          </cell>
          <cell r="I86">
            <v>3.2512935468628788E-2</v>
          </cell>
          <cell r="J86">
            <v>4.5209522922400942E-2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2.2273473852413799E-4</v>
          </cell>
          <cell r="I87">
            <v>5.1466043225050699E-4</v>
          </cell>
          <cell r="J87">
            <v>9.5877952939793498E-4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1.1182558586045189E-3</v>
          </cell>
          <cell r="I88">
            <v>1.2077095924669808E-3</v>
          </cell>
          <cell r="J88">
            <v>1.6505502384113551E-3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2.8291306050089895E-3</v>
          </cell>
          <cell r="I89">
            <v>2.3792659250668454E-3</v>
          </cell>
          <cell r="J89">
            <v>5.9783849857155411E-4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2.7722588451947589E-6</v>
          </cell>
          <cell r="I90">
            <v>3.1646640418862229E-6</v>
          </cell>
          <cell r="J90">
            <v>4.3170594479232639E-6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5.933615851080185E-4</v>
          </cell>
          <cell r="I91"/>
          <cell r="J91">
            <v>1.6126259337576833E-3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3.4258538877405265E-3</v>
          </cell>
          <cell r="I92">
            <v>2.3832936931653058E-3</v>
          </cell>
          <cell r="J92">
            <v>2.215117343442775E-3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3.2816316256354506E-4</v>
          </cell>
          <cell r="I93">
            <v>5.6609530104344958E-6</v>
          </cell>
          <cell r="J93">
            <v>1.6809361199672176E-4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3.0420725169640599E-2</v>
          </cell>
          <cell r="I94">
            <v>5.2477034406727796E-4</v>
          </cell>
          <cell r="J94">
            <v>1.5582277832096101E-2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3.2816316256354506E-4</v>
          </cell>
          <cell r="I95">
            <v>5.6609530104344958E-6</v>
          </cell>
          <cell r="J95">
            <v>1.6809361199672176E-4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3.7734046622661972</v>
          </cell>
          <cell r="I96">
            <v>3.7734061241401724</v>
          </cell>
          <cell r="J96">
            <v>4.2470432937050919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3.7734046622661972</v>
          </cell>
          <cell r="I97">
            <v>3.7734061241401724</v>
          </cell>
          <cell r="J97">
            <v>4.2470432937050919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7.49631289336644E-2</v>
          </cell>
          <cell r="I98">
            <v>2.71116136991502E-6</v>
          </cell>
          <cell r="J98">
            <v>5.87941458038201E-2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0.26646304019678257</v>
          </cell>
          <cell r="I99">
            <v>0.26646577784695719</v>
          </cell>
          <cell r="J99">
            <v>0.29990142501508399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4.3004324069838137E-3</v>
          </cell>
          <cell r="I100">
            <v>3.4115336597563277E-3</v>
          </cell>
          <cell r="J100">
            <v>2.0105886898311547E-3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4.5869640252525629E-3</v>
          </cell>
          <cell r="I101">
            <v>3.6388392345912761E-3</v>
          </cell>
          <cell r="J101">
            <v>2.1359310892502866E-3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1.7429029001501001E-4</v>
          </cell>
          <cell r="I102">
            <v>2.2257565421718301E-4</v>
          </cell>
          <cell r="J102">
            <v>3.8140419150257599E-6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4.9493825178219264E-4</v>
          </cell>
          <cell r="I103">
            <v>3.9648582093725852E-4</v>
          </cell>
          <cell r="J103">
            <v>2.3805566873778394E-4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3.8674416016669197E-2</v>
          </cell>
          <cell r="I107">
            <v>2.3035871515294199E-2</v>
          </cell>
          <cell r="J107">
            <v>1.4774982990526099E-2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6.5102291708996798E-2</v>
          </cell>
          <cell r="I108">
            <v>6.1118328631096203E-2</v>
          </cell>
          <cell r="J108">
            <v>3.0388369084487405E-2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3.2342423673347702</v>
          </cell>
          <cell r="I109">
            <v>4.0245183071126309</v>
          </cell>
          <cell r="J109">
            <v>6.6148469153586236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3.2342423673347702</v>
          </cell>
          <cell r="I110">
            <v>4.0245183071126309</v>
          </cell>
          <cell r="J110">
            <v>6.6148469153586236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0.142559474901055</v>
          </cell>
          <cell r="I111">
            <v>5.5806807388726197E-2</v>
          </cell>
          <cell r="J111">
            <v>0.22239846364742899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0.22839086526879787</v>
          </cell>
          <cell r="I112">
            <v>0.2841976996010146</v>
          </cell>
          <cell r="J112">
            <v>0.46709993754388313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8.7624197674565099E-2</v>
          </cell>
          <cell r="I113">
            <v>1.7992766128669664</v>
          </cell>
          <cell r="J113">
            <v>0.86516003107223682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8.0271372290217891E-4</v>
          </cell>
          <cell r="I114">
            <v>1.0189864901533425</v>
          </cell>
          <cell r="J114">
            <v>0.11717459085743751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3.0912896720633996E-2</v>
          </cell>
          <cell r="I115"/>
          <cell r="J115">
            <v>0.69609166122874577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/>
          <cell r="J116">
            <v>1.5464352056284588E-4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/>
          <cell r="J117">
            <v>1.7211295346068793E-4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5.531522564592091E-2</v>
          </cell>
          <cell r="I118">
            <v>0.7802901227136253</v>
          </cell>
          <cell r="J118">
            <v>4.9954396578271783E-2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/>
          <cell r="J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5.933615851080185E-4</v>
          </cell>
          <cell r="I120"/>
          <cell r="J120">
            <v>1.6126259337576833E-3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/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2.80483675011905E-3</v>
          </cell>
          <cell r="I122">
            <v>2.4654381720150002E-2</v>
          </cell>
          <cell r="J122">
            <v>1.3721346325800399E-2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2.8910750454376431E-3</v>
          </cell>
          <cell r="I123">
            <v>2.654312337612107E-2</v>
          </cell>
          <cell r="J123">
            <v>2.3903370348083111E-2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8.0271372290217891E-4</v>
          </cell>
          <cell r="I124">
            <v>1.0189864901533425</v>
          </cell>
          <cell r="J124">
            <v>0.11717459085743751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4.6067804490461203E-2</v>
          </cell>
          <cell r="I125">
            <v>0.23168150450427877</v>
          </cell>
          <cell r="J125">
            <v>0.60530833503757375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3.8445935623547539E-5</v>
          </cell>
          <cell r="I126">
            <v>2.5613867498232952E-3</v>
          </cell>
          <cell r="J126">
            <v>5.3527418907658823E-4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4.6909519184076716E-2</v>
          </cell>
          <cell r="I127">
            <v>1.2532293814074438</v>
          </cell>
          <cell r="J127">
            <v>0.72301820008408835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3.5137412953614375</v>
          </cell>
          <cell r="I128">
            <v>3.7558777043521339</v>
          </cell>
          <cell r="J128">
            <v>3.2454052359980836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3.5137412953614375</v>
          </cell>
          <cell r="I129">
            <v>3.7558777043521339</v>
          </cell>
          <cell r="J129">
            <v>3.2454052359980836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3.9144014288086812</v>
          </cell>
          <cell r="I130">
            <v>4.1888167572764221</v>
          </cell>
          <cell r="J130">
            <v>3.6297671369457638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7.0879466616578402E-2</v>
          </cell>
          <cell r="I131">
            <v>7.0138449204387304E-2</v>
          </cell>
          <cell r="J131">
            <v>6.5470779902357806E-2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0.28611638252583294</v>
          </cell>
          <cell r="I132">
            <v>0.30516211156576101</v>
          </cell>
          <cell r="J132">
            <v>0.31432760757719197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0.97651354061487894</v>
          </cell>
          <cell r="I133">
            <v>2.7613287436681189</v>
          </cell>
          <cell r="J133">
            <v>4.842820568641538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0.97651354061487894</v>
          </cell>
          <cell r="I134">
            <v>2.7613287436681189</v>
          </cell>
          <cell r="J134">
            <v>4.842820568641538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3.6519342087305901E-7</v>
          </cell>
          <cell r="I135">
            <v>0.126035046202392</v>
          </cell>
          <cell r="J135">
            <v>0.178706113106329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6.8963756795281703E-2</v>
          </cell>
          <cell r="I136">
            <v>0.19499882835406021</v>
          </cell>
          <cell r="J136">
            <v>0.34196830357021551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55.734935160439719</v>
          </cell>
          <cell r="I137">
            <v>53.309550247769202</v>
          </cell>
          <cell r="J137">
            <v>46.358784370613144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13.732171030452681</v>
          </cell>
          <cell r="I138">
            <v>12.985367650648042</v>
          </cell>
          <cell r="J138">
            <v>10.79609037783935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13.412039136651442</v>
          </cell>
          <cell r="I139">
            <v>12.995319990189602</v>
          </cell>
          <cell r="J139">
            <v>11.795823493780944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15.529680334827423</v>
          </cell>
          <cell r="I140">
            <v>15.040142260878515</v>
          </cell>
          <cell r="J140">
            <v>13.118278733366685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13.061044658508168</v>
          </cell>
          <cell r="I141">
            <v>12.288720346053026</v>
          </cell>
          <cell r="J141">
            <v>10.648591765626211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9.2289774534063742</v>
          </cell>
          <cell r="I142">
            <v>10.121080720502245</v>
          </cell>
          <cell r="J142">
            <v>8.6703625500866206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9.2289774534063742</v>
          </cell>
          <cell r="I143">
            <v>10.121080720502245</v>
          </cell>
          <cell r="J143">
            <v>8.6703625500866206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11.131926487954576</v>
          </cell>
          <cell r="I144">
            <v>12.207975057702672</v>
          </cell>
          <cell r="J144">
            <v>10.458129193484416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0.49006278259112102</v>
          </cell>
          <cell r="I145">
            <v>0.24539650241427099</v>
          </cell>
          <cell r="J145">
            <v>0.49747220744408099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0.8496991454600229</v>
          </cell>
          <cell r="I146">
            <v>0.84970043289512109</v>
          </cell>
          <cell r="J146">
            <v>0.84969977672214103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4.5212131005225491E-4</v>
          </cell>
          <cell r="I147">
            <v>0.16957069491361423</v>
          </cell>
          <cell r="J147">
            <v>0.2600010826147644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5.7275049537485151E-4</v>
          </cell>
          <cell r="I148">
            <v>0.19954228586487144</v>
          </cell>
          <cell r="J148">
            <v>0.28893115495457034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0.10152234499714</v>
          </cell>
          <cell r="I149">
            <v>8.3704874584155403E-2</v>
          </cell>
          <cell r="J149">
            <v>0.111680128478043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0.19349372274187548</v>
          </cell>
          <cell r="I150">
            <v>0.18525357808910681</v>
          </cell>
          <cell r="J150">
            <v>0.21536754831522628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6.5777581369136379E-3</v>
          </cell>
          <cell r="I151">
            <v>3.7949297177060387E-2</v>
          </cell>
          <cell r="J151">
            <v>8.2982189000765594E-2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11.319859637125461</v>
          </cell>
          <cell r="I152">
            <v>12.540813754546987</v>
          </cell>
          <cell r="J152">
            <v>13.811910813105381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11.326437395262378</v>
          </cell>
          <cell r="I153">
            <v>12.578763051724049</v>
          </cell>
          <cell r="J153">
            <v>13.894893002106139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268.04771226332201</v>
          </cell>
          <cell r="I154">
            <v>115.816323979448</v>
          </cell>
          <cell r="J154">
            <v>8.0348712667086496E-4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4.6064002047825428</v>
          </cell>
          <cell r="I155">
            <v>2.5753429837399895</v>
          </cell>
          <cell r="J155">
            <v>1.0301342981095596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3.6370110212119715</v>
          </cell>
          <cell r="I156">
            <v>1.5714562276722994</v>
          </cell>
          <cell r="J156">
            <v>1.0902131976538207E-5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1.0476281166295607</v>
          </cell>
          <cell r="I157">
            <v>1.0476285236848197</v>
          </cell>
          <cell r="J157">
            <v>1.047628734273429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0.39523008881943666</v>
          </cell>
          <cell r="I158">
            <v>0.45701303338909793</v>
          </cell>
          <cell r="J158">
            <v>0.39120642057876936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0.39483525356587107</v>
          </cell>
          <cell r="I159">
            <v>0.45655647691218593</v>
          </cell>
          <cell r="J159">
            <v>0.39081560497379531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0.3948529054460882</v>
          </cell>
          <cell r="I160">
            <v>0.45656696540353803</v>
          </cell>
          <cell r="J160">
            <v>0.39082959876059131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1.21884573902223E-2</v>
          </cell>
          <cell r="I161">
            <v>5.0225271207874997E-2</v>
          </cell>
          <cell r="J161">
            <v>2.7831813340757398E-2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7.3620590614416309E-2</v>
          </cell>
          <cell r="I162">
            <v>8.6720099010350229E-2</v>
          </cell>
          <cell r="J162">
            <v>6.9385188704287323E-2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1.0736215199404089</v>
          </cell>
          <cell r="I163">
            <v>1.0735842481542832</v>
          </cell>
          <cell r="J163">
            <v>2.2221551060745526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1.0736215199404089</v>
          </cell>
          <cell r="I164">
            <v>1.0735842481542832</v>
          </cell>
          <cell r="J164">
            <v>2.2221551060745526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5.5179501984462599E-8</v>
          </cell>
          <cell r="I165">
            <v>5.8329278676261399E-8</v>
          </cell>
          <cell r="J165">
            <v>0.11598485039256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7.5820668673842073E-2</v>
          </cell>
          <cell r="I166">
            <v>7.5820756973113967E-2</v>
          </cell>
          <cell r="J166">
            <v>0.15691369489106524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1.6337380665600375E-3</v>
          </cell>
          <cell r="I167">
            <v>9.6386930153032103E-3</v>
          </cell>
          <cell r="J167">
            <v>9.5854235771025351E-3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1.6337380665600375E-3</v>
          </cell>
          <cell r="I168">
            <v>9.6386930153032103E-3</v>
          </cell>
          <cell r="J168">
            <v>9.5854235771025351E-3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3.8129681963449803E-5</v>
          </cell>
          <cell r="I169">
            <v>6.1943162406875299E-4</v>
          </cell>
          <cell r="J169">
            <v>2.6859314464032501E-8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1.2370363013338405E-4</v>
          </cell>
          <cell r="I170">
            <v>7.4316012411663405E-4</v>
          </cell>
          <cell r="J170">
            <v>7.4324507700556904E-4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0.5964126566190493</v>
          </cell>
          <cell r="I171">
            <v>0.59637531331335625</v>
          </cell>
          <cell r="J171">
            <v>0.34481163824409361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0.5964126566190493</v>
          </cell>
          <cell r="I172">
            <v>0.59637531331335625</v>
          </cell>
          <cell r="J172">
            <v>0.34481163824409361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4.5841219892199001E-8</v>
          </cell>
          <cell r="I173">
            <v>4.7138603710564801E-8</v>
          </cell>
          <cell r="J173">
            <v>5.6079479020119102E-7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4.2123200408659002E-2</v>
          </cell>
          <cell r="I174">
            <v>4.2123277879096394E-2</v>
          </cell>
          <cell r="J174">
            <v>2.4347739461066113E-2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11.197291056857942</v>
          </cell>
          <cell r="I175">
            <v>2.8535370242591696</v>
          </cell>
          <cell r="J175">
            <v>1.2633294926370384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779.38610489765301</v>
          </cell>
          <cell r="I176">
            <v>198.18924152624399</v>
          </cell>
          <cell r="J176">
            <v>87.364111664119207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13.818902569107316</v>
          </cell>
          <cell r="I177">
            <v>3.5139936440823396</v>
          </cell>
          <cell r="J177">
            <v>1.5490090720588519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0.10554007550151399</v>
          </cell>
          <cell r="I178">
            <v>7.8449593284664896E-4</v>
          </cell>
          <cell r="J178">
            <v>0.11691664414378899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0.6593790000285884</v>
          </cell>
          <cell r="I179">
            <v>0.20918807602749834</v>
          </cell>
          <cell r="J179">
            <v>0.1183432993029557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3.4301002433361367E-4</v>
          </cell>
          <cell r="I180">
            <v>3.9973184763964154E-4</v>
          </cell>
          <cell r="J180">
            <v>5.8139918669769444E-4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3.4301002433361367E-4</v>
          </cell>
          <cell r="I181">
            <v>3.9973184763964154E-4</v>
          </cell>
          <cell r="J181">
            <v>5.8139918669769444E-4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1.3815094020726799E-4</v>
          </cell>
          <cell r="I182">
            <v>8.09242012004015E-5</v>
          </cell>
          <cell r="J182">
            <v>3.8280972742202102E-5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7.1832067867075994E-4</v>
          </cell>
          <cell r="I183">
            <v>2.225339292059002E-4</v>
          </cell>
          <cell r="J183">
            <v>1.5519217459929413E-4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0.10412920732614944</v>
          </cell>
          <cell r="I184">
            <v>7.4875719098683735E-2</v>
          </cell>
          <cell r="J184">
            <v>2.5652501751081275E-2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0.10412920732614944</v>
          </cell>
          <cell r="I185">
            <v>7.4875719098683735E-2</v>
          </cell>
          <cell r="J185">
            <v>2.5652501751081275E-2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0.14310690229226111</v>
          </cell>
          <cell r="I186">
            <v>0.10290323428234967</v>
          </cell>
          <cell r="J186">
            <v>3.4427161262099742E-2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1.4263485207992399E-3</v>
          </cell>
          <cell r="I187">
            <v>3.8771123552191599E-3</v>
          </cell>
          <cell r="J187">
            <v>6.1561959934539103E-8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7.7545385263816553E-3</v>
          </cell>
          <cell r="I188">
            <v>5.3035793393075674E-3</v>
          </cell>
          <cell r="J188">
            <v>2.9667313341627428E-3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4.6248466543030043E-3</v>
          </cell>
          <cell r="I189">
            <v>4.6015302525400908E-3</v>
          </cell>
          <cell r="J189">
            <v>2.739082151124774E-3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4.6248466543030043E-3</v>
          </cell>
          <cell r="I190">
            <v>4.6015302525400908E-3</v>
          </cell>
          <cell r="J190">
            <v>2.739082151124774E-3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3.2525958054774798E-8</v>
          </cell>
          <cell r="I191">
            <v>3.1437286375999498E-8</v>
          </cell>
          <cell r="J191">
            <v>1.4138076284188301E-7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3.3296207064046967E-4</v>
          </cell>
          <cell r="I192">
            <v>3.3299738866090887E-4</v>
          </cell>
          <cell r="J192">
            <v>1.9272887322227251E-4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3.009087787042929E-4</v>
          </cell>
          <cell r="I193">
            <v>2.9151192931360794E-4</v>
          </cell>
          <cell r="J193">
            <v>1.9869081264768516E-4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3.009087787042929E-4</v>
          </cell>
          <cell r="I194">
            <v>2.9151192931360794E-4</v>
          </cell>
          <cell r="J194">
            <v>1.9869081264768516E-4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3.0366186510654302E-8</v>
          </cell>
          <cell r="I195">
            <v>2.43095596498432E-8</v>
          </cell>
          <cell r="J195">
            <v>6.9895381364685599E-8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2.138547550735272E-5</v>
          </cell>
          <cell r="I196">
            <v>2.1401379745002354E-5</v>
          </cell>
          <cell r="J196">
            <v>1.2510825199168792E-5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5.5278660243462992E-5</v>
          </cell>
          <cell r="I197">
            <v>4.3774004704385527E-5</v>
          </cell>
          <cell r="J197">
            <v>3.2271625508909232E-5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5.5278660243462992E-5</v>
          </cell>
          <cell r="I198">
            <v>4.3774004704385527E-5</v>
          </cell>
          <cell r="J198">
            <v>3.2271625508909232E-5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1.7508503814044599E-8</v>
          </cell>
          <cell r="I199">
            <v>1.56609484128683E-8</v>
          </cell>
          <cell r="J199">
            <v>2.4250935888915801E-8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1.095242659040206E-7</v>
          </cell>
          <cell r="I200">
            <v>1.2155706467474049E-7</v>
          </cell>
          <cell r="J200">
            <v>1.5074444704258646E-7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29.427389603850212</v>
          </cell>
          <cell r="I201">
            <v>31.701818905713722</v>
          </cell>
          <cell r="J201">
            <v>28.653797025362746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8.643800675307693</v>
          </cell>
          <cell r="I202">
            <v>8.7943142281153683</v>
          </cell>
          <cell r="J202">
            <v>7.0924740887344448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29.427389603850212</v>
          </cell>
          <cell r="I203">
            <v>31.701818905713722</v>
          </cell>
          <cell r="J203">
            <v>28.653797025362746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0.74950485500226305</v>
          </cell>
          <cell r="I204">
            <v>1.2917385079508401</v>
          </cell>
          <cell r="J204">
            <v>1.0603818033810899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2.3773842336849111</v>
          </cell>
          <cell r="I205">
            <v>2.5611901742345955</v>
          </cell>
          <cell r="J205">
            <v>2.3148761991282671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12.004737553653214</v>
          </cell>
          <cell r="I206">
            <v>15.036353697106934</v>
          </cell>
          <cell r="J206">
            <v>16.86383619187405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5.1864497083648242</v>
          </cell>
          <cell r="I207">
            <v>6.1128415149816755</v>
          </cell>
          <cell r="J207">
            <v>6.1005030697643932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0.37991126923622998</v>
          </cell>
          <cell r="I208">
            <v>0.44942269791347</v>
          </cell>
          <cell r="J208">
            <v>0.65480197997856404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0.82052637880248092</v>
          </cell>
          <cell r="I209">
            <v>1.0277237617699368</v>
          </cell>
          <cell r="J209">
            <v>1.1416633901845274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8.6385150681146285</v>
          </cell>
          <cell r="I210">
            <v>8.1530407524530091</v>
          </cell>
          <cell r="J210">
            <v>10.757797260132879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1.5825126418174341E-2</v>
          </cell>
          <cell r="I211">
            <v>2.0425619749497512E-2</v>
          </cell>
          <cell r="J211">
            <v>1.9230258885767296E-2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8.6543401945327947</v>
          </cell>
          <cell r="I212">
            <v>8.1734663722025047</v>
          </cell>
          <cell r="J212">
            <v>10.777027519018638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5.3675059589562401E-5</v>
          </cell>
          <cell r="I213">
            <v>4.1700675144531194E-5</v>
          </cell>
          <cell r="J213">
            <v>3.0382303471086176E-5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5.3675059589562401E-5</v>
          </cell>
          <cell r="I214">
            <v>4.1700675144531194E-5</v>
          </cell>
          <cell r="J214">
            <v>3.0382303471086176E-5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>
            <v>-4.80965711652719E-8</v>
          </cell>
          <cell r="I215">
            <v>-5.1544492392884698E-8</v>
          </cell>
          <cell r="J215">
            <v>-7.0317532326562696E-9</v>
          </cell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18.281596573673315</v>
          </cell>
          <cell r="I216">
            <v>23.703513214583396</v>
          </cell>
          <cell r="J216">
            <v>23.081096279116398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18.281596573673315</v>
          </cell>
          <cell r="I217">
            <v>23.703513214583396</v>
          </cell>
          <cell r="J217">
            <v>23.081096279116398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5.3428477400965626</v>
          </cell>
          <cell r="I218">
            <v>6.5968690654065334</v>
          </cell>
          <cell r="J218">
            <v>6.0136392554414062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0.63968000938285996</v>
          </cell>
          <cell r="I219">
            <v>0.78276676337293705</v>
          </cell>
          <cell r="J219">
            <v>0.94649828454611695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1.413177972790864</v>
          </cell>
          <cell r="I220">
            <v>1.8391132660184004</v>
          </cell>
          <cell r="J220">
            <v>1.785159389883731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9.7850414253056156E-2</v>
          </cell>
          <cell r="I221">
            <v>4.5548720875796873E-5</v>
          </cell>
          <cell r="J221">
            <v>0.16273707678745464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8.3550348087069407E-3</v>
          </cell>
          <cell r="I222">
            <v>4.4734053114737735E-5</v>
          </cell>
          <cell r="J222">
            <v>8.7429303051009856E-3</v>
          </cell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0.10618727667218758</v>
          </cell>
          <cell r="I223">
            <v>7.0575879624632255E-5</v>
          </cell>
          <cell r="J223">
            <v>0.17146918616649176</v>
          </cell>
        </row>
        <row r="224">
          <cell r="A224" t="str">
            <v>RHSA-WHCONBR1</v>
          </cell>
          <cell r="B224" t="str">
            <v>VAR_ncap</v>
          </cell>
          <cell r="C224" t="str">
            <v>-</v>
          </cell>
          <cell r="H224">
            <v>1.9456335274386301</v>
          </cell>
          <cell r="I224"/>
          <cell r="J224"/>
        </row>
        <row r="225">
          <cell r="A225" t="str">
            <v>RHSA-WHCONBR1</v>
          </cell>
          <cell r="B225" t="str">
            <v>VAR_cap</v>
          </cell>
          <cell r="C225" t="str">
            <v>-</v>
          </cell>
          <cell r="H225">
            <v>4.8945815352919908</v>
          </cell>
          <cell r="I225">
            <v>2.8320214803719637</v>
          </cell>
          <cell r="J225">
            <v>1.2717777909840038</v>
          </cell>
        </row>
        <row r="226">
          <cell r="A226" t="str">
            <v>RHNS-SHELCBR</v>
          </cell>
          <cell r="B226" t="str">
            <v>VAR_fout</v>
          </cell>
          <cell r="C226" t="str">
            <v>RHNS-SHAELCB</v>
          </cell>
          <cell r="H226">
            <v>1.2846223656548895E-2</v>
          </cell>
          <cell r="I226">
            <v>1.262369878163651E-2</v>
          </cell>
          <cell r="J226">
            <v>7.7542063765518128E-3</v>
          </cell>
        </row>
        <row r="227">
          <cell r="A227" t="str">
            <v>RHNS-SHELCBR</v>
          </cell>
          <cell r="B227" t="str">
            <v>VAR_fin</v>
          </cell>
          <cell r="C227" t="str">
            <v>RHNS_ELC</v>
          </cell>
          <cell r="H227">
            <v>1.3522340691104102E-2</v>
          </cell>
          <cell r="I227">
            <v>1.3288103980670008E-2</v>
          </cell>
          <cell r="J227">
            <v>8.1623225016334965E-3</v>
          </cell>
        </row>
        <row r="228">
          <cell r="A228" t="str">
            <v>RHNS-SHELCBR</v>
          </cell>
          <cell r="B228" t="str">
            <v>VAR_ncap</v>
          </cell>
          <cell r="C228" t="str">
            <v>-</v>
          </cell>
          <cell r="H228">
            <v>1.68454572180082E-3</v>
          </cell>
          <cell r="I228"/>
          <cell r="J228"/>
        </row>
        <row r="229">
          <cell r="A229" t="str">
            <v>RHNS-SHELCBR</v>
          </cell>
          <cell r="B229" t="str">
            <v>VAR_cap</v>
          </cell>
          <cell r="C229" t="str">
            <v>-</v>
          </cell>
          <cell r="H229">
            <v>4.2982585868229957E-3</v>
          </cell>
          <cell r="I229">
            <v>1.6843889165223764E-3</v>
          </cell>
          <cell r="J229">
            <v>7.1211575382124418E-4</v>
          </cell>
        </row>
        <row r="230">
          <cell r="A230" t="str">
            <v>RHSA-WHCONBR2</v>
          </cell>
          <cell r="B230" t="str">
            <v>VAR_ncap</v>
          </cell>
          <cell r="C230" t="str">
            <v>-</v>
          </cell>
          <cell r="H230">
            <v>1.9456335274386301</v>
          </cell>
          <cell r="I230"/>
          <cell r="J230"/>
        </row>
        <row r="231">
          <cell r="A231" t="str">
            <v>RHSA-WHCONBR2</v>
          </cell>
          <cell r="B231" t="str">
            <v>VAR_cap</v>
          </cell>
          <cell r="C231" t="str">
            <v>-</v>
          </cell>
          <cell r="H231">
            <v>4.8945815352919908</v>
          </cell>
          <cell r="I231">
            <v>2.8320214803719637</v>
          </cell>
          <cell r="J231">
            <v>1.2717777909840038</v>
          </cell>
        </row>
        <row r="232">
          <cell r="A232" t="str">
            <v>ITOT-SWHSTG-SOL</v>
          </cell>
          <cell r="B232" t="str">
            <v>VAR_fout</v>
          </cell>
          <cell r="C232" t="str">
            <v>ITOT-SWHASOL</v>
          </cell>
          <cell r="H232">
            <v>8.0097281766737722E-4</v>
          </cell>
          <cell r="I232">
            <v>3.9304614331552674E-3</v>
          </cell>
          <cell r="J232">
            <v>3.2114374549105311E-2</v>
          </cell>
        </row>
        <row r="233">
          <cell r="A233" t="str">
            <v>ITOT-SWHSTG-SOL</v>
          </cell>
          <cell r="B233" t="str">
            <v>VAR_fin</v>
          </cell>
          <cell r="C233" t="str">
            <v>ITOT-SWHASOL</v>
          </cell>
          <cell r="H233">
            <v>9.3537838792182916E-4</v>
          </cell>
          <cell r="I233">
            <v>4.6141747473585236E-3</v>
          </cell>
          <cell r="J233">
            <v>3.566641945080707E-2</v>
          </cell>
        </row>
        <row r="234">
          <cell r="A234" t="str">
            <v>ITOT-SWHSTG-SOL</v>
          </cell>
          <cell r="B234" t="str">
            <v>VAR_ncap</v>
          </cell>
          <cell r="C234" t="str">
            <v>-</v>
          </cell>
          <cell r="H234">
            <v>6.3965109663435604E-2</v>
          </cell>
          <cell r="I234">
            <v>1.37751250585984E-2</v>
          </cell>
          <cell r="J234">
            <v>3.2593106893443399E-2</v>
          </cell>
        </row>
        <row r="235">
          <cell r="A235" t="str">
            <v>ITOT-SWHSTG-SOL</v>
          </cell>
          <cell r="B235" t="str">
            <v>VAR_cap</v>
          </cell>
          <cell r="C235" t="str">
            <v>-</v>
          </cell>
          <cell r="H235">
            <v>6.4893835418754903E-2</v>
          </cell>
          <cell r="I235">
            <v>7.8345348162033104E-2</v>
          </cell>
          <cell r="J235">
            <v>6.9647076204275501E-2</v>
          </cell>
        </row>
        <row r="236">
          <cell r="A236" t="str">
            <v>RHES-SHLTHCHPNGA</v>
          </cell>
          <cell r="B236" t="str">
            <v>VAR_fout</v>
          </cell>
          <cell r="C236" t="str">
            <v>RHES-SHLTHC-NGA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RHESLTHCHPC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RHES_LTH_CHPNGA_ON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VAR_ncap</v>
          </cell>
          <cell r="C239" t="str">
            <v>-</v>
          </cell>
          <cell r="H239">
            <v>2.07397598980978E-4</v>
          </cell>
          <cell r="I239">
            <v>1.11718118868027E-4</v>
          </cell>
          <cell r="J239">
            <v>1.01285404578011E-4</v>
          </cell>
        </row>
        <row r="240">
          <cell r="A240" t="str">
            <v>RHES-SHLTHCHPNGA</v>
          </cell>
          <cell r="B240" t="str">
            <v>VAR_cap</v>
          </cell>
          <cell r="C240" t="str">
            <v>-</v>
          </cell>
          <cell r="H240">
            <v>3.3622723257495921E-4</v>
          </cell>
          <cell r="I240">
            <v>2.1342352648666304E-4</v>
          </cell>
          <cell r="J240">
            <v>1.4866506313907098E-4</v>
          </cell>
        </row>
        <row r="241">
          <cell r="A241" t="str">
            <v>RHSA-WHSTG-ELC</v>
          </cell>
          <cell r="B241" t="str">
            <v>VAR_fout</v>
          </cell>
          <cell r="C241" t="str">
            <v>RHSA-WHAELCB</v>
          </cell>
          <cell r="H241">
            <v>0.32227986992112256</v>
          </cell>
          <cell r="I241">
            <v>0.31692761999193947</v>
          </cell>
          <cell r="J241">
            <v>0.24962883607536551</v>
          </cell>
        </row>
        <row r="242">
          <cell r="A242" t="str">
            <v>RHSA-WHSTG-ELC</v>
          </cell>
          <cell r="B242" t="str">
            <v>VAR_fout</v>
          </cell>
          <cell r="C242" t="str">
            <v>AUX_RHSA-WHSTG-ELC_OUT</v>
          </cell>
          <cell r="H242">
            <v>0.32260214979104379</v>
          </cell>
          <cell r="I242">
            <v>0.31724454761193133</v>
          </cell>
          <cell r="J242">
            <v>0.24987846491144081</v>
          </cell>
        </row>
        <row r="243">
          <cell r="A243" t="str">
            <v>RHSA-WHSTG-ELC</v>
          </cell>
          <cell r="B243" t="str">
            <v>VAR_fin</v>
          </cell>
          <cell r="C243" t="str">
            <v>RHSA-WHAELCB</v>
          </cell>
          <cell r="H243">
            <v>0.32228108491057739</v>
          </cell>
          <cell r="I243">
            <v>0.31692944505840837</v>
          </cell>
          <cell r="J243">
            <v>0.24962915675172659</v>
          </cell>
        </row>
        <row r="244">
          <cell r="A244" t="str">
            <v>RHSA-WHSTG-ELC</v>
          </cell>
          <cell r="B244" t="str">
            <v>VAR_ncap</v>
          </cell>
          <cell r="C244" t="str">
            <v>-</v>
          </cell>
          <cell r="H244">
            <v>1.6994612838163201E-2</v>
          </cell>
          <cell r="I244">
            <v>1.10008995105108E-2</v>
          </cell>
          <cell r="J244">
            <v>1.15398445414101E-2</v>
          </cell>
        </row>
        <row r="245">
          <cell r="A245" t="str">
            <v>RHSA-WHSTG-ELC</v>
          </cell>
          <cell r="B245" t="str">
            <v>VAR_cap</v>
          </cell>
          <cell r="C245" t="str">
            <v>-</v>
          </cell>
          <cell r="H245">
            <v>3.169082559719473E-2</v>
          </cell>
          <cell r="I245">
            <v>2.7982939749396064E-2</v>
          </cell>
          <cell r="J245">
            <v>2.6665492290879462E-2</v>
          </cell>
        </row>
        <row r="246">
          <cell r="A246" t="str">
            <v>ITOT-SWHLFOBR</v>
          </cell>
          <cell r="B246" t="str">
            <v>VAR_fout</v>
          </cell>
          <cell r="C246" t="str">
            <v>ITOT-SWH</v>
          </cell>
          <cell r="H246">
            <v>3.3074994130794808</v>
          </cell>
          <cell r="I246">
            <v>2.0342925223203503</v>
          </cell>
          <cell r="J246">
            <v>0.30176766740435684</v>
          </cell>
        </row>
        <row r="247">
          <cell r="A247" t="str">
            <v>ITOT-SWHLFOBR</v>
          </cell>
          <cell r="B247" t="str">
            <v>VAR_fout</v>
          </cell>
          <cell r="C247" t="str">
            <v>CO2_I</v>
          </cell>
          <cell r="H247">
            <v>309.777821873356</v>
          </cell>
          <cell r="I247">
            <v>189.77193841046901</v>
          </cell>
          <cell r="J247">
            <v>27.9285231531017</v>
          </cell>
        </row>
        <row r="248">
          <cell r="A248" t="str">
            <v>ITOT-SWHLFOBR</v>
          </cell>
          <cell r="B248" t="str">
            <v>VAR_fin</v>
          </cell>
          <cell r="C248" t="str">
            <v>ILFO</v>
          </cell>
          <cell r="H248">
            <v>4.203226891090309</v>
          </cell>
          <cell r="I248">
            <v>2.5749245374554852</v>
          </cell>
          <cell r="J248">
            <v>0.3789487537734289</v>
          </cell>
        </row>
        <row r="249">
          <cell r="A249" t="str">
            <v>ITOT-SWHLFOBR</v>
          </cell>
          <cell r="B249" t="str">
            <v>VAR_ncap</v>
          </cell>
          <cell r="C249" t="str">
            <v>-</v>
          </cell>
          <cell r="H249">
            <v>6.4944089562789004E-4</v>
          </cell>
          <cell r="I249">
            <v>3.2210859389874098E-3</v>
          </cell>
          <cell r="J249">
            <v>3.05767136748674E-2</v>
          </cell>
        </row>
        <row r="250">
          <cell r="A250" t="str">
            <v>ITOT-SWHLFOBR</v>
          </cell>
          <cell r="B250" t="str">
            <v>VAR_cap</v>
          </cell>
          <cell r="C250" t="str">
            <v>-</v>
          </cell>
          <cell r="H250">
            <v>0.2922448577281242</v>
          </cell>
          <cell r="I250">
            <v>0.1553897302630747</v>
          </cell>
          <cell r="J250">
            <v>3.0600969717397293E-2</v>
          </cell>
        </row>
        <row r="251">
          <cell r="A251" t="str">
            <v>D-SCOM_LTH_CHPNGA</v>
          </cell>
          <cell r="B251" t="str">
            <v>VAR_fout</v>
          </cell>
          <cell r="C251" t="str">
            <v>SCOM_LTH_CHPNGA_ON</v>
          </cell>
          <cell r="H251"/>
          <cell r="I251"/>
          <cell r="J251"/>
        </row>
        <row r="252">
          <cell r="A252" t="str">
            <v>D-SCOM_LTH_CHPNGA</v>
          </cell>
          <cell r="B252" t="str">
            <v>VAR_fin</v>
          </cell>
          <cell r="C252" t="str">
            <v>SCOM_LTH_CHPNGA</v>
          </cell>
          <cell r="H252"/>
          <cell r="I252"/>
          <cell r="J252"/>
        </row>
        <row r="253">
          <cell r="A253" t="str">
            <v>RHSA-WHCONBR3</v>
          </cell>
          <cell r="B253" t="str">
            <v>VAR_ncap</v>
          </cell>
          <cell r="C253" t="str">
            <v>-</v>
          </cell>
          <cell r="H253">
            <v>1.9456335274386301</v>
          </cell>
          <cell r="I253"/>
          <cell r="J253"/>
        </row>
        <row r="254">
          <cell r="A254" t="str">
            <v>RHSA-WHCONBR3</v>
          </cell>
          <cell r="B254" t="str">
            <v>VAR_cap</v>
          </cell>
          <cell r="C254" t="str">
            <v>-</v>
          </cell>
          <cell r="H254">
            <v>4.8945815352919908</v>
          </cell>
          <cell r="I254">
            <v>2.8320214803719637</v>
          </cell>
          <cell r="J254">
            <v>1.2717777909840038</v>
          </cell>
        </row>
        <row r="255">
          <cell r="A255" t="str">
            <v>D-IWOD</v>
          </cell>
          <cell r="B255" t="str">
            <v>VAR_fout</v>
          </cell>
          <cell r="C255" t="str">
            <v>IWOD</v>
          </cell>
          <cell r="H255">
            <v>21.971995048149438</v>
          </cell>
          <cell r="I255">
            <v>21.144386095720719</v>
          </cell>
          <cell r="J255">
            <v>18.760692447136801</v>
          </cell>
        </row>
        <row r="256">
          <cell r="A256" t="str">
            <v>D-IWOD</v>
          </cell>
          <cell r="B256" t="str">
            <v>VAR_fin</v>
          </cell>
          <cell r="C256" t="str">
            <v>WOD</v>
          </cell>
          <cell r="H256">
            <v>21.971995048149438</v>
          </cell>
          <cell r="I256">
            <v>21.144386095720719</v>
          </cell>
          <cell r="J256">
            <v>18.760692447136801</v>
          </cell>
        </row>
        <row r="257">
          <cell r="A257" t="str">
            <v>RHSA-WHCONBR4</v>
          </cell>
          <cell r="B257" t="str">
            <v>VAR_ncap</v>
          </cell>
          <cell r="C257" t="str">
            <v>-</v>
          </cell>
          <cell r="H257">
            <v>1.9456335274386301</v>
          </cell>
          <cell r="I257"/>
          <cell r="J257"/>
        </row>
        <row r="258">
          <cell r="A258" t="str">
            <v>RHSA-WHCONBR4</v>
          </cell>
          <cell r="B258" t="str">
            <v>VAR_cap</v>
          </cell>
          <cell r="C258" t="str">
            <v>-</v>
          </cell>
          <cell r="H258">
            <v>4.8945815352919908</v>
          </cell>
          <cell r="I258">
            <v>2.8320214803719637</v>
          </cell>
          <cell r="J258">
            <v>1.2717777909840038</v>
          </cell>
        </row>
        <row r="259">
          <cell r="A259" t="str">
            <v>SCOM-ELCSPEC</v>
          </cell>
          <cell r="B259" t="str">
            <v>VAR_fout</v>
          </cell>
          <cell r="C259" t="str">
            <v>SCOM-ELS</v>
          </cell>
          <cell r="H259">
            <v>30.391598850444286</v>
          </cell>
          <cell r="I259">
            <v>24.275916082824182</v>
          </cell>
          <cell r="J259">
            <v>15.310608829256143</v>
          </cell>
        </row>
        <row r="260">
          <cell r="A260" t="str">
            <v>SCOM-ELCSPEC</v>
          </cell>
          <cell r="B260" t="str">
            <v>VAR_fin</v>
          </cell>
          <cell r="C260" t="str">
            <v>SCOM_ELC</v>
          </cell>
          <cell r="H260">
            <v>30.391598850444286</v>
          </cell>
          <cell r="I260">
            <v>24.275916082824182</v>
          </cell>
          <cell r="J260">
            <v>15.310608829256143</v>
          </cell>
        </row>
        <row r="261">
          <cell r="A261" t="str">
            <v>SCOM-ELCSPEC</v>
          </cell>
          <cell r="B261" t="str">
            <v>VAR_ncap</v>
          </cell>
          <cell r="C261" t="str">
            <v>-</v>
          </cell>
          <cell r="H261">
            <v>1.72677456771574E-6</v>
          </cell>
          <cell r="I261">
            <v>1.73295727369722E-6</v>
          </cell>
          <cell r="J261">
            <v>1.39039207089323</v>
          </cell>
        </row>
        <row r="262">
          <cell r="A262" t="str">
            <v>SCOM-ELCSPEC</v>
          </cell>
          <cell r="B262" t="str">
            <v>VAR_cap</v>
          </cell>
          <cell r="C262" t="str">
            <v>-</v>
          </cell>
          <cell r="H262">
            <v>3.2123731742607506</v>
          </cell>
          <cell r="I262">
            <v>2.5659498150967446</v>
          </cell>
          <cell r="J262">
            <v>1.618320950426156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ITOT_ELC</v>
          </cell>
          <cell r="H263">
            <v>3.5090659448753825E-4</v>
          </cell>
          <cell r="I263">
            <v>0.10417095239287959</v>
          </cell>
          <cell r="J263">
            <v>0.23320258684509831</v>
          </cell>
        </row>
        <row r="264">
          <cell r="A264" t="str">
            <v>D-ITOT_KEV_WST_ELC_CHP</v>
          </cell>
          <cell r="B264" t="str">
            <v>VAR_fout</v>
          </cell>
          <cell r="C264" t="str">
            <v>ELC5</v>
          </cell>
          <cell r="H264">
            <v>3.3493729632748837E-4</v>
          </cell>
          <cell r="I264">
            <v>1.0745801091513128E-2</v>
          </cell>
          <cell r="J264">
            <v>5.8592892873941142E-2</v>
          </cell>
        </row>
        <row r="265">
          <cell r="A265" t="str">
            <v>D-ITOT_KEV_WST_ELC_CHP</v>
          </cell>
          <cell r="B265" t="str">
            <v>VAR_fin</v>
          </cell>
          <cell r="C265" t="str">
            <v>ITOT_KEV_WST_ELC_CHP</v>
          </cell>
          <cell r="H265">
            <v>6.6834433824695667E-4</v>
          </cell>
          <cell r="I265">
            <v>0.11489511166642442</v>
          </cell>
          <cell r="J265">
            <v>0.29179547971903969</v>
          </cell>
        </row>
        <row r="266">
          <cell r="A266" t="str">
            <v>RHSA-WHCONBR5</v>
          </cell>
          <cell r="B266" t="str">
            <v>VAR_ncap</v>
          </cell>
          <cell r="C266" t="str">
            <v>-</v>
          </cell>
          <cell r="H266">
            <v>1.9456335274386301</v>
          </cell>
          <cell r="I266"/>
          <cell r="J266"/>
        </row>
        <row r="267">
          <cell r="A267" t="str">
            <v>RHSA-WHCONBR5</v>
          </cell>
          <cell r="B267" t="str">
            <v>VAR_cap</v>
          </cell>
          <cell r="C267" t="str">
            <v>-</v>
          </cell>
          <cell r="H267">
            <v>4.8945815352919908</v>
          </cell>
          <cell r="I267">
            <v>2.8320214803719637</v>
          </cell>
          <cell r="J267">
            <v>1.2717777909840038</v>
          </cell>
        </row>
        <row r="268">
          <cell r="A268" t="str">
            <v>D-RHNM_SOLELC</v>
          </cell>
          <cell r="B268" t="str">
            <v>VAR_fout</v>
          </cell>
          <cell r="C268" t="str">
            <v>ELC5</v>
          </cell>
          <cell r="H268">
            <v>8.9968881640852135E-4</v>
          </cell>
          <cell r="I268">
            <v>6.9154876727270604E-4</v>
          </cell>
          <cell r="J268">
            <v>4.1757965368332449E-4</v>
          </cell>
        </row>
        <row r="269">
          <cell r="A269" t="str">
            <v>D-RHNM_SOLELC</v>
          </cell>
          <cell r="B269" t="str">
            <v>VAR_fout</v>
          </cell>
          <cell r="C269" t="str">
            <v>RHNM_ELC</v>
          </cell>
          <cell r="H269">
            <v>1.9667182453229914</v>
          </cell>
          <cell r="I269">
            <v>2.0673125613228391</v>
          </cell>
          <cell r="J269">
            <v>2.2839847624484348</v>
          </cell>
        </row>
        <row r="270">
          <cell r="A270" t="str">
            <v>D-RHNM_SOLELC</v>
          </cell>
          <cell r="B270" t="str">
            <v>VAR_fin</v>
          </cell>
          <cell r="C270" t="str">
            <v>RHNM_SOL_ELC</v>
          </cell>
          <cell r="H270">
            <v>1.9676179341393985</v>
          </cell>
          <cell r="I270">
            <v>2.0680041100901123</v>
          </cell>
          <cell r="J270">
            <v>2.2844023421021173</v>
          </cell>
        </row>
        <row r="271">
          <cell r="A271" t="str">
            <v>RHNM-SHSTG-ELCHP</v>
          </cell>
          <cell r="B271" t="str">
            <v>VAR_fout</v>
          </cell>
          <cell r="C271" t="str">
            <v>AUX_RHNM-SHSTG-ELCHP_OUT</v>
          </cell>
          <cell r="H271">
            <v>0.31565773883869069</v>
          </cell>
          <cell r="I271">
            <v>0.40675777400453428</v>
          </cell>
          <cell r="J271">
            <v>0.39248316344126871</v>
          </cell>
        </row>
        <row r="272">
          <cell r="A272" t="str">
            <v>RHNM-SHSTG-ELCHP</v>
          </cell>
          <cell r="B272" t="str">
            <v>VAR_fout</v>
          </cell>
          <cell r="C272" t="str">
            <v>RHNM-SHAELCH</v>
          </cell>
          <cell r="H272">
            <v>0.31534239644224826</v>
          </cell>
          <cell r="I272">
            <v>0.40635142258195228</v>
          </cell>
          <cell r="J272">
            <v>0.39209107236889956</v>
          </cell>
        </row>
        <row r="273">
          <cell r="A273" t="str">
            <v>RHNM-SHSTG-ELCHP</v>
          </cell>
          <cell r="B273" t="str">
            <v>VAR_fin</v>
          </cell>
          <cell r="C273" t="str">
            <v>RHNM-SHAELCH</v>
          </cell>
          <cell r="H273">
            <v>0.31535564714160108</v>
          </cell>
          <cell r="I273">
            <v>0.40636593382924729</v>
          </cell>
          <cell r="J273">
            <v>0.39210510866793441</v>
          </cell>
        </row>
        <row r="274">
          <cell r="A274" t="str">
            <v>RHNM-SHSTG-ELCHP</v>
          </cell>
          <cell r="B274" t="str">
            <v>VAR_ncap</v>
          </cell>
          <cell r="C274" t="str">
            <v>-</v>
          </cell>
          <cell r="H274">
            <v>1.39198687129388E-2</v>
          </cell>
          <cell r="I274">
            <v>2.5202324002411701E-2</v>
          </cell>
          <cell r="J274">
            <v>2.7453992408305299E-2</v>
          </cell>
        </row>
        <row r="275">
          <cell r="A275" t="str">
            <v>RHNM-SHSTG-ELCHP</v>
          </cell>
          <cell r="B275" t="str">
            <v>VAR_cap</v>
          </cell>
          <cell r="C275" t="str">
            <v>-</v>
          </cell>
          <cell r="H275">
            <v>4.2970880301891362E-2</v>
          </cell>
          <cell r="I275">
            <v>4.9580587078922302E-2</v>
          </cell>
          <cell r="J275">
            <v>5.1579677304883838E-2</v>
          </cell>
        </row>
        <row r="276">
          <cell r="A276" t="str">
            <v>D-SCOM_LTH</v>
          </cell>
          <cell r="B276" t="str">
            <v>VAR_fout</v>
          </cell>
          <cell r="C276" t="str">
            <v>SCOM_LTH_DH</v>
          </cell>
          <cell r="H276">
            <v>11.131926487954576</v>
          </cell>
          <cell r="I276">
            <v>12.207975057702672</v>
          </cell>
          <cell r="J276">
            <v>10.458129193484416</v>
          </cell>
        </row>
        <row r="277">
          <cell r="A277" t="str">
            <v>D-SCOM_LTH</v>
          </cell>
          <cell r="B277" t="str">
            <v>VAR_fin</v>
          </cell>
          <cell r="C277" t="str">
            <v>LTH</v>
          </cell>
          <cell r="H277">
            <v>12.07799140568854</v>
          </cell>
          <cell r="I277">
            <v>13.236807566007649</v>
          </cell>
          <cell r="J277">
            <v>11.324646511772217</v>
          </cell>
        </row>
        <row r="278">
          <cell r="A278" t="str">
            <v>D-SCOM_LTH</v>
          </cell>
          <cell r="B278" t="str">
            <v>VAR_ncap</v>
          </cell>
          <cell r="C278" t="str">
            <v>-</v>
          </cell>
          <cell r="H278">
            <v>1.2419270127229701E-7</v>
          </cell>
          <cell r="I278">
            <v>1.27895280088388E-7</v>
          </cell>
          <cell r="J278">
            <v>1.02314970040874E-7</v>
          </cell>
        </row>
        <row r="279">
          <cell r="A279" t="str">
            <v>D-SCOM_LTH</v>
          </cell>
          <cell r="B279" t="str">
            <v>VAR_cap</v>
          </cell>
          <cell r="C279" t="str">
            <v>-</v>
          </cell>
          <cell r="H279">
            <v>0.84970056037502295</v>
          </cell>
          <cell r="I279">
            <v>0.84970068827030298</v>
          </cell>
          <cell r="J279">
            <v>0.84970079058527304</v>
          </cell>
        </row>
        <row r="280">
          <cell r="A280" t="str">
            <v>ITOT-SWHBIOBR</v>
          </cell>
          <cell r="B280" t="str">
            <v>VAR_fout</v>
          </cell>
          <cell r="C280" t="str">
            <v>ITOT-SWH</v>
          </cell>
          <cell r="H280">
            <v>1.0137080368558902</v>
          </cell>
          <cell r="I280">
            <v>1.01370649863383</v>
          </cell>
          <cell r="J280">
            <v>1.0265372386875402</v>
          </cell>
        </row>
        <row r="281">
          <cell r="A281" t="str">
            <v>ITOT-SWHBIOBR</v>
          </cell>
          <cell r="B281" t="str">
            <v>VAR_fin</v>
          </cell>
          <cell r="C281" t="str">
            <v>IBIO</v>
          </cell>
          <cell r="H281">
            <v>1.4257497002192556</v>
          </cell>
          <cell r="I281">
            <v>1.4257475367564416</v>
          </cell>
          <cell r="J281">
            <v>1.4257461648438061</v>
          </cell>
        </row>
        <row r="282">
          <cell r="A282" t="str">
            <v>ITOT-SWHBIOBR</v>
          </cell>
          <cell r="B282" t="str">
            <v>VAR_ncap</v>
          </cell>
          <cell r="C282" t="str">
            <v>-</v>
          </cell>
          <cell r="H282">
            <v>4.7778641142068298E-2</v>
          </cell>
          <cell r="I282">
            <v>1.13379713693778E-2</v>
          </cell>
          <cell r="J282">
            <v>9.0535949733681897E-2</v>
          </cell>
        </row>
        <row r="283">
          <cell r="A283" t="str">
            <v>ITOT-SWHBIOBR</v>
          </cell>
          <cell r="B283" t="str">
            <v>VAR_cap</v>
          </cell>
          <cell r="C283" t="str">
            <v>-</v>
          </cell>
          <cell r="H283">
            <v>9.4479706993696955E-2</v>
          </cell>
          <cell r="I283">
            <v>7.0875784014325163E-2</v>
          </cell>
          <cell r="J283">
            <v>9.0772291609264297E-2</v>
          </cell>
        </row>
        <row r="284">
          <cell r="A284" t="str">
            <v>RHNS-SHPLTBR</v>
          </cell>
          <cell r="B284" t="str">
            <v>VAR_ncap</v>
          </cell>
          <cell r="C284" t="str">
            <v>-</v>
          </cell>
          <cell r="H284">
            <v>5.8768114092021802E-8</v>
          </cell>
          <cell r="I284">
            <v>5.9396827323787503E-8</v>
          </cell>
          <cell r="J284">
            <v>6.4573683304819994E-8</v>
          </cell>
        </row>
        <row r="285">
          <cell r="A285" t="str">
            <v>RHNS-SHPLTBR</v>
          </cell>
          <cell r="B285" t="str">
            <v>VAR_cap</v>
          </cell>
          <cell r="C285" t="str">
            <v>-</v>
          </cell>
          <cell r="H285">
            <v>-9.5492771876509598E-7</v>
          </cell>
          <cell r="I285">
            <v>-5.45808903138178E-7</v>
          </cell>
          <cell r="J285">
            <v>-4.6916533110530294E-7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ELC5</v>
          </cell>
          <cell r="H286">
            <v>9.5186659369098493E-4</v>
          </cell>
          <cell r="I286">
            <v>1.0682614516207649E-3</v>
          </cell>
          <cell r="J286">
            <v>6.1512561914515984E-4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RHNM_ELC</v>
          </cell>
          <cell r="H287">
            <v>1.6926082212204381E-2</v>
          </cell>
          <cell r="I287">
            <v>0.47080468611910431</v>
          </cell>
          <cell r="J287">
            <v>0.27184148552764148</v>
          </cell>
        </row>
        <row r="288">
          <cell r="A288" t="str">
            <v>D-RHNM_KEV_WOD_ELC_CHP</v>
          </cell>
          <cell r="B288" t="str">
            <v>VAR_fin</v>
          </cell>
          <cell r="C288" t="str">
            <v>RHNM_KEV_WOD_ELC_CHP</v>
          </cell>
          <cell r="H288">
            <v>1.7864561523589451E-2</v>
          </cell>
          <cell r="I288">
            <v>0.47186537235312498</v>
          </cell>
          <cell r="J288">
            <v>0.27245104430123779</v>
          </cell>
        </row>
        <row r="289">
          <cell r="A289" t="str">
            <v>SCOM-SHLTHCHPNGA</v>
          </cell>
          <cell r="B289" t="str">
            <v>VAR_fout</v>
          </cell>
          <cell r="C289" t="str">
            <v>SCOM-SHLTHC-NGA</v>
          </cell>
          <cell r="H289"/>
          <cell r="I289"/>
          <cell r="J289"/>
        </row>
        <row r="290">
          <cell r="A290" t="str">
            <v>SCOM-SHLTHCHPNGA</v>
          </cell>
          <cell r="B290" t="str">
            <v>VAR_fin</v>
          </cell>
          <cell r="C290" t="str">
            <v>SCOMLTHCHPC</v>
          </cell>
          <cell r="H290"/>
          <cell r="I290"/>
          <cell r="J290"/>
        </row>
        <row r="291">
          <cell r="A291" t="str">
            <v>SCOM-SHLTHCHPNGA</v>
          </cell>
          <cell r="B291" t="str">
            <v>VAR_fin</v>
          </cell>
          <cell r="C291" t="str">
            <v>SCOM_LTH_CHPNGA_ON</v>
          </cell>
          <cell r="H291"/>
          <cell r="I291"/>
          <cell r="J291"/>
        </row>
        <row r="292">
          <cell r="A292" t="str">
            <v>SCOM-SHLTHCHPNGA</v>
          </cell>
          <cell r="B292" t="str">
            <v>VAR_ncap</v>
          </cell>
          <cell r="C292" t="str">
            <v>-</v>
          </cell>
          <cell r="H292">
            <v>1.8670031963583501E-4</v>
          </cell>
          <cell r="I292">
            <v>1.0810422549556601E-4</v>
          </cell>
          <cell r="J292">
            <v>2.93963295294998E-2</v>
          </cell>
        </row>
        <row r="293">
          <cell r="A293" t="str">
            <v>SCOM-SHLTHCHPNGA</v>
          </cell>
          <cell r="B293" t="str">
            <v>VAR_cap</v>
          </cell>
          <cell r="C293" t="str">
            <v>-</v>
          </cell>
          <cell r="H293">
            <v>3.2283491976759643E-4</v>
          </cell>
          <cell r="I293">
            <v>1.7753391184685492E-4</v>
          </cell>
          <cell r="J293">
            <v>2.94450143162641E-2</v>
          </cell>
        </row>
        <row r="294">
          <cell r="A294" t="str">
            <v>ITOT-PROCESSCO2</v>
          </cell>
          <cell r="B294" t="str">
            <v>VAR_fout</v>
          </cell>
          <cell r="C294" t="str">
            <v>CO2</v>
          </cell>
          <cell r="H294">
            <v>2085.5355896593701</v>
          </cell>
          <cell r="I294">
            <v>2077.4141039474098</v>
          </cell>
          <cell r="J294">
            <v>2063.7554016399199</v>
          </cell>
        </row>
        <row r="295">
          <cell r="A295" t="str">
            <v>ITOT-PROCESSCO2</v>
          </cell>
          <cell r="B295" t="str">
            <v>VAR_fout</v>
          </cell>
          <cell r="C295" t="str">
            <v>CO2P</v>
          </cell>
          <cell r="H295">
            <v>2085.5355896593701</v>
          </cell>
          <cell r="I295">
            <v>2077.4141039474134</v>
          </cell>
          <cell r="J295">
            <v>2063.7554016399222</v>
          </cell>
        </row>
        <row r="296">
          <cell r="A296" t="str">
            <v>RHNM-SHWODBR</v>
          </cell>
          <cell r="B296" t="str">
            <v>VAR_fout</v>
          </cell>
          <cell r="C296" t="str">
            <v>RHNM-SHWOD</v>
          </cell>
          <cell r="H296"/>
          <cell r="I296"/>
          <cell r="J296"/>
        </row>
        <row r="297">
          <cell r="A297" t="str">
            <v>RHNM-SHWODBR</v>
          </cell>
          <cell r="B297" t="str">
            <v>VAR_fin</v>
          </cell>
          <cell r="C297" t="str">
            <v>RHNMWODBRC</v>
          </cell>
          <cell r="H297"/>
          <cell r="I297"/>
          <cell r="J297"/>
        </row>
        <row r="298">
          <cell r="A298" t="str">
            <v>RHNM-SHWODBR</v>
          </cell>
          <cell r="B298" t="str">
            <v>VAR_fin</v>
          </cell>
          <cell r="C298" t="str">
            <v>RWOD</v>
          </cell>
          <cell r="H298"/>
          <cell r="I298"/>
          <cell r="J298"/>
        </row>
        <row r="299">
          <cell r="A299" t="str">
            <v>RHNM-SHWODBR</v>
          </cell>
          <cell r="B299" t="str">
            <v>VAR_ncap</v>
          </cell>
          <cell r="C299" t="str">
            <v>-</v>
          </cell>
          <cell r="H299">
            <v>3.2162996436069498E-7</v>
          </cell>
          <cell r="I299"/>
          <cell r="J299"/>
        </row>
        <row r="300">
          <cell r="A300" t="str">
            <v>RHNM-SHWODBR</v>
          </cell>
          <cell r="B300" t="str">
            <v>VAR_cap</v>
          </cell>
          <cell r="C300" t="str">
            <v>-</v>
          </cell>
          <cell r="H300">
            <v>2.965288381683983E-5</v>
          </cell>
          <cell r="I300">
            <v>5.7830471983238966E-8</v>
          </cell>
          <cell r="J300">
            <v>6.8008137000346493E-8</v>
          </cell>
        </row>
        <row r="301">
          <cell r="A301" t="str">
            <v>RHNS-SHDEM</v>
          </cell>
          <cell r="B301" t="str">
            <v>VAR_fout</v>
          </cell>
          <cell r="C301" t="str">
            <v>RHNS-SHD</v>
          </cell>
          <cell r="H301">
            <v>3.9108108705137381</v>
          </cell>
          <cell r="I301">
            <v>4.4312231570193727</v>
          </cell>
          <cell r="J301">
            <v>4.6966493917300784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RHNS-SHLTHC-WOD</v>
          </cell>
          <cell r="H302"/>
          <cell r="I302">
            <v>4.5233746617727697E-5</v>
          </cell>
          <cell r="J302"/>
        </row>
        <row r="303">
          <cell r="A303" t="str">
            <v>RHNS-SHDEM</v>
          </cell>
          <cell r="B303" t="str">
            <v>VAR_fin</v>
          </cell>
          <cell r="C303" t="str">
            <v>RHNS-SHLFO</v>
          </cell>
          <cell r="H303">
            <v>4.0991599974240067E-2</v>
          </cell>
          <cell r="I303">
            <v>3.0466622169219467E-2</v>
          </cell>
          <cell r="J303"/>
        </row>
        <row r="304">
          <cell r="A304" t="str">
            <v>RHNS-SHDEM</v>
          </cell>
          <cell r="B304" t="str">
            <v>VAR_fin</v>
          </cell>
          <cell r="C304" t="str">
            <v>RHNS-SHNGAH</v>
          </cell>
          <cell r="H304">
            <v>0.88120689767761173</v>
          </cell>
          <cell r="I304">
            <v>1.0292280900125703</v>
          </cell>
          <cell r="J304">
            <v>1.0544472171100217</v>
          </cell>
        </row>
        <row r="305">
          <cell r="A305" t="str">
            <v>RHNS-SHDEM</v>
          </cell>
          <cell r="B305" t="str">
            <v>VAR_fin</v>
          </cell>
          <cell r="C305" t="str">
            <v>RHNS-SHCON</v>
          </cell>
          <cell r="H305">
            <v>1.3116986525373811E-3</v>
          </cell>
          <cell r="I305">
            <v>3.8383694716004712E-3</v>
          </cell>
          <cell r="J305">
            <v>3.8048721560258077E-3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RHNS-SHWOD</v>
          </cell>
          <cell r="H306">
            <v>1.6982570736712158E-4</v>
          </cell>
          <cell r="I306"/>
          <cell r="J306"/>
        </row>
        <row r="307">
          <cell r="A307" t="str">
            <v>RHNS-SHDEM</v>
          </cell>
          <cell r="B307" t="str">
            <v>VAR_fin</v>
          </cell>
          <cell r="C307" t="str">
            <v>RHNS-SHNST</v>
          </cell>
          <cell r="H307"/>
          <cell r="I307">
            <v>3.9892169607223034E-4</v>
          </cell>
          <cell r="J307">
            <v>1.6755740572813174E-4</v>
          </cell>
        </row>
        <row r="308">
          <cell r="A308" t="str">
            <v>RHNS-SHDEM</v>
          </cell>
          <cell r="B308" t="str">
            <v>VAR_fin</v>
          </cell>
          <cell r="C308" t="str">
            <v>RHNS-SHPLT</v>
          </cell>
          <cell r="H308">
            <v>2.3630492667886975E-5</v>
          </cell>
          <cell r="I308">
            <v>9.9360831799403113E-6</v>
          </cell>
          <cell r="J308">
            <v>1.2370804770879524E-4</v>
          </cell>
        </row>
        <row r="309">
          <cell r="A309" t="str">
            <v>RHNS-SHDEM</v>
          </cell>
          <cell r="B309" t="str">
            <v>VAR_fin</v>
          </cell>
          <cell r="C309" t="str">
            <v>RHNS-SHLTHD</v>
          </cell>
          <cell r="H309">
            <v>0.27334193805615403</v>
          </cell>
          <cell r="I309">
            <v>0.29347827344992022</v>
          </cell>
          <cell r="J309">
            <v>0.30878766532526331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RHNS-SHELCB</v>
          </cell>
          <cell r="H310">
            <v>1.2743006720877494E-2</v>
          </cell>
          <cell r="I310">
            <v>1.2492484062341932E-2</v>
          </cell>
          <cell r="J310">
            <v>7.7992603022916072E-3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RHNS-SHELCH</v>
          </cell>
          <cell r="H311">
            <v>2.6481739489709373</v>
          </cell>
          <cell r="I311">
            <v>3.0059636045567801</v>
          </cell>
          <cell r="J311">
            <v>3.2825769842071626</v>
          </cell>
        </row>
        <row r="312">
          <cell r="A312" t="str">
            <v>RHNS-SHDEM</v>
          </cell>
          <cell r="B312" t="str">
            <v>VAR_fin</v>
          </cell>
          <cell r="C312" t="str">
            <v>RHNS-SHSOL</v>
          </cell>
          <cell r="H312">
            <v>1.1585471728082432E-3</v>
          </cell>
          <cell r="I312">
            <v>1.899621045771749E-3</v>
          </cell>
          <cell r="J312">
            <v>2.355452919674309E-3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RHNS-SHLTHC-NGA</v>
          </cell>
          <cell r="H313">
            <v>8.9476330769829815E-5</v>
          </cell>
          <cell r="I313">
            <v>1.6342457827275789E-5</v>
          </cell>
          <cell r="J313"/>
        </row>
        <row r="314">
          <cell r="A314" t="str">
            <v>RHNS-SHDEM</v>
          </cell>
          <cell r="B314" t="str">
            <v>VAR_fin</v>
          </cell>
          <cell r="C314" t="str">
            <v>RHNS-SHNGA</v>
          </cell>
          <cell r="H314">
            <v>5.1767322754372465E-2</v>
          </cell>
          <cell r="I314">
            <v>5.3513668593019398E-2</v>
          </cell>
          <cell r="J314">
            <v>3.6686080531061288E-2</v>
          </cell>
        </row>
        <row r="315">
          <cell r="A315" t="str">
            <v>RES-ELCSPEC</v>
          </cell>
          <cell r="B315" t="str">
            <v>VAR_fout</v>
          </cell>
          <cell r="C315" t="str">
            <v>RHSA-ELS</v>
          </cell>
          <cell r="H315">
            <v>32.400811657317774</v>
          </cell>
          <cell r="I315">
            <v>22.6331792990674</v>
          </cell>
          <cell r="J315">
            <v>3.4328634699349987</v>
          </cell>
        </row>
        <row r="316">
          <cell r="A316" t="str">
            <v>RES-ELCSPEC</v>
          </cell>
          <cell r="B316" t="str">
            <v>VAR_fin</v>
          </cell>
          <cell r="C316" t="str">
            <v>RHSA_ELC</v>
          </cell>
          <cell r="H316">
            <v>32.400811657317774</v>
          </cell>
          <cell r="I316">
            <v>22.6331792990674</v>
          </cell>
          <cell r="J316">
            <v>3.4328634699349987</v>
          </cell>
        </row>
        <row r="317">
          <cell r="A317" t="str">
            <v>RES-ELCSPEC</v>
          </cell>
          <cell r="B317" t="str">
            <v>VAR_ncap</v>
          </cell>
          <cell r="C317" t="str">
            <v>-</v>
          </cell>
          <cell r="H317">
            <v>2.4533299352227402E-6</v>
          </cell>
          <cell r="I317">
            <v>1.24364738333703E-6</v>
          </cell>
          <cell r="J317">
            <v>5.7016409583291301E-2</v>
          </cell>
          <cell r="L317"/>
          <cell r="M317"/>
          <cell r="N317"/>
        </row>
        <row r="318">
          <cell r="A318" t="str">
            <v>RES-ELCSPEC</v>
          </cell>
          <cell r="B318" t="str">
            <v>VAR_cap</v>
          </cell>
          <cell r="C318" t="str">
            <v>-</v>
          </cell>
          <cell r="H318">
            <v>3.4247516009391008</v>
          </cell>
          <cell r="I318">
            <v>2.392327661236834</v>
          </cell>
          <cell r="J318">
            <v>0.43664824743115799</v>
          </cell>
        </row>
        <row r="319">
          <cell r="A319" t="str">
            <v>SCOM-SHCONBR1</v>
          </cell>
          <cell r="B319" t="str">
            <v>VAR_fout</v>
          </cell>
          <cell r="C319" t="str">
            <v>SCOM-SHCON</v>
          </cell>
          <cell r="H319">
            <v>2.2237129434091445</v>
          </cell>
          <cell r="I319">
            <v>2.6177950550375981</v>
          </cell>
          <cell r="J319">
            <v>2.6177975185727926</v>
          </cell>
        </row>
        <row r="320">
          <cell r="A320" t="str">
            <v>SCOM-SHCONBR1</v>
          </cell>
          <cell r="B320" t="str">
            <v>VAR_fin</v>
          </cell>
          <cell r="C320" t="str">
            <v>CON</v>
          </cell>
          <cell r="H320">
            <v>2.2237129434091445</v>
          </cell>
          <cell r="I320">
            <v>2.6177950550375981</v>
          </cell>
          <cell r="J320">
            <v>2.6177975185727926</v>
          </cell>
        </row>
        <row r="321">
          <cell r="A321" t="str">
            <v>SCOM-SHCONBR1</v>
          </cell>
          <cell r="B321" t="str">
            <v>VAR_ncap</v>
          </cell>
          <cell r="C321" t="str">
            <v>-</v>
          </cell>
          <cell r="H321">
            <v>3.5468212633509198E-7</v>
          </cell>
          <cell r="I321">
            <v>7.3429736064539201E-3</v>
          </cell>
          <cell r="J321">
            <v>8.65644551695431E-2</v>
          </cell>
        </row>
        <row r="322">
          <cell r="A322" t="str">
            <v>SCOM-SHCONBR1</v>
          </cell>
          <cell r="B322" t="str">
            <v>VAR_cap</v>
          </cell>
          <cell r="C322" t="str">
            <v>-</v>
          </cell>
          <cell r="H322">
            <v>0.20228827554891013</v>
          </cell>
          <cell r="I322">
            <v>0.20963182476005668</v>
          </cell>
          <cell r="J322">
            <v>0.21085115001092536</v>
          </cell>
        </row>
        <row r="323">
          <cell r="A323" t="str">
            <v>RHSA-WHSTG-SOL</v>
          </cell>
          <cell r="B323" t="str">
            <v>VAR_fout</v>
          </cell>
          <cell r="C323" t="str">
            <v>RHSA-WHASOL</v>
          </cell>
          <cell r="H323">
            <v>0.71988658661927196</v>
          </cell>
          <cell r="I323">
            <v>0.91031571827699898</v>
          </cell>
          <cell r="J323">
            <v>1.0984057739755504</v>
          </cell>
        </row>
        <row r="324">
          <cell r="A324" t="str">
            <v>RHSA-WHSTG-SOL</v>
          </cell>
          <cell r="B324" t="str">
            <v>VAR_fout</v>
          </cell>
          <cell r="C324" t="str">
            <v>AUX_RHSA-WHSTG-SOL_OUT</v>
          </cell>
          <cell r="H324">
            <v>0.72060647320589089</v>
          </cell>
          <cell r="I324">
            <v>0.91122603399527669</v>
          </cell>
          <cell r="J324">
            <v>1.0995041797495257</v>
          </cell>
        </row>
        <row r="325">
          <cell r="A325" t="str">
            <v>RHSA-WHSTG-SOL</v>
          </cell>
          <cell r="B325" t="str">
            <v>VAR_fin</v>
          </cell>
          <cell r="C325" t="str">
            <v>RHSA-WHASOL</v>
          </cell>
          <cell r="H325">
            <v>0.71989436370662119</v>
          </cell>
          <cell r="I325">
            <v>0.91032221926562262</v>
          </cell>
          <cell r="J325">
            <v>1.0984149190500103</v>
          </cell>
        </row>
        <row r="326">
          <cell r="A326" t="str">
            <v>RHSA-WHSTG-SOL</v>
          </cell>
          <cell r="B326" t="str">
            <v>VAR_ncap</v>
          </cell>
          <cell r="C326" t="str">
            <v>-</v>
          </cell>
          <cell r="H326">
            <v>8.2410884969778705E-2</v>
          </cell>
          <cell r="I326">
            <v>5.5058879627580298E-2</v>
          </cell>
          <cell r="J326">
            <v>9.8739787412891605E-2</v>
          </cell>
        </row>
        <row r="327">
          <cell r="A327" t="str">
            <v>RHSA-WHSTG-SOL</v>
          </cell>
          <cell r="B327" t="str">
            <v>VAR_cap</v>
          </cell>
          <cell r="C327" t="str">
            <v>-</v>
          </cell>
          <cell r="H327">
            <v>0.11296575667017196</v>
          </cell>
          <cell r="I327">
            <v>0.14439345734803899</v>
          </cell>
          <cell r="J327">
            <v>0.173557225700357</v>
          </cell>
        </row>
        <row r="328">
          <cell r="A328" t="str">
            <v>SCOM-SHCONBR2</v>
          </cell>
          <cell r="B328" t="str">
            <v>VAR_fout</v>
          </cell>
          <cell r="C328" t="str">
            <v>SCOM-SHCON</v>
          </cell>
          <cell r="H328">
            <v>3.5626328979456496</v>
          </cell>
          <cell r="I328">
            <v>4.0772705936247711</v>
          </cell>
          <cell r="J328">
            <v>4.0772734467367195</v>
          </cell>
        </row>
        <row r="329">
          <cell r="A329" t="str">
            <v>SCOM-SHCONBR2</v>
          </cell>
          <cell r="B329" t="str">
            <v>VAR_fin</v>
          </cell>
          <cell r="C329" t="str">
            <v>CON</v>
          </cell>
          <cell r="H329">
            <v>3.5626328979456496</v>
          </cell>
          <cell r="I329">
            <v>4.0772705936247711</v>
          </cell>
          <cell r="J329">
            <v>4.0772734467367195</v>
          </cell>
        </row>
        <row r="330">
          <cell r="A330" t="str">
            <v>SCOM-SHCONBR2</v>
          </cell>
          <cell r="B330" t="str">
            <v>VAR_ncap</v>
          </cell>
          <cell r="C330" t="str">
            <v>-</v>
          </cell>
          <cell r="H330">
            <v>3.5111192956586701E-7</v>
          </cell>
          <cell r="I330">
            <v>7.23867725354545E-3</v>
          </cell>
          <cell r="J330">
            <v>0.136123495797219</v>
          </cell>
        </row>
        <row r="331">
          <cell r="A331" t="str">
            <v>SCOM-SHCONBR2</v>
          </cell>
          <cell r="B331" t="str">
            <v>VAR_cap</v>
          </cell>
          <cell r="C331" t="str">
            <v>-</v>
          </cell>
          <cell r="H331">
            <v>0.3150619686909672</v>
          </cell>
          <cell r="I331">
            <v>0.3223012372672015</v>
          </cell>
          <cell r="J331">
            <v>0.32550049508778678</v>
          </cell>
        </row>
        <row r="332">
          <cell r="A332" t="str">
            <v>SCOM-SHCONBR3</v>
          </cell>
          <cell r="B332" t="str">
            <v>VAR_fout</v>
          </cell>
          <cell r="C332" t="str">
            <v>SCOM-SHCON</v>
          </cell>
          <cell r="H332">
            <v>2.0506714602107858</v>
          </cell>
          <cell r="I332">
            <v>3.2761341448170231</v>
          </cell>
          <cell r="J332">
            <v>3.276237685399765</v>
          </cell>
        </row>
        <row r="333">
          <cell r="A333" t="str">
            <v>SCOM-SHCONBR3</v>
          </cell>
          <cell r="B333" t="str">
            <v>VAR_fin</v>
          </cell>
          <cell r="C333" t="str">
            <v>CON</v>
          </cell>
          <cell r="H333">
            <v>2.0506714602107858</v>
          </cell>
          <cell r="I333">
            <v>3.2761341448170231</v>
          </cell>
          <cell r="J333">
            <v>3.276237685399765</v>
          </cell>
        </row>
        <row r="334">
          <cell r="A334" t="str">
            <v>SCOM-SHCONBR3</v>
          </cell>
          <cell r="B334" t="str">
            <v>VAR_ncap</v>
          </cell>
          <cell r="C334" t="str">
            <v>-</v>
          </cell>
          <cell r="H334">
            <v>1.8433092772403999E-7</v>
          </cell>
          <cell r="I334">
            <v>6.6879966556466497E-2</v>
          </cell>
          <cell r="J334">
            <v>7.8342102085828993E-2</v>
          </cell>
        </row>
        <row r="335">
          <cell r="A335" t="str">
            <v>SCOM-SHCONBR3</v>
          </cell>
          <cell r="B335" t="str">
            <v>VAR_cap</v>
          </cell>
          <cell r="C335" t="str">
            <v>-</v>
          </cell>
          <cell r="H335">
            <v>0.1867236795999356</v>
          </cell>
          <cell r="I335">
            <v>0.25360428281323139</v>
          </cell>
          <cell r="J335">
            <v>0.25316778599578538</v>
          </cell>
        </row>
        <row r="336">
          <cell r="A336" t="str">
            <v>SCOM-SHCONBR4</v>
          </cell>
          <cell r="B336" t="str">
            <v>VAR_fout</v>
          </cell>
          <cell r="C336" t="str">
            <v>SCOM-SHCON</v>
          </cell>
          <cell r="H336">
            <v>1.2840700685962773E-3</v>
          </cell>
          <cell r="I336">
            <v>6.45976016398013E-2</v>
          </cell>
          <cell r="J336">
            <v>3.331619113959563</v>
          </cell>
        </row>
        <row r="337">
          <cell r="A337" t="str">
            <v>SCOM-SHCONBR4</v>
          </cell>
          <cell r="B337" t="str">
            <v>VAR_fin</v>
          </cell>
          <cell r="C337" t="str">
            <v>CON</v>
          </cell>
          <cell r="H337">
            <v>1.2840700685962773E-3</v>
          </cell>
          <cell r="I337">
            <v>6.45976016398013E-2</v>
          </cell>
          <cell r="J337">
            <v>3.331619113959563</v>
          </cell>
        </row>
        <row r="338">
          <cell r="A338" t="str">
            <v>SCOM-SHCONBR4</v>
          </cell>
          <cell r="B338" t="str">
            <v>VAR_ncap</v>
          </cell>
          <cell r="C338" t="str">
            <v>-</v>
          </cell>
          <cell r="H338">
            <v>1.57318497767251E-7</v>
          </cell>
          <cell r="I338">
            <v>4.8270480195225802E-3</v>
          </cell>
          <cell r="J338">
            <v>0.25251032514527</v>
          </cell>
        </row>
        <row r="339">
          <cell r="A339" t="str">
            <v>SCOM-SHCONBR4</v>
          </cell>
          <cell r="B339" t="str">
            <v>VAR_cap</v>
          </cell>
          <cell r="C339" t="str">
            <v>-</v>
          </cell>
          <cell r="H339">
            <v>1.811924106372648E-4</v>
          </cell>
          <cell r="I339">
            <v>5.0086418358667147E-3</v>
          </cell>
          <cell r="J339">
            <v>0.25744256850886332</v>
          </cell>
        </row>
        <row r="340">
          <cell r="A340" t="str">
            <v>RHEM-SHNGABR</v>
          </cell>
          <cell r="B340" t="str">
            <v>VAR_fout</v>
          </cell>
          <cell r="C340" t="str">
            <v>CO2_R</v>
          </cell>
          <cell r="H340">
            <v>437.01643791949903</v>
          </cell>
          <cell r="I340">
            <v>116.621900383407</v>
          </cell>
          <cell r="J340">
            <v>41.901595577253097</v>
          </cell>
        </row>
        <row r="341">
          <cell r="A341" t="str">
            <v>RHEM-SHNGABR</v>
          </cell>
          <cell r="B341" t="str">
            <v>VAR_fout</v>
          </cell>
          <cell r="C341" t="str">
            <v>RHEM-SHNGA</v>
          </cell>
          <cell r="H341">
            <v>7.3056171879969893</v>
          </cell>
          <cell r="I341">
            <v>1.9495718833689206</v>
          </cell>
          <cell r="J341">
            <v>0.70047025762007509</v>
          </cell>
        </row>
        <row r="342">
          <cell r="A342" t="str">
            <v>RHEM-SHNGABR</v>
          </cell>
          <cell r="B342" t="str">
            <v>VAR_fin</v>
          </cell>
          <cell r="C342" t="str">
            <v>RNGA</v>
          </cell>
          <cell r="H342">
            <v>7.7485184028280045</v>
          </cell>
          <cell r="I342">
            <v>2.0677641911951672</v>
          </cell>
          <cell r="J342">
            <v>0.74293609179526754</v>
          </cell>
        </row>
        <row r="343">
          <cell r="A343" t="str">
            <v>RHEM-SHNGABR</v>
          </cell>
          <cell r="B343" t="str">
            <v>VAR_ncap</v>
          </cell>
          <cell r="C343" t="str">
            <v>-</v>
          </cell>
          <cell r="H343">
            <v>8.9720440017004993E-2</v>
          </cell>
          <cell r="I343">
            <v>5.8589551181707798E-2</v>
          </cell>
          <cell r="J343">
            <v>1.9633123038168099E-7</v>
          </cell>
        </row>
        <row r="344">
          <cell r="A344" t="str">
            <v>RHEM-SHNGABR</v>
          </cell>
          <cell r="B344" t="str">
            <v>VAR_cap</v>
          </cell>
          <cell r="C344" t="str">
            <v>-</v>
          </cell>
          <cell r="H344">
            <v>0.51840230111641838</v>
          </cell>
          <cell r="I344">
            <v>0.15423206348792812</v>
          </cell>
          <cell r="J344">
            <v>6.3839566130100597E-2</v>
          </cell>
        </row>
        <row r="345">
          <cell r="A345" t="str">
            <v>RHNS-SHCONBR1</v>
          </cell>
          <cell r="B345" t="str">
            <v>VAR_ncap</v>
          </cell>
          <cell r="C345" t="str">
            <v>-</v>
          </cell>
          <cell r="H345">
            <v>1.9456335274386301</v>
          </cell>
          <cell r="I345"/>
          <cell r="J345"/>
        </row>
        <row r="346">
          <cell r="A346" t="str">
            <v>RHNS-SHCONBR1</v>
          </cell>
          <cell r="B346" t="str">
            <v>VAR_cap</v>
          </cell>
          <cell r="C346" t="str">
            <v>-</v>
          </cell>
          <cell r="H346">
            <v>4.8945815352919908</v>
          </cell>
          <cell r="I346">
            <v>2.8320214803719637</v>
          </cell>
          <cell r="J346">
            <v>1.2717777909840038</v>
          </cell>
        </row>
        <row r="347">
          <cell r="A347" t="str">
            <v>SCOM-SHCONBR5</v>
          </cell>
          <cell r="B347" t="str">
            <v>VAR_fout</v>
          </cell>
          <cell r="C347" t="str">
            <v>SCOM-SHCON</v>
          </cell>
          <cell r="H347">
            <v>9.4471359047584044E-4</v>
          </cell>
          <cell r="I347">
            <v>1.6027518225618196E-3</v>
          </cell>
          <cell r="J347">
            <v>1.8499634457696377</v>
          </cell>
        </row>
        <row r="348">
          <cell r="A348" t="str">
            <v>SCOM-SHCONBR5</v>
          </cell>
          <cell r="B348" t="str">
            <v>VAR_fin</v>
          </cell>
          <cell r="C348" t="str">
            <v>CON</v>
          </cell>
          <cell r="H348">
            <v>9.4471359047584044E-4</v>
          </cell>
          <cell r="I348">
            <v>1.6027518225618196E-3</v>
          </cell>
          <cell r="J348">
            <v>1.8499634457696377</v>
          </cell>
        </row>
        <row r="349">
          <cell r="A349" t="str">
            <v>SCOM-SHCONBR5</v>
          </cell>
          <cell r="B349" t="str">
            <v>VAR_ncap</v>
          </cell>
          <cell r="C349" t="str">
            <v>-</v>
          </cell>
          <cell r="H349">
            <v>1.35654434471575E-7</v>
          </cell>
          <cell r="I349">
            <v>5.8108608258000205E-7</v>
          </cell>
          <cell r="J349">
            <v>0.14287506303761499</v>
          </cell>
        </row>
        <row r="350">
          <cell r="A350" t="str">
            <v>SCOM-SHCONBR5</v>
          </cell>
          <cell r="B350" t="str">
            <v>VAR_cap</v>
          </cell>
          <cell r="C350" t="str">
            <v>-</v>
          </cell>
          <cell r="H350">
            <v>1.3533317674604904E-4</v>
          </cell>
          <cell r="I350">
            <v>1.362548287716683E-4</v>
          </cell>
          <cell r="J350">
            <v>0.14295426729774474</v>
          </cell>
        </row>
        <row r="351">
          <cell r="A351" t="str">
            <v>RHNS-SHCONBR2</v>
          </cell>
          <cell r="B351" t="str">
            <v>VAR_ncap</v>
          </cell>
          <cell r="C351" t="str">
            <v>-</v>
          </cell>
          <cell r="H351">
            <v>1.9456335274386301</v>
          </cell>
          <cell r="I351"/>
          <cell r="J351"/>
        </row>
        <row r="352">
          <cell r="A352" t="str">
            <v>RHNS-SHCONBR2</v>
          </cell>
          <cell r="B352" t="str">
            <v>VAR_cap</v>
          </cell>
          <cell r="C352" t="str">
            <v>-</v>
          </cell>
          <cell r="H352">
            <v>4.8945815352919908</v>
          </cell>
          <cell r="I352">
            <v>2.8320214803719637</v>
          </cell>
          <cell r="J352">
            <v>1.2717777909840038</v>
          </cell>
        </row>
        <row r="353">
          <cell r="A353" t="str">
            <v>RHES-SHSTG-ELCHP</v>
          </cell>
          <cell r="B353" t="str">
            <v>VAR_fout</v>
          </cell>
          <cell r="C353" t="str">
            <v>RHES-SHAELCH</v>
          </cell>
          <cell r="H353">
            <v>3.9828795855837211</v>
          </cell>
          <cell r="I353">
            <v>4.9370341358109231</v>
          </cell>
          <cell r="J353">
            <v>4.3274857447934689</v>
          </cell>
        </row>
        <row r="354">
          <cell r="A354" t="str">
            <v>RHES-SHSTG-ELCHP</v>
          </cell>
          <cell r="B354" t="str">
            <v>VAR_fout</v>
          </cell>
          <cell r="C354" t="str">
            <v>AUX_RHES-SHSTG-ELCHP_OUT</v>
          </cell>
          <cell r="H354">
            <v>3.9868624651693034</v>
          </cell>
          <cell r="I354">
            <v>4.9419711699467337</v>
          </cell>
          <cell r="J354">
            <v>4.33181323053826</v>
          </cell>
        </row>
        <row r="355">
          <cell r="A355" t="str">
            <v>RHES-SHSTG-ELCHP</v>
          </cell>
          <cell r="B355" t="str">
            <v>VAR_fin</v>
          </cell>
          <cell r="C355" t="str">
            <v>RHES-SHAELCH</v>
          </cell>
          <cell r="H355">
            <v>3.9828896663558884</v>
          </cell>
          <cell r="I355">
            <v>4.9370448496685997</v>
          </cell>
          <cell r="J355">
            <v>4.3274986326323148</v>
          </cell>
        </row>
        <row r="356">
          <cell r="A356" t="str">
            <v>RHES-SHSTG-ELCHP</v>
          </cell>
          <cell r="B356" t="str">
            <v>VAR_ncap</v>
          </cell>
          <cell r="C356" t="str">
            <v>-</v>
          </cell>
          <cell r="H356">
            <v>0.124308001976246</v>
          </cell>
          <cell r="I356">
            <v>0.235962994016054</v>
          </cell>
          <cell r="J356">
            <v>0.18471530345050299</v>
          </cell>
        </row>
        <row r="357">
          <cell r="A357" t="str">
            <v>RHES-SHSTG-ELCHP</v>
          </cell>
          <cell r="B357" t="str">
            <v>VAR_cap</v>
          </cell>
          <cell r="C357" t="str">
            <v>-</v>
          </cell>
          <cell r="H357">
            <v>0.41953922446268338</v>
          </cell>
          <cell r="I357">
            <v>0.45198517602529198</v>
          </cell>
          <cell r="J357">
            <v>0.40850870537085127</v>
          </cell>
        </row>
        <row r="358">
          <cell r="A358" t="str">
            <v>SCOM-SHCONBR6</v>
          </cell>
          <cell r="B358" t="str">
            <v>VAR_fout</v>
          </cell>
          <cell r="C358" t="str">
            <v>SCOM-SHCON</v>
          </cell>
          <cell r="H358">
            <v>5.2749877235012369E-4</v>
          </cell>
          <cell r="I358">
            <v>8.6528878862489149E-4</v>
          </cell>
          <cell r="J358">
            <v>5.8514774292469567E-4</v>
          </cell>
        </row>
        <row r="359">
          <cell r="A359" t="str">
            <v>SCOM-SHCONBR6</v>
          </cell>
          <cell r="B359" t="str">
            <v>VAR_fin</v>
          </cell>
          <cell r="C359" t="str">
            <v>CON</v>
          </cell>
          <cell r="H359">
            <v>5.2749877235012369E-4</v>
          </cell>
          <cell r="I359">
            <v>8.6528878862489149E-4</v>
          </cell>
          <cell r="J359">
            <v>5.8514774292469567E-4</v>
          </cell>
        </row>
        <row r="360">
          <cell r="A360" t="str">
            <v>SCOM-SHCONBR6</v>
          </cell>
          <cell r="B360" t="str">
            <v>VAR_ncap</v>
          </cell>
          <cell r="C360" t="str">
            <v>-</v>
          </cell>
          <cell r="H360">
            <v>1.16388482482116E-7</v>
          </cell>
          <cell r="I360">
            <v>2.5703018150248E-7</v>
          </cell>
          <cell r="J360">
            <v>4.4089108577621197E-6</v>
          </cell>
        </row>
        <row r="361">
          <cell r="A361" t="str">
            <v>SCOM-SHCONBR6</v>
          </cell>
          <cell r="B361" t="str">
            <v>VAR_cap</v>
          </cell>
          <cell r="C361" t="str">
            <v>-</v>
          </cell>
          <cell r="H361">
            <v>7.64280233401943E-5</v>
          </cell>
          <cell r="I361">
            <v>7.6891615238307274E-5</v>
          </cell>
          <cell r="J361">
            <v>4.9158151757928218E-5</v>
          </cell>
        </row>
        <row r="362">
          <cell r="A362" t="str">
            <v>RHNM-SHDEM</v>
          </cell>
          <cell r="B362" t="str">
            <v>VAR_fout</v>
          </cell>
          <cell r="C362" t="str">
            <v>RHNM-SHD</v>
          </cell>
          <cell r="H362">
            <v>4.014044178815432</v>
          </cell>
          <cell r="I362">
            <v>4.4864389364379029</v>
          </cell>
          <cell r="J362">
            <v>4.5683569841970328</v>
          </cell>
        </row>
        <row r="363">
          <cell r="A363" t="str">
            <v>RHNM-SHDEM</v>
          </cell>
          <cell r="B363" t="str">
            <v>VAR_fin</v>
          </cell>
          <cell r="C363" t="str">
            <v>RHNM-SHLFO</v>
          </cell>
          <cell r="H363">
            <v>0.12230568910142116</v>
          </cell>
          <cell r="I363">
            <v>6.5206232712459553E-2</v>
          </cell>
          <cell r="J363"/>
        </row>
        <row r="364">
          <cell r="A364" t="str">
            <v>RHNM-SHDEM</v>
          </cell>
          <cell r="B364" t="str">
            <v>VAR_fin</v>
          </cell>
          <cell r="C364" t="str">
            <v>RHNM-SHLTHD</v>
          </cell>
          <cell r="H364">
            <v>0.45836906885883372</v>
          </cell>
          <cell r="I364">
            <v>0.51660492790616652</v>
          </cell>
          <cell r="J364">
            <v>0.55512987630433053</v>
          </cell>
        </row>
        <row r="365">
          <cell r="A365" t="str">
            <v>RHNM-SHDEM</v>
          </cell>
          <cell r="B365" t="str">
            <v>VAR_fin</v>
          </cell>
          <cell r="C365" t="str">
            <v>RHNM-SHCON</v>
          </cell>
          <cell r="H365">
            <v>1.6337380665600375E-3</v>
          </cell>
          <cell r="I365">
            <v>9.6386930153032103E-3</v>
          </cell>
          <cell r="J365">
            <v>9.5854235771025351E-3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RHNM-SHELCB</v>
          </cell>
          <cell r="H366">
            <v>2.1331407310741374E-3</v>
          </cell>
          <cell r="I366">
            <v>5.7170011703095956E-3</v>
          </cell>
          <cell r="J366">
            <v>2.350286366796532E-3</v>
          </cell>
        </row>
        <row r="367">
          <cell r="A367" t="str">
            <v>RHNM-SHDEM</v>
          </cell>
          <cell r="B367" t="str">
            <v>VAR_fin</v>
          </cell>
          <cell r="C367" t="str">
            <v>RHNM-SHWOD</v>
          </cell>
          <cell r="H367">
            <v>2.7661512629085307E-4</v>
          </cell>
          <cell r="I367">
            <v>9.2391501359444619E-4</v>
          </cell>
          <cell r="J367">
            <v>7.9029452119381692E-4</v>
          </cell>
        </row>
        <row r="368">
          <cell r="A368" t="str">
            <v>RHNM-SHDEM</v>
          </cell>
          <cell r="B368" t="str">
            <v>VAR_fin</v>
          </cell>
          <cell r="C368" t="str">
            <v>RHNM-SHELCH</v>
          </cell>
          <cell r="H368">
            <v>2.334848792747378</v>
          </cell>
          <cell r="I368">
            <v>2.6585941658749541</v>
          </cell>
          <cell r="J368">
            <v>2.8217242831451559</v>
          </cell>
        </row>
        <row r="369">
          <cell r="A369" t="str">
            <v>RHNM-SHDEM</v>
          </cell>
          <cell r="B369" t="str">
            <v>VAR_fin</v>
          </cell>
          <cell r="C369" t="str">
            <v>RHNM-SHNST</v>
          </cell>
          <cell r="H369">
            <v>3.2677718074554617E-5</v>
          </cell>
          <cell r="I369">
            <v>4.7377420258691001E-7</v>
          </cell>
          <cell r="J369"/>
        </row>
        <row r="370">
          <cell r="A370" t="str">
            <v>RHNM-SHDEM</v>
          </cell>
          <cell r="B370" t="str">
            <v>VAR_fin</v>
          </cell>
          <cell r="C370" t="str">
            <v>RHNM-SHPLT</v>
          </cell>
          <cell r="H370">
            <v>2.0680246702308239E-5</v>
          </cell>
          <cell r="I370">
            <v>8.985983165075761E-6</v>
          </cell>
          <cell r="J370"/>
        </row>
        <row r="371">
          <cell r="A371" t="str">
            <v>RHNM-SHDEM</v>
          </cell>
          <cell r="B371" t="str">
            <v>VAR_fin</v>
          </cell>
          <cell r="C371" t="str">
            <v>RHNM-SHLTHC-NGA</v>
          </cell>
          <cell r="H371"/>
          <cell r="I371">
            <v>1.2642265387840215E-3</v>
          </cell>
          <cell r="J371"/>
        </row>
        <row r="372">
          <cell r="A372" t="str">
            <v>RHNM-SHDEM</v>
          </cell>
          <cell r="B372" t="str">
            <v>VAR_fin</v>
          </cell>
          <cell r="C372" t="str">
            <v>RHNM-SHSOL</v>
          </cell>
          <cell r="H372">
            <v>7.1863050603348676E-4</v>
          </cell>
          <cell r="I372">
            <v>4.5705586271256177E-3</v>
          </cell>
          <cell r="J372">
            <v>1.8190764261750703E-3</v>
          </cell>
        </row>
        <row r="373">
          <cell r="A373" t="str">
            <v>RHNM-SHDEM</v>
          </cell>
          <cell r="B373" t="str">
            <v>VAR_fin</v>
          </cell>
          <cell r="C373" t="str">
            <v>RHNM-SHLTHC-WOD</v>
          </cell>
          <cell r="H373">
            <v>3.7710750020344801E-6</v>
          </cell>
          <cell r="I373">
            <v>2.479846738753921E-6</v>
          </cell>
          <cell r="J373"/>
        </row>
        <row r="374">
          <cell r="A374" t="str">
            <v>RHNM-SHDEM</v>
          </cell>
          <cell r="B374" t="str">
            <v>VAR_fin</v>
          </cell>
          <cell r="C374" t="str">
            <v>RHNM-SHNGAH</v>
          </cell>
          <cell r="H374">
            <v>1.0746288729109561</v>
          </cell>
          <cell r="I374">
            <v>1.224023107011426</v>
          </cell>
          <cell r="J374">
            <v>1.1770436035213161</v>
          </cell>
        </row>
        <row r="375">
          <cell r="A375" t="str">
            <v>RHNM-SHDEM</v>
          </cell>
          <cell r="B375" t="str">
            <v>VAR_fin</v>
          </cell>
          <cell r="C375" t="str">
            <v>RHNM-SHNGA</v>
          </cell>
          <cell r="H375">
            <v>1.9243423561925096E-2</v>
          </cell>
          <cell r="I375">
            <v>6.9875895588106807E-7</v>
          </cell>
          <cell r="J375"/>
        </row>
        <row r="376">
          <cell r="A376" t="str">
            <v>SCOM-STG-ELCSPEC</v>
          </cell>
          <cell r="B376" t="str">
            <v>VAR_fout</v>
          </cell>
          <cell r="C376" t="str">
            <v>SCOM-ELS</v>
          </cell>
          <cell r="H376">
            <v>1.4484731573378502E-2</v>
          </cell>
          <cell r="I376">
            <v>1.4482446850478189E-2</v>
          </cell>
          <cell r="J376">
            <v>1.4919336559473506E-2</v>
          </cell>
        </row>
        <row r="377">
          <cell r="A377" t="str">
            <v>SCOM-STG-ELCSPEC</v>
          </cell>
          <cell r="B377" t="str">
            <v>VAR_fin</v>
          </cell>
          <cell r="C377" t="str">
            <v>SCOM-ELS</v>
          </cell>
          <cell r="H377">
            <v>1.4485795866047995E-2</v>
          </cell>
          <cell r="I377">
            <v>1.4483549153600164E-2</v>
          </cell>
          <cell r="J377">
            <v>1.4919887711034535E-2</v>
          </cell>
        </row>
        <row r="378">
          <cell r="A378" t="str">
            <v>SCOM-STG-ELCSPEC</v>
          </cell>
          <cell r="B378" t="str">
            <v>VAR_ncap</v>
          </cell>
          <cell r="C378" t="str">
            <v>-</v>
          </cell>
          <cell r="H378">
            <v>4.6662790250498403E-5</v>
          </cell>
          <cell r="I378">
            <v>2.38506351473472E-4</v>
          </cell>
          <cell r="J378">
            <v>2.7007208412673699E-4</v>
          </cell>
        </row>
        <row r="379">
          <cell r="A379" t="str">
            <v>SCOM-STG-ELCSPEC</v>
          </cell>
          <cell r="B379" t="str">
            <v>VAR_cap</v>
          </cell>
          <cell r="C379" t="str">
            <v>-</v>
          </cell>
          <cell r="H379">
            <v>5.423640471750701E-4</v>
          </cell>
          <cell r="I379">
            <v>5.437870053567321E-4</v>
          </cell>
          <cell r="J379">
            <v>5.4541145107439093E-4</v>
          </cell>
        </row>
        <row r="380">
          <cell r="A380" t="str">
            <v>RHNS-SHCONBR3</v>
          </cell>
          <cell r="B380" t="str">
            <v>VAR_ncap</v>
          </cell>
          <cell r="C380" t="str">
            <v>-</v>
          </cell>
          <cell r="H380">
            <v>1.9456335274386301</v>
          </cell>
          <cell r="I380"/>
          <cell r="J380"/>
        </row>
        <row r="381">
          <cell r="A381" t="str">
            <v>RHNS-SHCONBR3</v>
          </cell>
          <cell r="B381" t="str">
            <v>VAR_cap</v>
          </cell>
          <cell r="C381" t="str">
            <v>-</v>
          </cell>
          <cell r="H381">
            <v>4.8945815352919908</v>
          </cell>
          <cell r="I381">
            <v>2.8320214803719637</v>
          </cell>
          <cell r="J381">
            <v>1.2717777909840038</v>
          </cell>
        </row>
        <row r="382">
          <cell r="A382" t="str">
            <v>SCOM-SHCONBR7</v>
          </cell>
          <cell r="B382" t="str">
            <v>VAR_fout</v>
          </cell>
          <cell r="C382" t="str">
            <v>SCOM-SHCON</v>
          </cell>
          <cell r="H382">
            <v>2.9662248610607219E-4</v>
          </cell>
          <cell r="I382">
            <v>4.5912732943991636E-4</v>
          </cell>
          <cell r="J382">
            <v>2.8956513403599886E-4</v>
          </cell>
        </row>
        <row r="383">
          <cell r="A383" t="str">
            <v>SCOM-SHCONBR7</v>
          </cell>
          <cell r="B383" t="str">
            <v>VAR_fin</v>
          </cell>
          <cell r="C383" t="str">
            <v>CON</v>
          </cell>
          <cell r="H383">
            <v>2.9662248610607219E-4</v>
          </cell>
          <cell r="I383">
            <v>4.5912732943991636E-4</v>
          </cell>
          <cell r="J383">
            <v>2.8956513403599886E-4</v>
          </cell>
        </row>
        <row r="384">
          <cell r="A384" t="str">
            <v>SCOM-SHCONBR7</v>
          </cell>
          <cell r="B384" t="str">
            <v>VAR_ncap</v>
          </cell>
          <cell r="C384" t="str">
            <v>-</v>
          </cell>
          <cell r="H384">
            <v>7.9294817588187203E-8</v>
          </cell>
          <cell r="I384"/>
          <cell r="J384">
            <v>2.3927679704912398E-7</v>
          </cell>
        </row>
        <row r="385">
          <cell r="A385" t="str">
            <v>SCOM-SHCONBR7</v>
          </cell>
          <cell r="B385" t="str">
            <v>VAR_cap</v>
          </cell>
          <cell r="C385" t="str">
            <v>-</v>
          </cell>
          <cell r="H385">
            <v>4.2661182918715572E-5</v>
          </cell>
          <cell r="I385">
            <v>4.2758384133789359E-5</v>
          </cell>
          <cell r="J385">
            <v>2.5111561796895199E-5</v>
          </cell>
        </row>
        <row r="386">
          <cell r="A386" t="str">
            <v>RHNS-SHCONBR4</v>
          </cell>
          <cell r="B386" t="str">
            <v>VAR_ncap</v>
          </cell>
          <cell r="C386" t="str">
            <v>-</v>
          </cell>
          <cell r="H386">
            <v>1.9456335274386301</v>
          </cell>
          <cell r="I386"/>
          <cell r="J386"/>
        </row>
        <row r="387">
          <cell r="A387" t="str">
            <v>RHNS-SHCONBR4</v>
          </cell>
          <cell r="B387" t="str">
            <v>VAR_cap</v>
          </cell>
          <cell r="C387" t="str">
            <v>-</v>
          </cell>
          <cell r="H387">
            <v>4.8945815352919908</v>
          </cell>
          <cell r="I387">
            <v>2.8320214803719637</v>
          </cell>
          <cell r="J387">
            <v>1.2717777909840038</v>
          </cell>
        </row>
        <row r="388">
          <cell r="A388" t="str">
            <v>SCOM-SHCONBR8</v>
          </cell>
          <cell r="B388" t="str">
            <v>VAR_fout</v>
          </cell>
          <cell r="C388" t="str">
            <v>SCOM-SHCON</v>
          </cell>
          <cell r="H388">
            <v>1.014760805449808E-4</v>
          </cell>
          <cell r="I388">
            <v>1.3128659831192753E-4</v>
          </cell>
          <cell r="J388">
            <v>8.6836552454828134E-5</v>
          </cell>
        </row>
        <row r="389">
          <cell r="A389" t="str">
            <v>SCOM-SHCONBR8</v>
          </cell>
          <cell r="B389" t="str">
            <v>VAR_fin</v>
          </cell>
          <cell r="C389" t="str">
            <v>CON</v>
          </cell>
          <cell r="H389">
            <v>1.014760805449808E-4</v>
          </cell>
          <cell r="I389">
            <v>1.3128659831192753E-4</v>
          </cell>
          <cell r="J389">
            <v>8.6836552454828134E-5</v>
          </cell>
        </row>
        <row r="390">
          <cell r="A390" t="str">
            <v>SCOM-SHCONBR8</v>
          </cell>
          <cell r="B390" t="str">
            <v>VAR_ncap</v>
          </cell>
          <cell r="C390" t="str">
            <v>-</v>
          </cell>
          <cell r="H390">
            <v>3.45572929242844E-8</v>
          </cell>
          <cell r="I390"/>
          <cell r="J390">
            <v>4.7494454809730299E-8</v>
          </cell>
        </row>
        <row r="391">
          <cell r="A391" t="str">
            <v>SCOM-SHCONBR8</v>
          </cell>
          <cell r="B391" t="str">
            <v>VAR_cap</v>
          </cell>
          <cell r="C391" t="str">
            <v>-</v>
          </cell>
          <cell r="H391">
            <v>1.2994447836180084E-5</v>
          </cell>
          <cell r="I391">
            <v>1.3002052074984204E-5</v>
          </cell>
          <cell r="J391">
            <v>7.6386873217217291E-6</v>
          </cell>
        </row>
        <row r="392">
          <cell r="A392" t="str">
            <v>ITOT-ELCSPEC</v>
          </cell>
          <cell r="B392" t="str">
            <v>VAR_fout</v>
          </cell>
          <cell r="C392" t="str">
            <v>ITOT-ELS</v>
          </cell>
          <cell r="H392">
            <v>50.269325492336314</v>
          </cell>
          <cell r="I392">
            <v>50.069280116323092</v>
          </cell>
          <cell r="J392">
            <v>50.767159707044492</v>
          </cell>
        </row>
        <row r="393">
          <cell r="A393" t="str">
            <v>ITOT-ELCSPEC</v>
          </cell>
          <cell r="B393" t="str">
            <v>VAR_fin</v>
          </cell>
          <cell r="C393" t="str">
            <v>ITOT_ELC</v>
          </cell>
          <cell r="H393">
            <v>50.269325492336314</v>
          </cell>
          <cell r="I393">
            <v>50.069280116323092</v>
          </cell>
          <cell r="J393">
            <v>50.767159707044492</v>
          </cell>
        </row>
        <row r="394">
          <cell r="A394" t="str">
            <v>ITOT-ELCSPEC</v>
          </cell>
          <cell r="B394" t="str">
            <v>VAR_ncap</v>
          </cell>
          <cell r="C394" t="str">
            <v>-</v>
          </cell>
          <cell r="H394">
            <v>3.1550960037275599E-6</v>
          </cell>
          <cell r="I394">
            <v>2.11041564441453E-6</v>
          </cell>
          <cell r="J394">
            <v>2.46727643821957</v>
          </cell>
        </row>
        <row r="395">
          <cell r="A395" t="str">
            <v>ITOT-ELCSPEC</v>
          </cell>
          <cell r="B395" t="str">
            <v>VAR_cap</v>
          </cell>
          <cell r="C395" t="str">
            <v>-</v>
          </cell>
          <cell r="H395">
            <v>2.7337896221152591</v>
          </cell>
          <cell r="I395">
            <v>2.7229126190963888</v>
          </cell>
          <cell r="J395">
            <v>2.7608625432240639</v>
          </cell>
        </row>
        <row r="396">
          <cell r="A396" t="str">
            <v>RHNM-SHLTHDH</v>
          </cell>
          <cell r="B396" t="str">
            <v>VAR_fout</v>
          </cell>
          <cell r="C396" t="str">
            <v>RHNM-SHLTHD</v>
          </cell>
          <cell r="H396">
            <v>0.4588978612620262</v>
          </cell>
          <cell r="I396">
            <v>0.52125390652287729</v>
          </cell>
          <cell r="J396">
            <v>0.55693745061386668</v>
          </cell>
        </row>
        <row r="397">
          <cell r="A397" t="str">
            <v>RHNM-SHLTHDH</v>
          </cell>
          <cell r="B397" t="str">
            <v>VAR_fin</v>
          </cell>
          <cell r="C397" t="str">
            <v>RHNMLTHDHC</v>
          </cell>
          <cell r="H397">
            <v>0.4588978612620262</v>
          </cell>
          <cell r="I397">
            <v>0.52125390652287729</v>
          </cell>
          <cell r="J397">
            <v>0.55693745061386668</v>
          </cell>
        </row>
        <row r="398">
          <cell r="A398" t="str">
            <v>RHNM-SHLTHDH</v>
          </cell>
          <cell r="B398" t="str">
            <v>VAR_fin</v>
          </cell>
          <cell r="C398" t="str">
            <v>RHNM_LTH_DH</v>
          </cell>
          <cell r="H398">
            <v>0.50439273607509871</v>
          </cell>
          <cell r="I398">
            <v>0.57244439511328515</v>
          </cell>
          <cell r="J398">
            <v>0.61163229290560273</v>
          </cell>
        </row>
        <row r="399">
          <cell r="A399" t="str">
            <v>RHNM-SHLTHDH</v>
          </cell>
          <cell r="B399" t="str">
            <v>VAR_ncap</v>
          </cell>
          <cell r="C399" t="str">
            <v>-</v>
          </cell>
          <cell r="H399">
            <v>2.0253731731623498E-2</v>
          </cell>
          <cell r="I399">
            <v>2.0189592723822199E-2</v>
          </cell>
          <cell r="J399">
            <v>4.6909003038003598E-2</v>
          </cell>
        </row>
        <row r="400">
          <cell r="A400" t="str">
            <v>RHNM-SHLTHDH</v>
          </cell>
          <cell r="B400" t="str">
            <v>VAR_cap</v>
          </cell>
          <cell r="C400" t="str">
            <v>-</v>
          </cell>
          <cell r="H400">
            <v>3.7079434270670092E-2</v>
          </cell>
          <cell r="I400">
            <v>4.3030278755466708E-2</v>
          </cell>
          <cell r="J400">
            <v>7.4508850115340419E-2</v>
          </cell>
        </row>
        <row r="401">
          <cell r="A401" t="str">
            <v>RHNS-SHCONBR5</v>
          </cell>
          <cell r="B401" t="str">
            <v>VAR_ncap</v>
          </cell>
          <cell r="C401" t="str">
            <v>-</v>
          </cell>
          <cell r="H401">
            <v>1.9456335274386301</v>
          </cell>
          <cell r="I401"/>
          <cell r="J401"/>
        </row>
        <row r="402">
          <cell r="A402" t="str">
            <v>RHNS-SHCONBR5</v>
          </cell>
          <cell r="B402" t="str">
            <v>VAR_cap</v>
          </cell>
          <cell r="C402" t="str">
            <v>-</v>
          </cell>
          <cell r="H402">
            <v>4.8945815352919908</v>
          </cell>
          <cell r="I402">
            <v>2.8320214803719637</v>
          </cell>
          <cell r="J402">
            <v>1.2717777909840038</v>
          </cell>
        </row>
        <row r="403">
          <cell r="A403" t="str">
            <v>SCOM-SHCONBR9</v>
          </cell>
          <cell r="B403" t="str">
            <v>VAR_fout</v>
          </cell>
          <cell r="C403" t="str">
            <v>SCOM-SHCON</v>
          </cell>
          <cell r="H403">
            <v>3.7498075201675357E-5</v>
          </cell>
          <cell r="I403">
            <v>3.7760021615964238E-5</v>
          </cell>
          <cell r="J403">
            <v>2.7426429855680288E-5</v>
          </cell>
        </row>
        <row r="404">
          <cell r="A404" t="str">
            <v>SCOM-SHCONBR9</v>
          </cell>
          <cell r="B404" t="str">
            <v>VAR_fin</v>
          </cell>
          <cell r="C404" t="str">
            <v>CON</v>
          </cell>
          <cell r="H404">
            <v>3.7498075201675357E-5</v>
          </cell>
          <cell r="I404">
            <v>3.7760021615964238E-5</v>
          </cell>
          <cell r="J404">
            <v>2.7426429855680288E-5</v>
          </cell>
        </row>
        <row r="405">
          <cell r="A405" t="str">
            <v>SCOM-SHCONBR9</v>
          </cell>
          <cell r="B405" t="str">
            <v>VAR_ncap</v>
          </cell>
          <cell r="C405" t="str">
            <v>-</v>
          </cell>
          <cell r="H405">
            <v>1.66669851191498E-8</v>
          </cell>
          <cell r="I405"/>
          <cell r="J405">
            <v>1.7478098507313599E-8</v>
          </cell>
        </row>
        <row r="406">
          <cell r="A406" t="str">
            <v>SCOM-SHCONBR9</v>
          </cell>
          <cell r="B406" t="str">
            <v>VAR_cap</v>
          </cell>
          <cell r="C406" t="str">
            <v>-</v>
          </cell>
          <cell r="H406">
            <v>2.8674159571690615E-6</v>
          </cell>
          <cell r="I406">
            <v>2.8649008319959295E-6</v>
          </cell>
          <cell r="J406">
            <v>1.7399585995989032E-6</v>
          </cell>
        </row>
        <row r="407">
          <cell r="A407" t="str">
            <v>ITOT-SWHCOABR</v>
          </cell>
          <cell r="B407" t="str">
            <v>VAR_fout</v>
          </cell>
          <cell r="C407" t="str">
            <v>ITOT-SWH</v>
          </cell>
          <cell r="H407">
            <v>2.2068972682398415E-4</v>
          </cell>
          <cell r="I407">
            <v>3.7720836844535255E-6</v>
          </cell>
          <cell r="J407">
            <v>1.1430365615777078E-4</v>
          </cell>
        </row>
        <row r="408">
          <cell r="A408" t="str">
            <v>ITOT-SWHCOABR</v>
          </cell>
          <cell r="B408" t="str">
            <v>VAR_fout</v>
          </cell>
          <cell r="C408" t="str">
            <v>CO2_I</v>
          </cell>
          <cell r="H408">
            <v>3.0420725169640599E-2</v>
          </cell>
          <cell r="I408">
            <v>5.1803282599828396E-4</v>
          </cell>
          <cell r="J408">
            <v>1.5582277832096101E-2</v>
          </cell>
        </row>
        <row r="409">
          <cell r="A409" t="str">
            <v>ITOT-SWHCOABR</v>
          </cell>
          <cell r="B409" t="str">
            <v>VAR_fin</v>
          </cell>
          <cell r="C409" t="str">
            <v>ICOA</v>
          </cell>
          <cell r="H409">
            <v>3.2816316256354506E-4</v>
          </cell>
          <cell r="I409">
            <v>5.5882721251163348E-6</v>
          </cell>
          <cell r="J409">
            <v>1.6809361199672176E-4</v>
          </cell>
        </row>
        <row r="410">
          <cell r="A410" t="str">
            <v>ITOT-SWHCOABR</v>
          </cell>
          <cell r="B410" t="str">
            <v>VAR_ncap</v>
          </cell>
          <cell r="C410" t="str">
            <v>-</v>
          </cell>
          <cell r="H410">
            <v>1.5144188687919701E-5</v>
          </cell>
          <cell r="I410">
            <v>1.9217692442489199E-6</v>
          </cell>
          <cell r="J410">
            <v>1.04405035534755E-5</v>
          </cell>
        </row>
        <row r="411">
          <cell r="A411" t="str">
            <v>ITOT-SWHCOABR</v>
          </cell>
          <cell r="B411" t="str">
            <v>VAR_cap</v>
          </cell>
          <cell r="C411" t="str">
            <v>-</v>
          </cell>
          <cell r="H411">
            <v>2.0476435825853012E-5</v>
          </cell>
          <cell r="I411">
            <v>1.2568969501579961E-7</v>
          </cell>
          <cell r="J411">
            <v>1.072443077374813E-5</v>
          </cell>
        </row>
        <row r="412">
          <cell r="A412" t="str">
            <v>RHSA-WHDEM</v>
          </cell>
          <cell r="B412" t="str">
            <v>VAR_fout</v>
          </cell>
          <cell r="C412" t="str">
            <v>RHSA-WHD</v>
          </cell>
          <cell r="H412">
            <v>25.228300845277804</v>
          </cell>
          <cell r="I412">
            <v>27.649904571056396</v>
          </cell>
          <cell r="J412">
            <v>28.46800123866629</v>
          </cell>
        </row>
        <row r="413">
          <cell r="A413" t="str">
            <v>RHSA-WHDEM</v>
          </cell>
          <cell r="B413" t="str">
            <v>VAR_fin</v>
          </cell>
          <cell r="C413" t="str">
            <v>RHSA-WHNGA</v>
          </cell>
          <cell r="H413">
            <v>1.7991073578813765</v>
          </cell>
          <cell r="I413">
            <v>0.79140849755279385</v>
          </cell>
          <cell r="J413">
            <v>0.35450468829076204</v>
          </cell>
        </row>
        <row r="414">
          <cell r="A414" t="str">
            <v>RHSA-WHDEM</v>
          </cell>
          <cell r="B414" t="str">
            <v>VAR_fin</v>
          </cell>
          <cell r="C414" t="str">
            <v>RHSA-WHLFO</v>
          </cell>
          <cell r="H414">
            <v>1.2899906649769968</v>
          </cell>
          <cell r="I414">
            <v>0.48314657140280293</v>
          </cell>
          <cell r="J414">
            <v>3.7537431906799305E-2</v>
          </cell>
        </row>
        <row r="415">
          <cell r="A415" t="str">
            <v>RHSA-WHDEM</v>
          </cell>
          <cell r="B415" t="str">
            <v>VAR_fin</v>
          </cell>
          <cell r="C415" t="str">
            <v>RHSA-WHWOD</v>
          </cell>
          <cell r="H415">
            <v>0.7180886874240141</v>
          </cell>
          <cell r="I415">
            <v>0.56314993477344932</v>
          </cell>
          <cell r="J415">
            <v>0.2674100450495468</v>
          </cell>
        </row>
        <row r="416">
          <cell r="A416" t="str">
            <v>RHSA-WHDEM</v>
          </cell>
          <cell r="B416" t="str">
            <v>VAR_fin</v>
          </cell>
          <cell r="C416" t="str">
            <v>RHSA-WHNGAH</v>
          </cell>
          <cell r="H416">
            <v>3.1166188319998662</v>
          </cell>
          <cell r="I416">
            <v>3.8822053541109867</v>
          </cell>
          <cell r="J416">
            <v>3.9609712080745219</v>
          </cell>
        </row>
        <row r="417">
          <cell r="A417" t="str">
            <v>RHSA-WHDEM</v>
          </cell>
          <cell r="B417" t="str">
            <v>VAR_fin</v>
          </cell>
          <cell r="C417" t="str">
            <v>RHSA-WHNST</v>
          </cell>
          <cell r="H417">
            <v>4.1984813105873935E-6</v>
          </cell>
          <cell r="I417">
            <v>4.2706268811034928E-6</v>
          </cell>
          <cell r="J417">
            <v>1.1183424330964727E-5</v>
          </cell>
        </row>
        <row r="418">
          <cell r="A418" t="str">
            <v>RHSA-WHDEM</v>
          </cell>
          <cell r="B418" t="str">
            <v>VAR_fin</v>
          </cell>
          <cell r="C418" t="str">
            <v>RHSA-WHPLT</v>
          </cell>
          <cell r="H418">
            <v>2.8464559044911467E-2</v>
          </cell>
          <cell r="I418">
            <v>2.2607260806602553E-2</v>
          </cell>
          <cell r="J418">
            <v>8.8179620285891522E-3</v>
          </cell>
        </row>
        <row r="419">
          <cell r="A419" t="str">
            <v>RHSA-WHDEM</v>
          </cell>
          <cell r="B419" t="str">
            <v>VAR_fin</v>
          </cell>
          <cell r="C419" t="str">
            <v>RHSA-WHLTHRD</v>
          </cell>
          <cell r="H419">
            <v>2.5472584983797462</v>
          </cell>
          <cell r="I419">
            <v>2.9715462357662923</v>
          </cell>
          <cell r="J419">
            <v>3.0478878282847264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RHSA-WHELCB</v>
          </cell>
          <cell r="H420">
            <v>1.9039479238256722</v>
          </cell>
          <cell r="I420">
            <v>1.7476199081592545</v>
          </cell>
          <cell r="J420">
            <v>1.4858729177898424</v>
          </cell>
        </row>
        <row r="421">
          <cell r="A421" t="str">
            <v>RHSA-WHDEM</v>
          </cell>
          <cell r="B421" t="str">
            <v>VAR_fin</v>
          </cell>
          <cell r="C421" t="str">
            <v>RHSA-WHSOL</v>
          </cell>
          <cell r="H421">
            <v>1.8201717154499575</v>
          </cell>
          <cell r="I421">
            <v>2.1519448895273472</v>
          </cell>
          <cell r="J421">
            <v>2.4412427983702805</v>
          </cell>
        </row>
        <row r="422">
          <cell r="A422" t="str">
            <v>RHSA-WHDEM</v>
          </cell>
          <cell r="B422" t="str">
            <v>VAR_fin</v>
          </cell>
          <cell r="C422" t="str">
            <v>RHSA-WHELCH</v>
          </cell>
          <cell r="H422">
            <v>12.004736098979096</v>
          </cell>
          <cell r="I422">
            <v>15.03635019960125</v>
          </cell>
          <cell r="J422">
            <v>16.863826584421613</v>
          </cell>
        </row>
        <row r="423">
          <cell r="A423" t="str">
            <v>RHSA-WHNGAHP</v>
          </cell>
          <cell r="B423" t="str">
            <v>VAR_fout</v>
          </cell>
          <cell r="C423" t="str">
            <v>RHSA-WHANGAH</v>
          </cell>
          <cell r="H423">
            <v>3.1166158715718244</v>
          </cell>
          <cell r="I423">
            <v>3.8822012422370942</v>
          </cell>
          <cell r="J423">
            <v>3.960974901809212</v>
          </cell>
        </row>
        <row r="424">
          <cell r="A424" t="str">
            <v>RHSA-WHNGAHP</v>
          </cell>
          <cell r="B424" t="str">
            <v>VAR_fout</v>
          </cell>
          <cell r="C424" t="str">
            <v>CO2_R</v>
          </cell>
          <cell r="H424">
            <v>70.289590438653406</v>
          </cell>
          <cell r="I424">
            <v>82.239622331505998</v>
          </cell>
          <cell r="J424">
            <v>69.416457559001998</v>
          </cell>
        </row>
        <row r="425">
          <cell r="A425" t="str">
            <v>RHSA-WHNGAHP</v>
          </cell>
          <cell r="B425" t="str">
            <v>VAR_fin</v>
          </cell>
          <cell r="C425" t="str">
            <v>RNGA</v>
          </cell>
          <cell r="H425">
            <v>1.2462693340186757</v>
          </cell>
          <cell r="I425">
            <v>1.4581493321189014</v>
          </cell>
          <cell r="J425">
            <v>1.2307882545922337</v>
          </cell>
        </row>
        <row r="426">
          <cell r="A426" t="str">
            <v>RHSA-WHNGAHP</v>
          </cell>
          <cell r="B426" t="str">
            <v>VAR_ncap</v>
          </cell>
          <cell r="C426" t="str">
            <v>-</v>
          </cell>
          <cell r="H426">
            <v>7.7129947566514298E-2</v>
          </cell>
          <cell r="I426">
            <v>0.12833810635614701</v>
          </cell>
          <cell r="J426">
            <v>0.14497073906507199</v>
          </cell>
        </row>
        <row r="427">
          <cell r="A427" t="str">
            <v>RHSA-WHNGAHP</v>
          </cell>
          <cell r="B427" t="str">
            <v>VAR_cap</v>
          </cell>
          <cell r="C427" t="str">
            <v>-</v>
          </cell>
          <cell r="H427">
            <v>0.2130297359567152</v>
          </cell>
          <cell r="I427">
            <v>0.26535647669820167</v>
          </cell>
          <cell r="J427">
            <v>0.2707354238019008</v>
          </cell>
        </row>
        <row r="428">
          <cell r="A428" t="str">
            <v>SCOM-SHSTG-ELCHP</v>
          </cell>
          <cell r="B428" t="str">
            <v>VAR_fout</v>
          </cell>
          <cell r="C428" t="str">
            <v>SCOM-SHAELCH</v>
          </cell>
          <cell r="H428">
            <v>2.0092668125547682E-5</v>
          </cell>
          <cell r="I428">
            <v>1.5428905241032886E-5</v>
          </cell>
          <cell r="J428">
            <v>9.3260063932529926E-6</v>
          </cell>
        </row>
        <row r="429">
          <cell r="A429" t="str">
            <v>SCOM-SHSTG-ELCHP</v>
          </cell>
          <cell r="B429" t="str">
            <v>VAR_fin</v>
          </cell>
          <cell r="C429" t="str">
            <v>SCOM-SHAELCH</v>
          </cell>
          <cell r="H429">
            <v>2.1449428903812224E-5</v>
          </cell>
          <cell r="I429">
            <v>1.8558107163629208E-5</v>
          </cell>
          <cell r="J429">
            <v>9.336743954160073E-6</v>
          </cell>
        </row>
        <row r="430">
          <cell r="A430" t="str">
            <v>SCOM-SHSTG-ELCHP</v>
          </cell>
          <cell r="B430" t="str">
            <v>VAR_ncap</v>
          </cell>
          <cell r="C430" t="str">
            <v>-</v>
          </cell>
          <cell r="H430">
            <v>0.12780824042239999</v>
          </cell>
          <cell r="I430">
            <v>0.20694838312080599</v>
          </cell>
          <cell r="J430">
            <v>0.21584690559646499</v>
          </cell>
        </row>
        <row r="431">
          <cell r="A431" t="str">
            <v>SCOM-SHSTG-ELCHP</v>
          </cell>
          <cell r="B431" t="str">
            <v>VAR_cap</v>
          </cell>
          <cell r="C431" t="str">
            <v>-</v>
          </cell>
          <cell r="H431">
            <v>0.33251360136571584</v>
          </cell>
          <cell r="I431">
            <v>0.43273565145542131</v>
          </cell>
          <cell r="J431">
            <v>0.42004353251349869</v>
          </cell>
        </row>
        <row r="432">
          <cell r="A432" t="str">
            <v>RHEM-SHLFOBR</v>
          </cell>
          <cell r="B432" t="str">
            <v>VAR_fout</v>
          </cell>
          <cell r="C432" t="str">
            <v>CO2_R</v>
          </cell>
          <cell r="H432">
            <v>515.95311530540403</v>
          </cell>
          <cell r="I432">
            <v>143.17655679670301</v>
          </cell>
          <cell r="J432">
            <v>18.043611877429999</v>
          </cell>
        </row>
        <row r="433">
          <cell r="A433" t="str">
            <v>RHEM-SHLFOBR</v>
          </cell>
          <cell r="B433" t="str">
            <v>VAR_fout</v>
          </cell>
          <cell r="C433" t="str">
            <v>RHEM-SHLFO</v>
          </cell>
          <cell r="H433">
            <v>6.1013578286825183</v>
          </cell>
          <cell r="I433">
            <v>1.6931216805974483</v>
          </cell>
          <cell r="J433">
            <v>0.21337313279114803</v>
          </cell>
        </row>
        <row r="434">
          <cell r="A434" t="str">
            <v>RHEM-SHLFOBR</v>
          </cell>
          <cell r="B434" t="str">
            <v>VAR_fin</v>
          </cell>
          <cell r="C434" t="str">
            <v>RLFO</v>
          </cell>
          <cell r="H434">
            <v>7.0007206961384485</v>
          </cell>
          <cell r="I434">
            <v>1.9426941220719616</v>
          </cell>
          <cell r="J434">
            <v>0.24482512723785621</v>
          </cell>
        </row>
        <row r="435">
          <cell r="A435" t="str">
            <v>RHEM-SHLFOBR</v>
          </cell>
          <cell r="B435" t="str">
            <v>VAR_ncap</v>
          </cell>
          <cell r="C435" t="str">
            <v>-</v>
          </cell>
          <cell r="H435">
            <v>3.7858263518545897E-2</v>
          </cell>
          <cell r="I435">
            <v>8.3373378275318502E-2</v>
          </cell>
          <cell r="J435">
            <v>1.2669552147803299E-7</v>
          </cell>
        </row>
        <row r="436">
          <cell r="A436" t="str">
            <v>RHEM-SHLFOBR</v>
          </cell>
          <cell r="B436" t="str">
            <v>VAR_cap</v>
          </cell>
          <cell r="C436" t="str">
            <v>-</v>
          </cell>
          <cell r="H436">
            <v>0.43155727601812111</v>
          </cell>
          <cell r="I436">
            <v>0.12123153170694879</v>
          </cell>
          <cell r="J436">
            <v>2.1361699300388094E-2</v>
          </cell>
        </row>
        <row r="437">
          <cell r="A437" t="str">
            <v>RHES-SHNGAHP</v>
          </cell>
          <cell r="B437" t="str">
            <v>VAR_fout</v>
          </cell>
          <cell r="C437" t="str">
            <v>RHES-SHANGAH</v>
          </cell>
          <cell r="H437">
            <v>1.4321703949403735</v>
          </cell>
          <cell r="I437">
            <v>1.329768867119036</v>
          </cell>
          <cell r="J437">
            <v>1.040092379075676</v>
          </cell>
        </row>
        <row r="438">
          <cell r="A438" t="str">
            <v>RHES-SHNGAHP</v>
          </cell>
          <cell r="B438" t="str">
            <v>VAR_fout</v>
          </cell>
          <cell r="C438" t="str">
            <v>CO2_R</v>
          </cell>
          <cell r="H438">
            <v>42.434361485032603</v>
          </cell>
          <cell r="I438">
            <v>37.639780497030699</v>
          </cell>
          <cell r="J438">
            <v>27.485014342632599</v>
          </cell>
        </row>
        <row r="439">
          <cell r="A439" t="str">
            <v>RHES-SHNGAHP</v>
          </cell>
          <cell r="B439" t="str">
            <v>VAR_fin</v>
          </cell>
          <cell r="C439" t="str">
            <v>RHESELCHPC</v>
          </cell>
          <cell r="H439">
            <v>1.4321703949403735</v>
          </cell>
          <cell r="I439">
            <v>1.329768867119036</v>
          </cell>
          <cell r="J439">
            <v>1.040092379075676</v>
          </cell>
        </row>
        <row r="440">
          <cell r="A440" t="str">
            <v>RHES-SHNGAHP</v>
          </cell>
          <cell r="B440" t="str">
            <v>VAR_fin</v>
          </cell>
          <cell r="C440" t="str">
            <v>RNGA</v>
          </cell>
          <cell r="H440">
            <v>0.75238229583391225</v>
          </cell>
          <cell r="I440">
            <v>0.66737199462820296</v>
          </cell>
          <cell r="J440">
            <v>0.48732294933745657</v>
          </cell>
        </row>
        <row r="441">
          <cell r="A441" t="str">
            <v>RHES-SHNGAHP</v>
          </cell>
          <cell r="B441" t="str">
            <v>VAR_ncap</v>
          </cell>
          <cell r="C441" t="str">
            <v>-</v>
          </cell>
          <cell r="H441">
            <v>2.3846252563932203E-7</v>
          </cell>
          <cell r="I441">
            <v>8.5155053599371006E-2</v>
          </cell>
          <cell r="J441">
            <v>2.2233439701595602E-2</v>
          </cell>
        </row>
        <row r="442">
          <cell r="A442" t="str">
            <v>RHES-SHNGAHP</v>
          </cell>
          <cell r="B442" t="str">
            <v>VAR_cap</v>
          </cell>
          <cell r="C442" t="str">
            <v>-</v>
          </cell>
          <cell r="H442">
            <v>0.12979817192662493</v>
          </cell>
          <cell r="I442">
            <v>0.10814553739182871</v>
          </cell>
          <cell r="J442">
            <v>8.4033333485247802E-2</v>
          </cell>
        </row>
        <row r="443">
          <cell r="A443" t="str">
            <v>D-RHES_LTH_CHPWOD</v>
          </cell>
          <cell r="B443" t="str">
            <v>VAR_fout</v>
          </cell>
          <cell r="C443" t="str">
            <v>RHES_LTH_CHPWOD_ON</v>
          </cell>
          <cell r="J443">
            <v>1.5464352056284588E-4</v>
          </cell>
        </row>
        <row r="444">
          <cell r="A444" t="str">
            <v>D-RHES_LTH_CHPWOD</v>
          </cell>
          <cell r="B444" t="str">
            <v>VAR_fout</v>
          </cell>
          <cell r="C444" t="str">
            <v>RHSA_LTH</v>
          </cell>
          <cell r="H444">
            <v>1.6160858688684179E-3</v>
          </cell>
          <cell r="I444">
            <v>1.9773244295745829E-3</v>
          </cell>
          <cell r="J444">
            <v>7.2652969100074443E-4</v>
          </cell>
        </row>
        <row r="445">
          <cell r="A445" t="str">
            <v>D-RHES_LTH_CHPWOD</v>
          </cell>
          <cell r="B445" t="str">
            <v>VAR_fout</v>
          </cell>
          <cell r="C445" t="str">
            <v>LTH</v>
          </cell>
          <cell r="H445">
            <v>5.1418794539782298E-7</v>
          </cell>
          <cell r="I445">
            <v>1.5997553851414761E-6</v>
          </cell>
          <cell r="J445">
            <v>9.4080444326463393E-7</v>
          </cell>
        </row>
        <row r="446">
          <cell r="A446" t="str">
            <v>D-RHES_LTH_CHPWOD</v>
          </cell>
          <cell r="B446" t="str">
            <v>VAR_fin</v>
          </cell>
          <cell r="C446" t="str">
            <v>RHES_LTH_CHPWOD</v>
          </cell>
          <cell r="H446">
            <v>1.6177328775502894E-3</v>
          </cell>
          <cell r="I446">
            <v>1.980417599566756E-3</v>
          </cell>
          <cell r="J446">
            <v>8.8346437417648345E-4</v>
          </cell>
        </row>
        <row r="447">
          <cell r="A447" t="str">
            <v>ITOT-SWHSOLBR</v>
          </cell>
          <cell r="B447" t="str">
            <v>VAR_fout</v>
          </cell>
          <cell r="C447" t="str">
            <v>ITOT-SWHASOL</v>
          </cell>
          <cell r="H447">
            <v>2.2630319531449978</v>
          </cell>
          <cell r="I447">
            <v>1.9564091525966336</v>
          </cell>
          <cell r="J447">
            <v>2.1904871549351905</v>
          </cell>
        </row>
        <row r="448">
          <cell r="A448" t="str">
            <v>ITOT-SWHSOLBR</v>
          </cell>
          <cell r="B448" t="str">
            <v>VAR_fin</v>
          </cell>
          <cell r="C448" t="str">
            <v>SOL</v>
          </cell>
          <cell r="H448">
            <v>2.2630319531449978</v>
          </cell>
          <cell r="I448">
            <v>1.9564091525966336</v>
          </cell>
          <cell r="J448">
            <v>2.1904871549351905</v>
          </cell>
        </row>
        <row r="449">
          <cell r="A449" t="str">
            <v>ITOT-SWHSOLBR</v>
          </cell>
          <cell r="B449" t="str">
            <v>VAR_ncap</v>
          </cell>
          <cell r="C449" t="str">
            <v>-</v>
          </cell>
          <cell r="H449">
            <v>0.19661564795987499</v>
          </cell>
          <cell r="I449">
            <v>4.5679740290554501E-2</v>
          </cell>
          <cell r="J449">
            <v>0.212349312078806</v>
          </cell>
        </row>
        <row r="450">
          <cell r="A450" t="str">
            <v>ITOT-SWHSOLBR</v>
          </cell>
          <cell r="B450" t="str">
            <v>VAR_cap</v>
          </cell>
          <cell r="C450" t="str">
            <v>-</v>
          </cell>
          <cell r="H450">
            <v>0.32866908501671555</v>
          </cell>
          <cell r="I450">
            <v>0.32866828090919797</v>
          </cell>
          <cell r="J450">
            <v>0.32866799842703998</v>
          </cell>
        </row>
        <row r="451">
          <cell r="A451" t="str">
            <v>SCOM-SHNGAHP</v>
          </cell>
          <cell r="B451" t="str">
            <v>VAR_fout</v>
          </cell>
          <cell r="C451" t="str">
            <v>SCOM-SHANGAH</v>
          </cell>
          <cell r="H451">
            <v>5.0666083440719039</v>
          </cell>
          <cell r="I451">
            <v>6.0298611563301936</v>
          </cell>
          <cell r="J451">
            <v>5.3056589385400743</v>
          </cell>
        </row>
        <row r="452">
          <cell r="A452" t="str">
            <v>SCOM-SHNGAHP</v>
          </cell>
          <cell r="B452" t="str">
            <v>VAR_fout</v>
          </cell>
          <cell r="C452" t="str">
            <v>CO2_S</v>
          </cell>
          <cell r="H452">
            <v>135.22252704738901</v>
          </cell>
          <cell r="I452">
            <v>155.03251213535501</v>
          </cell>
          <cell r="J452">
            <v>124.6573933839</v>
          </cell>
        </row>
        <row r="453">
          <cell r="A453" t="str">
            <v>SCOM-SHNGAHP</v>
          </cell>
          <cell r="B453" t="str">
            <v>VAR_fin</v>
          </cell>
          <cell r="C453" t="str">
            <v>SCOMELCHPC</v>
          </cell>
          <cell r="H453">
            <v>5.0666083440719039</v>
          </cell>
          <cell r="I453">
            <v>6.0298611563301936</v>
          </cell>
          <cell r="J453">
            <v>5.3056589385400743</v>
          </cell>
        </row>
        <row r="454">
          <cell r="A454" t="str">
            <v>SCOM-SHNGAHP</v>
          </cell>
          <cell r="B454" t="str">
            <v>VAR_fin</v>
          </cell>
          <cell r="C454" t="str">
            <v>SNGA</v>
          </cell>
          <cell r="H454">
            <v>2.397562536301217</v>
          </cell>
          <cell r="I454">
            <v>2.7488034066552336</v>
          </cell>
          <cell r="J454">
            <v>2.2102374713457462</v>
          </cell>
        </row>
        <row r="455">
          <cell r="A455" t="str">
            <v>SCOM-SHNGAHP</v>
          </cell>
          <cell r="B455" t="str">
            <v>VAR_ncap</v>
          </cell>
          <cell r="C455" t="str">
            <v>-</v>
          </cell>
          <cell r="H455">
            <v>8.5436767282398504E-2</v>
          </cell>
          <cell r="I455">
            <v>0.26946757599688498</v>
          </cell>
          <cell r="J455">
            <v>0.181354802473562</v>
          </cell>
        </row>
        <row r="456">
          <cell r="A456" t="str">
            <v>SCOM-SHNGAHP</v>
          </cell>
          <cell r="B456" t="str">
            <v>VAR_cap</v>
          </cell>
          <cell r="C456" t="str">
            <v>-</v>
          </cell>
          <cell r="H456">
            <v>0.39170033922080982</v>
          </cell>
          <cell r="I456">
            <v>0.47512265393344544</v>
          </cell>
          <cell r="J456">
            <v>0.4130555519148908</v>
          </cell>
        </row>
        <row r="457">
          <cell r="A457" t="str">
            <v>RHNS-SHNGABR</v>
          </cell>
          <cell r="B457" t="str">
            <v>VAR_fout</v>
          </cell>
          <cell r="C457" t="str">
            <v>CO2_R</v>
          </cell>
          <cell r="H457">
            <v>3.05265814335297</v>
          </cell>
          <cell r="I457">
            <v>3.1708858820743302</v>
          </cell>
          <cell r="J457">
            <v>2.1600734570675999</v>
          </cell>
        </row>
        <row r="458">
          <cell r="A458" t="str">
            <v>RHNS-SHNGABR</v>
          </cell>
          <cell r="B458" t="str">
            <v>VAR_fout</v>
          </cell>
          <cell r="C458" t="str">
            <v>RHNS-SHNGA</v>
          </cell>
          <cell r="H458">
            <v>5.195873940781523E-2</v>
          </cell>
          <cell r="I458">
            <v>5.3971072259554546E-2</v>
          </cell>
          <cell r="J458">
            <v>3.6766217698467218E-2</v>
          </cell>
        </row>
        <row r="459">
          <cell r="A459" t="str">
            <v>RHNS-SHNGABR</v>
          </cell>
          <cell r="B459" t="str">
            <v>VAR_fin</v>
          </cell>
          <cell r="C459" t="str">
            <v>RNGA</v>
          </cell>
          <cell r="H459">
            <v>5.412514438569091E-2</v>
          </cell>
          <cell r="I459">
            <v>5.6221380887842724E-2</v>
          </cell>
          <cell r="J459">
            <v>3.8299174770702125E-2</v>
          </cell>
        </row>
        <row r="460">
          <cell r="A460" t="str">
            <v>RHNS-SHNGABR</v>
          </cell>
          <cell r="B460" t="str">
            <v>VAR_ncap</v>
          </cell>
          <cell r="C460" t="str">
            <v>-</v>
          </cell>
          <cell r="H460">
            <v>1.50703033658395E-4</v>
          </cell>
          <cell r="I460">
            <v>4.0043839598485802E-3</v>
          </cell>
          <cell r="J460">
            <v>8.5348091228798397E-7</v>
          </cell>
        </row>
        <row r="461">
          <cell r="A461" t="str">
            <v>RHNS-SHNGABR</v>
          </cell>
          <cell r="B461" t="str">
            <v>VAR_cap</v>
          </cell>
          <cell r="C461" t="str">
            <v>-</v>
          </cell>
          <cell r="H461">
            <v>3.9814778235890526E-3</v>
          </cell>
          <cell r="I461">
            <v>4.1550984790342605E-3</v>
          </cell>
          <cell r="J461">
            <v>2.9684839366696581E-3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RHSA_LTH</v>
          </cell>
          <cell r="H462">
            <v>1.9309658339774776</v>
          </cell>
          <cell r="I462">
            <v>1.082578509651249</v>
          </cell>
          <cell r="J462">
            <v>1.2848075449991163</v>
          </cell>
        </row>
        <row r="463">
          <cell r="A463" t="str">
            <v>D-RHNM_LTH_CHPNGA</v>
          </cell>
          <cell r="B463" t="str">
            <v>VAR_fout</v>
          </cell>
          <cell r="C463" t="str">
            <v>LTH</v>
          </cell>
          <cell r="H463">
            <v>1.6792735077715542E-3</v>
          </cell>
          <cell r="I463">
            <v>2.7072890983440832E-3</v>
          </cell>
          <cell r="J463">
            <v>2.0562799646260586E-3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RHNM_LTH_CHPNGA_ON</v>
          </cell>
        </row>
        <row r="465">
          <cell r="A465" t="str">
            <v>D-RHNM_LTH_CHPNGA</v>
          </cell>
          <cell r="B465" t="str">
            <v>VAR_fin</v>
          </cell>
          <cell r="C465" t="str">
            <v>RHNM_LTH_CHPNGA</v>
          </cell>
          <cell r="H465">
            <v>1.9326451074852504</v>
          </cell>
          <cell r="I465">
            <v>1.085285984919206</v>
          </cell>
          <cell r="J465">
            <v>1.2868638249637407</v>
          </cell>
        </row>
        <row r="466">
          <cell r="A466" t="str">
            <v>RHNM-SHELCHP</v>
          </cell>
          <cell r="B466" t="str">
            <v>VAR_fout</v>
          </cell>
          <cell r="C466" t="str">
            <v>RHNM-SHAELCH</v>
          </cell>
          <cell r="H466">
            <v>2.3354820015565125</v>
          </cell>
          <cell r="I466">
            <v>2.6653914142664576</v>
          </cell>
          <cell r="J466">
            <v>2.8239727603366211</v>
          </cell>
        </row>
        <row r="467">
          <cell r="A467" t="str">
            <v>RHNM-SHELCHP</v>
          </cell>
          <cell r="B467" t="str">
            <v>VAR_fin</v>
          </cell>
          <cell r="C467" t="str">
            <v>RHNM_ELC</v>
          </cell>
          <cell r="H467">
            <v>0.6198274601163698</v>
          </cell>
          <cell r="I467">
            <v>0.68552743899745006</v>
          </cell>
          <cell r="J467">
            <v>0.68238241538404376</v>
          </cell>
        </row>
        <row r="468">
          <cell r="A468" t="str">
            <v>RHNM-SHELCHP</v>
          </cell>
          <cell r="B468" t="str">
            <v>VAR_fin</v>
          </cell>
          <cell r="C468" t="str">
            <v>RHNMELCHPC</v>
          </cell>
          <cell r="H468">
            <v>2.3354820015565125</v>
          </cell>
          <cell r="I468">
            <v>2.6653914142664576</v>
          </cell>
          <cell r="J468">
            <v>2.8239727603366211</v>
          </cell>
        </row>
        <row r="469">
          <cell r="A469" t="str">
            <v>RHNM-SHELCHP</v>
          </cell>
          <cell r="B469" t="str">
            <v>VAR_ncap</v>
          </cell>
          <cell r="C469" t="str">
            <v>-</v>
          </cell>
          <cell r="H469">
            <v>5.8965687850863001E-2</v>
          </cell>
          <cell r="I469">
            <v>0.10699306172473</v>
          </cell>
          <cell r="J469">
            <v>0.116619497457944</v>
          </cell>
        </row>
        <row r="470">
          <cell r="A470" t="str">
            <v>RHNM-SHELCHP</v>
          </cell>
          <cell r="B470" t="str">
            <v>VAR_cap</v>
          </cell>
          <cell r="C470" t="str">
            <v>-</v>
          </cell>
          <cell r="H470">
            <v>0.18264184357537405</v>
          </cell>
          <cell r="I470">
            <v>0.21071717184293776</v>
          </cell>
          <cell r="J470">
            <v>0.21920995194443246</v>
          </cell>
        </row>
        <row r="471">
          <cell r="A471" t="str">
            <v>D-IH2R</v>
          </cell>
          <cell r="B471" t="str">
            <v>VAR_fout</v>
          </cell>
          <cell r="C471" t="str">
            <v>IH2</v>
          </cell>
          <cell r="H471">
            <v>0.16773656019103605</v>
          </cell>
          <cell r="I471">
            <v>5.7866959938674167</v>
          </cell>
          <cell r="J471">
            <v>5.4521703481618493</v>
          </cell>
        </row>
        <row r="472">
          <cell r="A472" t="str">
            <v>D-IH2R</v>
          </cell>
          <cell r="B472" t="str">
            <v>VAR_fin</v>
          </cell>
          <cell r="C472" t="str">
            <v>H2</v>
          </cell>
          <cell r="H472">
            <v>0.16773656019103605</v>
          </cell>
          <cell r="I472">
            <v>5.7866959938674167</v>
          </cell>
          <cell r="J472">
            <v>5.4521703481618493</v>
          </cell>
        </row>
        <row r="473">
          <cell r="A473" t="str">
            <v>D-IH2R</v>
          </cell>
          <cell r="B473" t="str">
            <v>VAR_ncap</v>
          </cell>
          <cell r="C473" t="str">
            <v>-</v>
          </cell>
          <cell r="H473">
            <v>7.8248992261168802E-3</v>
          </cell>
          <cell r="I473">
            <v>0.22169382003135901</v>
          </cell>
          <cell r="J473">
            <v>0.116162436625264</v>
          </cell>
        </row>
        <row r="474">
          <cell r="A474" t="str">
            <v>D-IH2R</v>
          </cell>
          <cell r="B474" t="str">
            <v>VAR_cap</v>
          </cell>
          <cell r="C474" t="str">
            <v>-</v>
          </cell>
          <cell r="H474">
            <v>7.8252372845113698E-3</v>
          </cell>
          <cell r="I474">
            <v>0.22307978123161301</v>
          </cell>
          <cell r="J474">
            <v>0.19209728025792</v>
          </cell>
        </row>
        <row r="475">
          <cell r="A475" t="str">
            <v>RHEM-SHSTG-ELC</v>
          </cell>
          <cell r="B475" t="str">
            <v>VAR_fout</v>
          </cell>
          <cell r="C475" t="str">
            <v>RHEM-SHAELCB</v>
          </cell>
          <cell r="H475">
            <v>4.663683569893627E-4</v>
          </cell>
          <cell r="I475">
            <v>3.2481163000788E-4</v>
          </cell>
          <cell r="J475">
            <v>2.3109568027382066E-4</v>
          </cell>
        </row>
        <row r="476">
          <cell r="A476" t="str">
            <v>RHEM-SHSTG-ELC</v>
          </cell>
          <cell r="B476" t="str">
            <v>VAR_fout</v>
          </cell>
          <cell r="C476" t="str">
            <v>AUX_RHEM-SHSTG-ELC_OUT</v>
          </cell>
          <cell r="H476">
            <v>4.6683472534635173E-4</v>
          </cell>
          <cell r="I476">
            <v>3.2513644163788784E-4</v>
          </cell>
          <cell r="J476">
            <v>2.3132677595409437E-4</v>
          </cell>
        </row>
        <row r="477">
          <cell r="A477" t="str">
            <v>RHEM-SHSTG-ELC</v>
          </cell>
          <cell r="B477" t="str">
            <v>VAR_fin</v>
          </cell>
          <cell r="C477" t="str">
            <v>RHEM-SHAELCB</v>
          </cell>
          <cell r="H477">
            <v>4.6887553227735105E-4</v>
          </cell>
          <cell r="I477">
            <v>3.289803641994836E-4</v>
          </cell>
          <cell r="J477">
            <v>2.3322955932136879E-4</v>
          </cell>
        </row>
        <row r="478">
          <cell r="A478" t="str">
            <v>RHEM-SHSTG-ELC</v>
          </cell>
          <cell r="B478" t="str">
            <v>VAR_ncap</v>
          </cell>
          <cell r="C478" t="str">
            <v>-</v>
          </cell>
          <cell r="H478">
            <v>5.7205956674527397E-5</v>
          </cell>
          <cell r="I478">
            <v>5.1263506336330699E-5</v>
          </cell>
          <cell r="J478">
            <v>2.3205305274391902E-5</v>
          </cell>
        </row>
        <row r="479">
          <cell r="A479" t="str">
            <v>RHEM-SHSTG-ELC</v>
          </cell>
          <cell r="B479" t="str">
            <v>VAR_cap</v>
          </cell>
          <cell r="C479" t="str">
            <v>-</v>
          </cell>
          <cell r="H479">
            <v>1.1561839413700217E-4</v>
          </cell>
          <cell r="I479">
            <v>9.3581115279831712E-5</v>
          </cell>
          <cell r="J479">
            <v>5.6904983850483798E-5</v>
          </cell>
        </row>
        <row r="480">
          <cell r="A480" t="str">
            <v>RHNM-SHLTHCHPWOD</v>
          </cell>
          <cell r="B480" t="str">
            <v>VAR_ncap</v>
          </cell>
          <cell r="C480" t="str">
            <v>-</v>
          </cell>
          <cell r="H480">
            <v>2.7974759174493702E-3</v>
          </cell>
          <cell r="I480">
            <v>2.4663108395413701E-2</v>
          </cell>
          <cell r="J480">
            <v>1.3741331264367799E-2</v>
          </cell>
        </row>
        <row r="481">
          <cell r="A481" t="str">
            <v>RHNM-SHLTHCHPWOD</v>
          </cell>
          <cell r="B481" t="str">
            <v>VAR_cap</v>
          </cell>
          <cell r="C481" t="str">
            <v>-</v>
          </cell>
          <cell r="H481">
            <v>2.8891365857949278E-3</v>
          </cell>
          <cell r="I481">
            <v>2.6548652882464798E-2</v>
          </cell>
          <cell r="J481">
            <v>2.3931024027837439E-2</v>
          </cell>
        </row>
        <row r="482">
          <cell r="A482" t="str">
            <v>ITOT-SWHDEM</v>
          </cell>
          <cell r="B482" t="str">
            <v>VAR_fout</v>
          </cell>
          <cell r="C482" t="str">
            <v>ITOT-SWHD</v>
          </cell>
          <cell r="H482">
            <v>77.122900173961952</v>
          </cell>
          <cell r="I482">
            <v>77.677255256482255</v>
          </cell>
          <cell r="J482">
            <v>78.686900043642012</v>
          </cell>
        </row>
        <row r="483">
          <cell r="A483" t="str">
            <v>ITOT-SWHDEM</v>
          </cell>
          <cell r="B483" t="str">
            <v>VAR_fin</v>
          </cell>
          <cell r="C483" t="str">
            <v>ITOT-SWHNGAH</v>
          </cell>
          <cell r="H483">
            <v>1.4693364439011068E-3</v>
          </cell>
          <cell r="I483">
            <v>5.3085556468537853E-4</v>
          </cell>
          <cell r="J483">
            <v>1.5085411851032234E-2</v>
          </cell>
        </row>
        <row r="484">
          <cell r="A484" t="str">
            <v>ITOT-SWHDEM</v>
          </cell>
          <cell r="B484" t="str">
            <v>VAR_fin</v>
          </cell>
          <cell r="C484" t="str">
            <v>ITOT-SWH</v>
          </cell>
          <cell r="H484">
            <v>42.572200737113796</v>
          </cell>
          <cell r="I484">
            <v>36.635564366074142</v>
          </cell>
          <cell r="J484">
            <v>35.234598354163829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ITOT-SWHELCH</v>
          </cell>
          <cell r="H485">
            <v>7.097042400824118</v>
          </cell>
          <cell r="I485">
            <v>7.0978098555421525</v>
          </cell>
          <cell r="J485">
            <v>7.0956990748820354</v>
          </cell>
        </row>
        <row r="486">
          <cell r="A486" t="str">
            <v>ITOT-SWHDEM</v>
          </cell>
          <cell r="B486" t="str">
            <v>VAR_fin</v>
          </cell>
          <cell r="C486" t="str">
            <v>ITOT-SWHC</v>
          </cell>
          <cell r="H486">
            <v>14.854033040477473</v>
          </cell>
          <cell r="I486">
            <v>21.682209002421409</v>
          </cell>
          <cell r="J486">
            <v>23.84816806748313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</v>
          </cell>
          <cell r="H487">
            <v>10.335413355552275</v>
          </cell>
          <cell r="I487">
            <v>10.305556850275821</v>
          </cell>
          <cell r="J487">
            <v>10.306600909942214</v>
          </cell>
        </row>
        <row r="488">
          <cell r="A488" t="str">
            <v>ITOT-SWHDEM</v>
          </cell>
          <cell r="B488" t="str">
            <v>VAR_fin</v>
          </cell>
          <cell r="C488" t="str">
            <v>ITOT-SWHSOL</v>
          </cell>
          <cell r="H488">
            <v>2.2629146130241047</v>
          </cell>
          <cell r="I488">
            <v>1.9557399880951494</v>
          </cell>
          <cell r="J488">
            <v>2.1869452829598153</v>
          </cell>
        </row>
        <row r="489">
          <cell r="A489" t="str">
            <v>D-RHNS_NKEV_GAS_ELC_CHP</v>
          </cell>
          <cell r="B489" t="str">
            <v>VAR_fout</v>
          </cell>
          <cell r="C489" t="str">
            <v>RHNS_ELC</v>
          </cell>
          <cell r="H489">
            <v>1.4341161264910625E-3</v>
          </cell>
          <cell r="I489">
            <v>1.1774716379684242E-3</v>
          </cell>
          <cell r="J489">
            <v>9.0987265719281573E-4</v>
          </cell>
        </row>
        <row r="490">
          <cell r="A490" t="str">
            <v>D-RHNS_NKEV_GAS_ELC_CHP</v>
          </cell>
          <cell r="B490" t="str">
            <v>VAR_fout</v>
          </cell>
          <cell r="C490" t="str">
            <v>ELC5</v>
          </cell>
          <cell r="H490">
            <v>6.1862061961093727E-4</v>
          </cell>
          <cell r="I490">
            <v>4.9769695724979565E-4</v>
          </cell>
          <cell r="J490">
            <v>3.3942181512644607E-4</v>
          </cell>
        </row>
        <row r="491">
          <cell r="A491" t="str">
            <v>D-RHNS_NKEV_GAS_ELC_CHP</v>
          </cell>
          <cell r="B491" t="str">
            <v>VAR_fin</v>
          </cell>
          <cell r="C491" t="str">
            <v>RHNS_NKEV_GAS_ELC_CHP</v>
          </cell>
          <cell r="H491">
            <v>2.0527367461019991E-3</v>
          </cell>
          <cell r="I491">
            <v>1.675168595218219E-3</v>
          </cell>
          <cell r="J491">
            <v>1.2492944723192627E-3</v>
          </cell>
        </row>
        <row r="492">
          <cell r="A492" t="str">
            <v>RHNM-SHSTG-NGAHP</v>
          </cell>
          <cell r="B492" t="str">
            <v>VAR_fout</v>
          </cell>
          <cell r="C492" t="str">
            <v>RHNM-SHANGAH</v>
          </cell>
          <cell r="H492">
            <v>5.8947051173341564E-2</v>
          </cell>
          <cell r="I492">
            <v>6.9685950549348119E-2</v>
          </cell>
          <cell r="J492">
            <v>7.0564538277345504E-2</v>
          </cell>
        </row>
        <row r="493">
          <cell r="A493" t="str">
            <v>RHNM-SHSTG-NGAHP</v>
          </cell>
          <cell r="B493" t="str">
            <v>VAR_fout</v>
          </cell>
          <cell r="C493" t="str">
            <v>AUX_RHNM-SHSTG-NGAHP_OUT</v>
          </cell>
          <cell r="H493">
            <v>5.900599822451489E-2</v>
          </cell>
          <cell r="I493">
            <v>6.975563649989748E-2</v>
          </cell>
          <cell r="J493">
            <v>7.0635102815622783E-2</v>
          </cell>
        </row>
        <row r="494">
          <cell r="A494" t="str">
            <v>RHNM-SHSTG-NGAHP</v>
          </cell>
          <cell r="B494" t="str">
            <v>VAR_fin</v>
          </cell>
          <cell r="C494" t="str">
            <v>RHNM-SHANGAH</v>
          </cell>
          <cell r="H494">
            <v>5.8962901532023347E-2</v>
          </cell>
          <cell r="I494">
            <v>6.9700104691591575E-2</v>
          </cell>
          <cell r="J494">
            <v>7.0578628992345599E-2</v>
          </cell>
        </row>
        <row r="495">
          <cell r="A495" t="str">
            <v>RHNM-SHSTG-NGAHP</v>
          </cell>
          <cell r="B495" t="str">
            <v>VAR_ncap</v>
          </cell>
          <cell r="C495" t="str">
            <v>-</v>
          </cell>
          <cell r="H495">
            <v>7.7431154216302403E-3</v>
          </cell>
          <cell r="I495">
            <v>9.8403464108948405E-3</v>
          </cell>
          <cell r="J495">
            <v>1.11734158039608E-2</v>
          </cell>
        </row>
        <row r="496">
          <cell r="A496" t="str">
            <v>RHNM-SHSTG-NGAHP</v>
          </cell>
          <cell r="B496" t="str">
            <v>VAR_cap</v>
          </cell>
          <cell r="C496" t="str">
            <v>-</v>
          </cell>
          <cell r="H496">
            <v>1.9647428715361289E-2</v>
          </cell>
          <cell r="I496">
            <v>2.2886123985049106E-2</v>
          </cell>
          <cell r="J496">
            <v>2.153859195695447E-2</v>
          </cell>
        </row>
        <row r="497">
          <cell r="A497" t="str">
            <v>D-IBIO</v>
          </cell>
          <cell r="B497" t="str">
            <v>VAR_fout</v>
          </cell>
          <cell r="C497" t="str">
            <v>IBIO</v>
          </cell>
          <cell r="H497">
            <v>1.4257497002192556</v>
          </cell>
          <cell r="I497">
            <v>1.4257475367564416</v>
          </cell>
          <cell r="J497">
            <v>1.4257461648438061</v>
          </cell>
        </row>
        <row r="498">
          <cell r="A498" t="str">
            <v>D-IBIO</v>
          </cell>
          <cell r="B498" t="str">
            <v>VAR_fin</v>
          </cell>
          <cell r="C498" t="str">
            <v>BIO</v>
          </cell>
          <cell r="H498">
            <v>1.4257497002192556</v>
          </cell>
          <cell r="I498">
            <v>1.4257475367564416</v>
          </cell>
          <cell r="J498">
            <v>1.4257461648438061</v>
          </cell>
        </row>
        <row r="499">
          <cell r="A499" t="str">
            <v>D-RHES_KEV_WOD_ELC_CHP</v>
          </cell>
          <cell r="B499" t="str">
            <v>VAR_fout</v>
          </cell>
          <cell r="C499" t="str">
            <v>RHES_ELC</v>
          </cell>
          <cell r="H499">
            <v>4.4061498664130992E-4</v>
          </cell>
          <cell r="I499">
            <v>6.0247243607228565E-4</v>
          </cell>
          <cell r="J499">
            <v>2.4084379169006382E-4</v>
          </cell>
        </row>
        <row r="500">
          <cell r="A500" t="str">
            <v>D-RHES_KEV_WOD_ELC_CHP</v>
          </cell>
          <cell r="B500" t="str">
            <v>VAR_fout</v>
          </cell>
          <cell r="C500" t="str">
            <v>ELC5</v>
          </cell>
          <cell r="H500">
            <v>3.2588491367059613E-4</v>
          </cell>
          <cell r="I500">
            <v>3.6764572219199647E-4</v>
          </cell>
          <cell r="J500">
            <v>1.6882452851162347E-4</v>
          </cell>
        </row>
        <row r="501">
          <cell r="A501" t="str">
            <v>D-RHES_KEV_WOD_ELC_CHP</v>
          </cell>
          <cell r="B501" t="str">
            <v>VAR_fin</v>
          </cell>
          <cell r="C501" t="str">
            <v>RHES_KEV_WOD_ELC_CHP</v>
          </cell>
          <cell r="H501">
            <v>7.5304882203827792E-4</v>
          </cell>
          <cell r="I501">
            <v>9.6224595745667745E-4</v>
          </cell>
          <cell r="J501">
            <v>4.0429179826789659E-4</v>
          </cell>
        </row>
        <row r="502">
          <cell r="A502" t="str">
            <v>RHNS-SHLFOBR</v>
          </cell>
          <cell r="B502" t="str">
            <v>VAR_fout</v>
          </cell>
          <cell r="C502" t="str">
            <v>CO2_R</v>
          </cell>
          <cell r="H502">
            <v>3.1959352444548701</v>
          </cell>
          <cell r="I502">
            <v>2.39020786297203</v>
          </cell>
        </row>
        <row r="503">
          <cell r="A503" t="str">
            <v>RHNS-SHLFOBR</v>
          </cell>
          <cell r="B503" t="str">
            <v>VAR_fout</v>
          </cell>
          <cell r="C503" t="str">
            <v>RHNS-SHLFO</v>
          </cell>
          <cell r="H503">
            <v>4.1171478979574058E-2</v>
          </cell>
          <cell r="I503">
            <v>3.0791735520270515E-2</v>
          </cell>
        </row>
        <row r="504">
          <cell r="A504" t="str">
            <v>RHNS-SHLFOBR</v>
          </cell>
          <cell r="B504" t="str">
            <v>VAR_fin</v>
          </cell>
          <cell r="C504" t="str">
            <v>RLFO</v>
          </cell>
          <cell r="H504">
            <v>4.3364114578763553E-2</v>
          </cell>
          <cell r="I504">
            <v>3.2431585657693753E-2</v>
          </cell>
        </row>
        <row r="505">
          <cell r="A505" t="str">
            <v>RHNS-SHLFOBR</v>
          </cell>
          <cell r="B505" t="str">
            <v>VAR_ncap</v>
          </cell>
          <cell r="C505" t="str">
            <v>-</v>
          </cell>
        </row>
        <row r="506">
          <cell r="A506" t="str">
            <v>RHNS-SHLFOBR</v>
          </cell>
          <cell r="B506" t="str">
            <v>VAR_cap</v>
          </cell>
          <cell r="C506" t="str">
            <v>-</v>
          </cell>
          <cell r="H506">
            <v>1.2676827434455739E-2</v>
          </cell>
          <cell r="I506">
            <v>2.244963100046053E-3</v>
          </cell>
        </row>
        <row r="507">
          <cell r="A507" t="str">
            <v>D-SNGA</v>
          </cell>
          <cell r="B507" t="str">
            <v>VAR_fout</v>
          </cell>
          <cell r="C507" t="str">
            <v>CO2</v>
          </cell>
          <cell r="H507">
            <v>516.76069884175604</v>
          </cell>
          <cell r="I507">
            <v>282.202794850099</v>
          </cell>
          <cell r="J507">
            <v>333.26952882910302</v>
          </cell>
        </row>
        <row r="508">
          <cell r="A508" t="str">
            <v>D-SNGA</v>
          </cell>
          <cell r="B508" t="str">
            <v>VAR_fout</v>
          </cell>
          <cell r="C508" t="str">
            <v>SNGA</v>
          </cell>
          <cell r="H508">
            <v>9.6393691397576529</v>
          </cell>
          <cell r="I508">
            <v>4.9877054175400746</v>
          </cell>
          <cell r="J508">
            <v>5.8898977642654717</v>
          </cell>
        </row>
        <row r="509">
          <cell r="A509" t="str">
            <v>D-SNGA</v>
          </cell>
          <cell r="B509" t="str">
            <v>VAR_fout</v>
          </cell>
          <cell r="C509" t="str">
            <v>RSH2</v>
          </cell>
          <cell r="H509">
            <v>6.6443079973720499E-4</v>
          </cell>
          <cell r="I509">
            <v>2.8040767346391006E-4</v>
          </cell>
          <cell r="J509">
            <v>1.4687731374359257E-3</v>
          </cell>
        </row>
        <row r="510">
          <cell r="A510" t="str">
            <v>D-SNGA</v>
          </cell>
          <cell r="B510" t="str">
            <v>VAR_fin</v>
          </cell>
          <cell r="C510" t="str">
            <v>NGA</v>
          </cell>
          <cell r="H510">
            <v>9.162423738329009</v>
          </cell>
          <cell r="I510">
            <v>5.003595653370553</v>
          </cell>
          <cell r="J510">
            <v>5.9090341990975732</v>
          </cell>
        </row>
        <row r="511">
          <cell r="A511" t="str">
            <v>D-SNGA</v>
          </cell>
          <cell r="B511" t="str">
            <v>VAR_fin</v>
          </cell>
          <cell r="C511" t="str">
            <v>BNGA</v>
          </cell>
          <cell r="H511">
            <v>0.50777607777276379</v>
          </cell>
          <cell r="I511">
            <v>9.5523269883384805E-5</v>
          </cell>
          <cell r="J511">
            <v>2.3313007486328973E-4</v>
          </cell>
        </row>
        <row r="512">
          <cell r="A512" t="str">
            <v>D-SNGA</v>
          </cell>
          <cell r="B512" t="str">
            <v>VAR_fin</v>
          </cell>
          <cell r="C512" t="str">
            <v>H2</v>
          </cell>
          <cell r="H512">
            <v>6.6125733564674385E-4</v>
          </cell>
          <cell r="I512">
            <v>2.7599378563829833E-4</v>
          </cell>
          <cell r="J512">
            <v>1.4672509650188877E-3</v>
          </cell>
        </row>
        <row r="513">
          <cell r="A513" t="str">
            <v>D-SNGA</v>
          </cell>
          <cell r="B513" t="str">
            <v>VAR_ncap</v>
          </cell>
          <cell r="C513" t="str">
            <v>-</v>
          </cell>
          <cell r="H513">
            <v>2.9016239781405802E-7</v>
          </cell>
          <cell r="I513">
            <v>3.21259578575387E-7</v>
          </cell>
          <cell r="J513">
            <v>6.6318744885259304E-7</v>
          </cell>
        </row>
        <row r="514">
          <cell r="A514" t="str">
            <v>D-SNGA</v>
          </cell>
          <cell r="B514" t="str">
            <v>VAR_cap</v>
          </cell>
          <cell r="C514" t="str">
            <v>-</v>
          </cell>
          <cell r="H514">
            <v>2.2350535800083007</v>
          </cell>
          <cell r="I514">
            <v>2.2350539012678792</v>
          </cell>
          <cell r="J514">
            <v>1.120892865319048</v>
          </cell>
        </row>
        <row r="515">
          <cell r="A515" t="str">
            <v>D-IPLT</v>
          </cell>
          <cell r="B515" t="str">
            <v>VAR_fout</v>
          </cell>
          <cell r="C515" t="str">
            <v>IPLT</v>
          </cell>
          <cell r="H515">
            <v>0.73243876901547111</v>
          </cell>
          <cell r="I515">
            <v>0.73039235010171977</v>
          </cell>
          <cell r="J515">
            <v>0.72633889693895948</v>
          </cell>
        </row>
        <row r="516">
          <cell r="A516" t="str">
            <v>D-IPLT</v>
          </cell>
          <cell r="B516" t="str">
            <v>VAR_fin</v>
          </cell>
          <cell r="C516" t="str">
            <v>PLT</v>
          </cell>
          <cell r="H516">
            <v>0.73243876901547111</v>
          </cell>
          <cell r="I516">
            <v>0.73039235010171977</v>
          </cell>
          <cell r="J516">
            <v>0.72633889693895948</v>
          </cell>
        </row>
        <row r="517">
          <cell r="A517" t="str">
            <v>ITOT-SWHWODBR</v>
          </cell>
          <cell r="B517" t="str">
            <v>VAR_fout</v>
          </cell>
          <cell r="C517" t="str">
            <v>ITOT-SWH</v>
          </cell>
          <cell r="H517">
            <v>6.2723743042188485</v>
          </cell>
          <cell r="I517">
            <v>6.0334839758065311</v>
          </cell>
          <cell r="J517">
            <v>6.775061583522489</v>
          </cell>
        </row>
        <row r="518">
          <cell r="A518" t="str">
            <v>ITOT-SWHWODBR</v>
          </cell>
          <cell r="B518" t="str">
            <v>VAR_fin</v>
          </cell>
          <cell r="C518" t="str">
            <v>IWOD</v>
          </cell>
          <cell r="H518">
            <v>10.541805553309</v>
          </cell>
          <cell r="I518">
            <v>10.111984316994183</v>
          </cell>
          <cell r="J518">
            <v>11.291769305870821</v>
          </cell>
        </row>
        <row r="519">
          <cell r="A519" t="str">
            <v>ITOT-SWHWODBR</v>
          </cell>
          <cell r="B519" t="str">
            <v>VAR_fin</v>
          </cell>
          <cell r="C519" t="str">
            <v>ITOTWODBRC</v>
          </cell>
          <cell r="H519">
            <v>6.2723743042188485</v>
          </cell>
          <cell r="I519">
            <v>6.0334839758065311</v>
          </cell>
          <cell r="J519">
            <v>6.775061583522489</v>
          </cell>
        </row>
        <row r="520">
          <cell r="A520" t="str">
            <v>ITOT-SWHWODBR</v>
          </cell>
          <cell r="B520" t="str">
            <v>VAR_ncap</v>
          </cell>
          <cell r="C520" t="str">
            <v>-</v>
          </cell>
          <cell r="H520">
            <v>0.25688038626679699</v>
          </cell>
          <cell r="I520">
            <v>8.7022810217512403E-2</v>
          </cell>
          <cell r="J520">
            <v>0.24518408670959899</v>
          </cell>
        </row>
        <row r="521">
          <cell r="A521" t="str">
            <v>ITOT-SWHWODBR</v>
          </cell>
          <cell r="B521" t="str">
            <v>VAR_cap</v>
          </cell>
          <cell r="C521" t="str">
            <v>-</v>
          </cell>
          <cell r="H521">
            <v>0.35856084885860051</v>
          </cell>
          <cell r="I521">
            <v>0.3439087643091191</v>
          </cell>
          <cell r="J521">
            <v>0.41698281570043</v>
          </cell>
        </row>
        <row r="522">
          <cell r="A522" t="str">
            <v>D-ITOT_KEV_WOD_ELC_CHP</v>
          </cell>
          <cell r="B522" t="str">
            <v>VAR_fout</v>
          </cell>
          <cell r="C522" t="str">
            <v>ITOT_ELC</v>
          </cell>
          <cell r="H522">
            <v>3.776899516275841</v>
          </cell>
          <cell r="I522">
            <v>3.4172674500930507</v>
          </cell>
          <cell r="J522">
            <v>2.23914217973691</v>
          </cell>
        </row>
        <row r="523">
          <cell r="A523" t="str">
            <v>D-ITOT_KEV_WOD_ELC_CHP</v>
          </cell>
          <cell r="B523" t="str">
            <v>VAR_fout</v>
          </cell>
          <cell r="C523" t="str">
            <v>ELC5</v>
          </cell>
          <cell r="H523">
            <v>5.4044422719355521E-2</v>
          </cell>
          <cell r="I523">
            <v>0.17495582303655041</v>
          </cell>
          <cell r="J523">
            <v>0.15536946232263357</v>
          </cell>
        </row>
        <row r="524">
          <cell r="A524" t="str">
            <v>D-ITOT_KEV_WOD_ELC_CHP</v>
          </cell>
          <cell r="B524" t="str">
            <v>VAR_fin</v>
          </cell>
          <cell r="C524" t="str">
            <v>ITOT_KEV_WOD_ELC_CHP</v>
          </cell>
          <cell r="H524">
            <v>3.8309262387943472</v>
          </cell>
          <cell r="I524">
            <v>3.5922145786064852</v>
          </cell>
          <cell r="J524">
            <v>2.3945116420595447</v>
          </cell>
        </row>
        <row r="525">
          <cell r="A525" t="str">
            <v>RHEM-SHSTG-SOL</v>
          </cell>
          <cell r="B525" t="str">
            <v>VAR_fout</v>
          </cell>
          <cell r="C525" t="str">
            <v>RHEM-SHASOL</v>
          </cell>
          <cell r="H525">
            <v>9.9584865084674668E-3</v>
          </cell>
          <cell r="I525">
            <v>2.9160057791583357E-3</v>
          </cell>
          <cell r="J525">
            <v>3.0951703520245614E-3</v>
          </cell>
        </row>
        <row r="526">
          <cell r="A526" t="str">
            <v>RHEM-SHSTG-SOL</v>
          </cell>
          <cell r="B526" t="str">
            <v>VAR_fout</v>
          </cell>
          <cell r="C526" t="str">
            <v>AUX_RHEM-SHSTG-SOL_OUT</v>
          </cell>
          <cell r="H526">
            <v>9.9684449949759384E-3</v>
          </cell>
          <cell r="I526">
            <v>2.9189217849374914E-3</v>
          </cell>
          <cell r="J526">
            <v>3.0982655223765862E-3</v>
          </cell>
        </row>
        <row r="527">
          <cell r="A527" t="str">
            <v>RHEM-SHSTG-SOL</v>
          </cell>
          <cell r="B527" t="str">
            <v>VAR_fin</v>
          </cell>
          <cell r="C527" t="str">
            <v>RHEM-SHASOL</v>
          </cell>
          <cell r="H527">
            <v>9.9598295444628046E-3</v>
          </cell>
          <cell r="I527">
            <v>2.9175769375612893E-3</v>
          </cell>
          <cell r="J527">
            <v>3.0987963908142486E-3</v>
          </cell>
        </row>
        <row r="528">
          <cell r="A528" t="str">
            <v>RHEM-SHSTG-SOL</v>
          </cell>
          <cell r="B528" t="str">
            <v>VAR_ncap</v>
          </cell>
          <cell r="C528" t="str">
            <v>-</v>
          </cell>
          <cell r="H528">
            <v>5.2277859561896496E-4</v>
          </cell>
          <cell r="I528">
            <v>6.9614757903387105E-5</v>
          </cell>
          <cell r="J528">
            <v>2.64866369485962E-4</v>
          </cell>
        </row>
        <row r="529">
          <cell r="A529" t="str">
            <v>RHEM-SHSTG-SOL</v>
          </cell>
          <cell r="B529" t="str">
            <v>VAR_cap</v>
          </cell>
          <cell r="C529" t="str">
            <v>-</v>
          </cell>
          <cell r="H529">
            <v>4.7132013160004404E-3</v>
          </cell>
          <cell r="I529">
            <v>5.9265981254062803E-4</v>
          </cell>
          <cell r="J529">
            <v>5.3652068283657295E-4</v>
          </cell>
        </row>
        <row r="530">
          <cell r="A530" t="str">
            <v>ITOT-SWHCONBR10</v>
          </cell>
          <cell r="B530" t="str">
            <v>VAR_fout</v>
          </cell>
          <cell r="C530" t="str">
            <v>ITOT-ELS</v>
          </cell>
          <cell r="J530">
            <v>4.5761934695895625E-5</v>
          </cell>
        </row>
        <row r="531">
          <cell r="A531" t="str">
            <v>ITOT-SWHCONBR10</v>
          </cell>
          <cell r="B531" t="str">
            <v>VAR_fout</v>
          </cell>
          <cell r="C531" t="str">
            <v>ITOT-SWHC</v>
          </cell>
          <cell r="J531">
            <v>2.8180676175894938E-4</v>
          </cell>
        </row>
        <row r="532">
          <cell r="A532" t="str">
            <v>ITOT-SWHCONBR10</v>
          </cell>
          <cell r="B532" t="str">
            <v>VAR_fin</v>
          </cell>
          <cell r="C532" t="str">
            <v>CON</v>
          </cell>
          <cell r="J532">
            <v>3.2756869645484538E-4</v>
          </cell>
        </row>
        <row r="533">
          <cell r="A533" t="str">
            <v>ITOT-SWHCONBR10</v>
          </cell>
          <cell r="B533" t="str">
            <v>VAR_ncap</v>
          </cell>
          <cell r="C533" t="str">
            <v>-</v>
          </cell>
          <cell r="J533">
            <v>1.6664406215603599E-5</v>
          </cell>
        </row>
        <row r="534">
          <cell r="A534" t="str">
            <v>ITOT-SWHCONBR10</v>
          </cell>
          <cell r="B534" t="str">
            <v>VAR_cap</v>
          </cell>
          <cell r="C534" t="str">
            <v>-</v>
          </cell>
          <cell r="J534">
            <v>1.6664406215603599E-5</v>
          </cell>
        </row>
        <row r="535">
          <cell r="A535" t="str">
            <v>SCOM-SHSTG</v>
          </cell>
          <cell r="B535" t="str">
            <v>VAR_fout</v>
          </cell>
          <cell r="C535" t="str">
            <v>AUX_SCOM-SHSTG_OUT</v>
          </cell>
          <cell r="H535">
            <v>3.6470304105616504E-5</v>
          </cell>
          <cell r="I535">
            <v>3.7972863689743505E-5</v>
          </cell>
          <cell r="J535">
            <v>2.0291848223908493E-3</v>
          </cell>
        </row>
        <row r="536">
          <cell r="A536" t="str">
            <v>SCOM-SHSTG</v>
          </cell>
          <cell r="B536" t="str">
            <v>VAR_fout</v>
          </cell>
          <cell r="C536" t="str">
            <v>SCOM-SHD</v>
          </cell>
          <cell r="H536">
            <v>3.6510871740884137E-5</v>
          </cell>
          <cell r="I536">
            <v>3.7972863689743458E-5</v>
          </cell>
          <cell r="J536">
            <v>2.0291848223908493E-3</v>
          </cell>
        </row>
        <row r="537">
          <cell r="A537" t="str">
            <v>SCOM-SHSTG</v>
          </cell>
          <cell r="B537" t="str">
            <v>VAR_fin</v>
          </cell>
          <cell r="C537" t="str">
            <v>AUX_SCOM-SHSTG_IN</v>
          </cell>
          <cell r="H537">
            <v>4.120614783277615E-5</v>
          </cell>
          <cell r="I537">
            <v>4.1219217575270917E-5</v>
          </cell>
          <cell r="J537">
            <v>2.0502914642601317E-3</v>
          </cell>
        </row>
        <row r="538">
          <cell r="A538" t="str">
            <v>SCOM-SHSTG</v>
          </cell>
          <cell r="B538" t="str">
            <v>VAR_fin</v>
          </cell>
          <cell r="C538" t="str">
            <v>SCOM-SHD</v>
          </cell>
          <cell r="H538">
            <v>4.120614783277615E-5</v>
          </cell>
          <cell r="I538">
            <v>4.1219217575270917E-5</v>
          </cell>
          <cell r="J538">
            <v>2.0502914642601317E-3</v>
          </cell>
        </row>
        <row r="539">
          <cell r="A539" t="str">
            <v>SCOM-SHSTG</v>
          </cell>
          <cell r="B539" t="str">
            <v>VAR_ncap</v>
          </cell>
          <cell r="C539" t="str">
            <v>-</v>
          </cell>
          <cell r="H539">
            <v>1.5107805120075299E-4</v>
          </cell>
          <cell r="I539">
            <v>2.7815061049912799E-4</v>
          </cell>
          <cell r="J539">
            <v>3.2171383166075199E-4</v>
          </cell>
        </row>
        <row r="540">
          <cell r="A540" t="str">
            <v>SCOM-SHSTG</v>
          </cell>
          <cell r="B540" t="str">
            <v>VAR_cap</v>
          </cell>
          <cell r="C540" t="str">
            <v>-</v>
          </cell>
          <cell r="H540">
            <v>7.5423951685973359E-4</v>
          </cell>
          <cell r="I540">
            <v>6.388157170425301E-4</v>
          </cell>
          <cell r="J540">
            <v>7.1627662050654357E-4</v>
          </cell>
        </row>
        <row r="541">
          <cell r="A541" t="str">
            <v>D-ITOT_KEV_HFC_ELC_CHP</v>
          </cell>
          <cell r="B541" t="str">
            <v>VAR_fout</v>
          </cell>
          <cell r="C541" t="str">
            <v>ITOT_ELC</v>
          </cell>
          <cell r="H541">
            <v>8.1578574387124625E-4</v>
          </cell>
          <cell r="I541">
            <v>7.472686333166367E-4</v>
          </cell>
          <cell r="J541">
            <v>1.0712823774483001E-3</v>
          </cell>
        </row>
        <row r="542">
          <cell r="A542" t="str">
            <v>D-ITOT_KEV_HFC_ELC_CHP</v>
          </cell>
          <cell r="B542" t="str">
            <v>VAR_fout</v>
          </cell>
          <cell r="C542" t="str">
            <v>ELC5</v>
          </cell>
          <cell r="H542">
            <v>7.6105800621328022E-4</v>
          </cell>
          <cell r="I542">
            <v>5.7514911464530373E-4</v>
          </cell>
          <cell r="J542">
            <v>6.5523843073830965E-4</v>
          </cell>
        </row>
        <row r="543">
          <cell r="A543" t="str">
            <v>D-ITOT_KEV_HFC_ELC_CHP</v>
          </cell>
          <cell r="B543" t="str">
            <v>VAR_fin</v>
          </cell>
          <cell r="C543" t="str">
            <v>ITOT_KEV_HFC_ELC_CHP</v>
          </cell>
          <cell r="H543">
            <v>1.5591109364552394E-3</v>
          </cell>
          <cell r="I543">
            <v>1.3049973977512788E-3</v>
          </cell>
          <cell r="J543">
            <v>1.7237773295852516E-3</v>
          </cell>
        </row>
        <row r="544">
          <cell r="A544" t="str">
            <v>D-RNGA</v>
          </cell>
          <cell r="B544" t="str">
            <v>VAR_fout</v>
          </cell>
          <cell r="C544" t="str">
            <v>CO2</v>
          </cell>
          <cell r="H544">
            <v>1498.2988298185801</v>
          </cell>
          <cell r="I544">
            <v>876.52684298058705</v>
          </cell>
          <cell r="J544">
            <v>699.54227493505596</v>
          </cell>
        </row>
        <row r="545">
          <cell r="A545" t="str">
            <v>D-RNGA</v>
          </cell>
          <cell r="B545" t="str">
            <v>VAR_fout</v>
          </cell>
          <cell r="C545" t="str">
            <v>RNGA</v>
          </cell>
          <cell r="H545">
            <v>27.348517957267468</v>
          </cell>
          <cell r="I545">
            <v>15.491801014709285</v>
          </cell>
          <cell r="J545">
            <v>12.363577081899598</v>
          </cell>
        </row>
        <row r="546">
          <cell r="A546" t="str">
            <v>D-RNGA</v>
          </cell>
          <cell r="B546" t="str">
            <v>VAR_fout</v>
          </cell>
          <cell r="C546" t="str">
            <v>RSH2</v>
          </cell>
          <cell r="H546">
            <v>8.1490959673760546E-4</v>
          </cell>
          <cell r="I546">
            <v>3.4305905739804047E-4</v>
          </cell>
          <cell r="J546">
            <v>4.1286914075070484E-3</v>
          </cell>
        </row>
        <row r="547">
          <cell r="A547" t="str">
            <v>D-RNGA</v>
          </cell>
          <cell r="B547" t="str">
            <v>VAR_fin</v>
          </cell>
          <cell r="C547" t="str">
            <v>NGA</v>
          </cell>
          <cell r="H547">
            <v>26.565582088981948</v>
          </cell>
          <cell r="I547">
            <v>15.541256081216082</v>
          </cell>
          <cell r="J547">
            <v>12.403231825089652</v>
          </cell>
        </row>
        <row r="548">
          <cell r="A548" t="str">
            <v>D-RNGA</v>
          </cell>
          <cell r="B548" t="str">
            <v>VAR_fin</v>
          </cell>
          <cell r="C548" t="str">
            <v>BNGA</v>
          </cell>
          <cell r="H548">
            <v>0.87034944958500016</v>
          </cell>
          <cell r="I548">
            <v>9.679792068750417E-5</v>
          </cell>
          <cell r="J548">
            <v>2.3007978233349478E-4</v>
          </cell>
        </row>
        <row r="549">
          <cell r="A549" t="str">
            <v>D-RNGA</v>
          </cell>
          <cell r="B549" t="str">
            <v>VAR_fin</v>
          </cell>
          <cell r="C549" t="str">
            <v>H2</v>
          </cell>
          <cell r="H549">
            <v>8.1356054411690242E-4</v>
          </cell>
          <cell r="I549">
            <v>3.4192435702492868E-4</v>
          </cell>
          <cell r="J549">
            <v>4.1286914075070805E-3</v>
          </cell>
        </row>
        <row r="550">
          <cell r="A550" t="str">
            <v>D-RNGA</v>
          </cell>
          <cell r="B550" t="str">
            <v>VAR_ncap</v>
          </cell>
          <cell r="C550" t="str">
            <v>-</v>
          </cell>
          <cell r="H550">
            <v>1.12387443765255E-7</v>
          </cell>
          <cell r="I550">
            <v>1.5330381244931701E-7</v>
          </cell>
          <cell r="J550">
            <v>2.5986959308067E-7</v>
          </cell>
        </row>
        <row r="551">
          <cell r="A551" t="str">
            <v>D-RNGA</v>
          </cell>
          <cell r="B551" t="str">
            <v>VAR_cap</v>
          </cell>
          <cell r="C551" t="str">
            <v>-</v>
          </cell>
          <cell r="H551">
            <v>3.0972405482859418</v>
          </cell>
          <cell r="I551">
            <v>3.0972407015897545</v>
          </cell>
          <cell r="J551">
            <v>1.5532832020996474</v>
          </cell>
        </row>
        <row r="552">
          <cell r="A552" t="str">
            <v>RHNS-SHLTHCHPNGA</v>
          </cell>
          <cell r="B552" t="str">
            <v>VAR_fout</v>
          </cell>
          <cell r="C552" t="str">
            <v>RHNS-SHLTHC-NGA</v>
          </cell>
        </row>
        <row r="553">
          <cell r="A553" t="str">
            <v>RHNS-SHLTHCHPNGA</v>
          </cell>
          <cell r="B553" t="str">
            <v>VAR_fin</v>
          </cell>
          <cell r="C553" t="str">
            <v>RHNSLTHCHPC</v>
          </cell>
        </row>
        <row r="554">
          <cell r="A554" t="str">
            <v>RHNS-SHLTHCHPNGA</v>
          </cell>
          <cell r="B554" t="str">
            <v>VAR_fin</v>
          </cell>
          <cell r="C554" t="str">
            <v>RHNS_LTH_CHPNGA_ON</v>
          </cell>
        </row>
        <row r="555">
          <cell r="A555" t="str">
            <v>RHNS-SHLTHCHPNGA</v>
          </cell>
          <cell r="B555" t="str">
            <v>VAR_ncap</v>
          </cell>
          <cell r="C555" t="str">
            <v>-</v>
          </cell>
          <cell r="H555">
            <v>1.85884221415167E-4</v>
          </cell>
          <cell r="I555">
            <v>1.2499790376024799E-4</v>
          </cell>
          <cell r="J555">
            <v>9.3789377340292604E-5</v>
          </cell>
        </row>
        <row r="556">
          <cell r="A556" t="str">
            <v>RHNS-SHLTHCHPNGA</v>
          </cell>
          <cell r="B556" t="str">
            <v>VAR_cap</v>
          </cell>
          <cell r="C556" t="str">
            <v>-</v>
          </cell>
          <cell r="H556">
            <v>3.07027945727349E-4</v>
          </cell>
          <cell r="I556">
            <v>2.2844006599585901E-4</v>
          </cell>
          <cell r="J556">
            <v>1.4377549599077098E-4</v>
          </cell>
        </row>
        <row r="557">
          <cell r="A557" t="str">
            <v>D-SCOM_KEV_BIO_ELC_CHP</v>
          </cell>
          <cell r="B557" t="str">
            <v>VAR_fout</v>
          </cell>
          <cell r="C557" t="str">
            <v>ELC5</v>
          </cell>
          <cell r="H557">
            <v>1.1535478007276146E-3</v>
          </cell>
          <cell r="I557">
            <v>8.7184378654024469E-4</v>
          </cell>
          <cell r="J557">
            <v>6.0474336629770618E-4</v>
          </cell>
        </row>
        <row r="558">
          <cell r="A558" t="str">
            <v>D-SCOM_KEV_BIO_ELC_CHP</v>
          </cell>
          <cell r="B558" t="str">
            <v>VAR_fout</v>
          </cell>
          <cell r="C558" t="str">
            <v>SCOM_ELC</v>
          </cell>
          <cell r="H558">
            <v>1.1048013796981302</v>
          </cell>
          <cell r="I558">
            <v>1.1050833226690751</v>
          </cell>
          <cell r="J558">
            <v>1.105337870810313</v>
          </cell>
        </row>
        <row r="559">
          <cell r="A559" t="str">
            <v>D-SCOM_KEV_BIO_ELC_CHP</v>
          </cell>
          <cell r="B559" t="str">
            <v>VAR_fin</v>
          </cell>
          <cell r="C559" t="str">
            <v>SCOM_KEV_BIO_ELC_CHP</v>
          </cell>
          <cell r="H559">
            <v>1.1059379078512506</v>
          </cell>
          <cell r="I559">
            <v>1.1059384890876227</v>
          </cell>
          <cell r="J559">
            <v>1.1059282201660183</v>
          </cell>
        </row>
        <row r="560">
          <cell r="A560" t="str">
            <v>RHES-SHLTHCHPWOD</v>
          </cell>
          <cell r="B560" t="str">
            <v>VAR_ncap</v>
          </cell>
          <cell r="C560" t="str">
            <v>-</v>
          </cell>
          <cell r="H560">
            <v>1.1483607904196799E-4</v>
          </cell>
          <cell r="I560">
            <v>1.03550880103496E-4</v>
          </cell>
          <cell r="J560">
            <v>3.52470464539749E-5</v>
          </cell>
        </row>
        <row r="561">
          <cell r="A561" t="str">
            <v>RHES-SHLTHCHPWOD</v>
          </cell>
          <cell r="B561" t="str">
            <v>VAR_cap</v>
          </cell>
          <cell r="C561" t="str">
            <v>-</v>
          </cell>
          <cell r="H561">
            <v>1.4649604417794871E-4</v>
          </cell>
          <cell r="I561">
            <v>1.6931048313978278E-4</v>
          </cell>
          <cell r="J561">
            <v>6.6326790766076604E-5</v>
          </cell>
        </row>
        <row r="562">
          <cell r="A562" t="str">
            <v>RHES-SHSTG-NGAHP</v>
          </cell>
          <cell r="B562" t="str">
            <v>VAR_fout</v>
          </cell>
          <cell r="C562" t="str">
            <v>RHES-SHANGAH</v>
          </cell>
          <cell r="H562">
            <v>0.1072961190156294</v>
          </cell>
          <cell r="I562">
            <v>8.0724141169275856E-2</v>
          </cell>
          <cell r="J562">
            <v>6.7073477439051635E-2</v>
          </cell>
        </row>
        <row r="563">
          <cell r="A563" t="str">
            <v>RHES-SHSTG-NGAHP</v>
          </cell>
          <cell r="B563" t="str">
            <v>VAR_fout</v>
          </cell>
          <cell r="C563" t="str">
            <v>AUX_RHES-SHSTG-NGAHP_OUT</v>
          </cell>
          <cell r="H563">
            <v>0.10740341513464506</v>
          </cell>
          <cell r="I563">
            <v>8.0804865310445145E-2</v>
          </cell>
          <cell r="J563">
            <v>6.7140550916490668E-2</v>
          </cell>
        </row>
        <row r="564">
          <cell r="A564" t="str">
            <v>RHES-SHSTG-NGAHP</v>
          </cell>
          <cell r="B564" t="str">
            <v>VAR_fin</v>
          </cell>
          <cell r="C564" t="str">
            <v>RHES-SHANGAH</v>
          </cell>
          <cell r="H564">
            <v>0.10730856110399292</v>
          </cell>
          <cell r="I564">
            <v>8.0733152022549048E-2</v>
          </cell>
          <cell r="J564">
            <v>6.7086695922135245E-2</v>
          </cell>
        </row>
        <row r="565">
          <cell r="A565" t="str">
            <v>RHES-SHSTG-NGAHP</v>
          </cell>
          <cell r="B565" t="str">
            <v>VAR_ncap</v>
          </cell>
          <cell r="C565" t="str">
            <v>-</v>
          </cell>
          <cell r="H565">
            <v>4.8372732962073397E-5</v>
          </cell>
          <cell r="I565">
            <v>1.5008961573106799E-2</v>
          </cell>
          <cell r="J565">
            <v>3.9409007869228904E-3</v>
          </cell>
        </row>
        <row r="566">
          <cell r="A566" t="str">
            <v>RHES-SHSTG-NGAHP</v>
          </cell>
          <cell r="B566" t="str">
            <v>VAR_cap</v>
          </cell>
          <cell r="C566" t="str">
            <v>-</v>
          </cell>
          <cell r="H566">
            <v>2.2901710017057091E-2</v>
          </cell>
          <cell r="I566">
            <v>1.9084409367504322E-2</v>
          </cell>
          <cell r="J566">
            <v>1.4830280812211879E-2</v>
          </cell>
        </row>
        <row r="567">
          <cell r="A567" t="str">
            <v>D-RHNS_SOLELC</v>
          </cell>
          <cell r="B567" t="str">
            <v>VAR_fout</v>
          </cell>
          <cell r="C567" t="str">
            <v>RHNS_ELC</v>
          </cell>
          <cell r="H567">
            <v>1.1031035021730985E-3</v>
          </cell>
          <cell r="I567">
            <v>1.2266096171452607E-3</v>
          </cell>
          <cell r="J567">
            <v>1.4886517617580107E-3</v>
          </cell>
        </row>
        <row r="568">
          <cell r="A568" t="str">
            <v>D-RHNS_SOLELC</v>
          </cell>
          <cell r="B568" t="str">
            <v>VAR_fout</v>
          </cell>
          <cell r="C568" t="str">
            <v>ELC5</v>
          </cell>
          <cell r="H568">
            <v>3.5283443037114384E-4</v>
          </cell>
          <cell r="I568">
            <v>3.1721883431179605E-4</v>
          </cell>
          <cell r="J568">
            <v>2.4752394775069507E-4</v>
          </cell>
        </row>
        <row r="569">
          <cell r="A569" t="str">
            <v>D-RHNS_SOLELC</v>
          </cell>
          <cell r="B569" t="str">
            <v>VAR_fin</v>
          </cell>
          <cell r="C569" t="str">
            <v>RHNS_SOL_ELC</v>
          </cell>
          <cell r="H569">
            <v>1.4559720869439744E-3</v>
          </cell>
          <cell r="I569">
            <v>1.5438640041034182E-3</v>
          </cell>
          <cell r="J569">
            <v>1.7361943602476741E-3</v>
          </cell>
        </row>
        <row r="570">
          <cell r="A570" t="str">
            <v>D-IHFO</v>
          </cell>
          <cell r="B570" t="str">
            <v>VAR_fout</v>
          </cell>
          <cell r="C570" t="str">
            <v>CO2</v>
          </cell>
          <cell r="H570">
            <v>3.45028101288129E-2</v>
          </cell>
          <cell r="I570">
            <v>4.4625626689785101E-4</v>
          </cell>
        </row>
        <row r="571">
          <cell r="A571" t="str">
            <v>D-IHFO</v>
          </cell>
          <cell r="B571" t="str">
            <v>VAR_fout</v>
          </cell>
          <cell r="C571" t="str">
            <v>IHFO</v>
          </cell>
          <cell r="H571">
            <v>4.4060484402915688E-4</v>
          </cell>
          <cell r="I571">
            <v>5.6987437295539111E-6</v>
          </cell>
        </row>
        <row r="572">
          <cell r="A572" t="str">
            <v>D-IHFO</v>
          </cell>
          <cell r="B572" t="str">
            <v>VAR_fin</v>
          </cell>
          <cell r="C572" t="str">
            <v>HFO</v>
          </cell>
          <cell r="H572">
            <v>4.4808844323133583E-4</v>
          </cell>
          <cell r="I572">
            <v>5.7955359337383286E-6</v>
          </cell>
        </row>
        <row r="573">
          <cell r="A573" t="str">
            <v>RHEM-SHCONBR</v>
          </cell>
          <cell r="B573" t="str">
            <v>VAR_fout</v>
          </cell>
          <cell r="C573" t="str">
            <v>RHEM-SHCON</v>
          </cell>
          <cell r="H573">
            <v>2.7232578429687584E-4</v>
          </cell>
          <cell r="I573">
            <v>2.7545821586224948E-4</v>
          </cell>
          <cell r="J573">
            <v>9.7953305879491782E-4</v>
          </cell>
        </row>
        <row r="574">
          <cell r="A574" t="str">
            <v>RHEM-SHCONBR</v>
          </cell>
          <cell r="B574" t="str">
            <v>VAR_fin</v>
          </cell>
          <cell r="C574" t="str">
            <v>CON</v>
          </cell>
          <cell r="H574">
            <v>2.7232578429687584E-4</v>
          </cell>
          <cell r="I574">
            <v>2.7545821586224948E-4</v>
          </cell>
          <cell r="J574">
            <v>9.7953305879491782E-4</v>
          </cell>
        </row>
        <row r="575">
          <cell r="A575" t="str">
            <v>RHEM-SHCONBR</v>
          </cell>
          <cell r="B575" t="str">
            <v>VAR_ncap</v>
          </cell>
          <cell r="C575" t="str">
            <v>-</v>
          </cell>
          <cell r="H575">
            <v>1.06941609682502E-5</v>
          </cell>
          <cell r="I575">
            <v>9.0800551105710104E-7</v>
          </cell>
          <cell r="J575">
            <v>4.9990722470427499E-5</v>
          </cell>
        </row>
        <row r="576">
          <cell r="A576" t="str">
            <v>RHEM-SHCONBR</v>
          </cell>
          <cell r="B576" t="str">
            <v>VAR_cap</v>
          </cell>
          <cell r="C576" t="str">
            <v>-</v>
          </cell>
          <cell r="H576">
            <v>1.6522966485398042E-5</v>
          </cell>
          <cell r="I576">
            <v>1.7412616760833755E-5</v>
          </cell>
          <cell r="J576">
            <v>6.7526353939299395E-5</v>
          </cell>
        </row>
        <row r="577">
          <cell r="A577" t="str">
            <v>RHEM-SHSOLBR</v>
          </cell>
          <cell r="B577" t="str">
            <v>VAR_fout</v>
          </cell>
          <cell r="C577" t="str">
            <v>RHEM-SHASOL</v>
          </cell>
          <cell r="H577">
            <v>1.6751988653664587E-2</v>
          </cell>
          <cell r="I577">
            <v>1.693680544130224E-2</v>
          </cell>
          <cell r="J577">
            <v>1.5506594266824464E-2</v>
          </cell>
        </row>
        <row r="578">
          <cell r="A578" t="str">
            <v>RHEM-SHSOLBR</v>
          </cell>
          <cell r="B578" t="str">
            <v>VAR_fin</v>
          </cell>
          <cell r="C578" t="str">
            <v>SOL</v>
          </cell>
          <cell r="H578">
            <v>1.6751988653664587E-2</v>
          </cell>
          <cell r="I578">
            <v>1.693680544130224E-2</v>
          </cell>
          <cell r="J578">
            <v>1.5506594266824464E-2</v>
          </cell>
        </row>
        <row r="579">
          <cell r="A579" t="str">
            <v>RHEM-SHSOLBR</v>
          </cell>
          <cell r="B579" t="str">
            <v>VAR_ncap</v>
          </cell>
          <cell r="C579" t="str">
            <v>-</v>
          </cell>
          <cell r="H579">
            <v>9.4319531963360403E-7</v>
          </cell>
          <cell r="I579">
            <v>2.5142502723944E-3</v>
          </cell>
          <cell r="J579">
            <v>4.55358987183526E-4</v>
          </cell>
        </row>
        <row r="580">
          <cell r="A580" t="str">
            <v>RHEM-SHSOLBR</v>
          </cell>
          <cell r="B580" t="str">
            <v>VAR_cap</v>
          </cell>
          <cell r="C580" t="str">
            <v>-</v>
          </cell>
          <cell r="H580">
            <v>2.0025414400052267E-2</v>
          </cell>
          <cell r="I580">
            <v>2.5150944982610412E-3</v>
          </cell>
          <cell r="J580">
            <v>2.2802625659414958E-3</v>
          </cell>
        </row>
        <row r="581">
          <cell r="A581" t="str">
            <v>SCOM-SHH2BR</v>
          </cell>
          <cell r="B581" t="str">
            <v>VAR_ncap</v>
          </cell>
          <cell r="C581" t="str">
            <v>-</v>
          </cell>
          <cell r="H581">
            <v>0.99983727490938101</v>
          </cell>
          <cell r="I581">
            <v>0.60099033209804498</v>
          </cell>
          <cell r="J581">
            <v>0.62587651564339297</v>
          </cell>
        </row>
        <row r="582">
          <cell r="A582" t="str">
            <v>SCOM-SHH2BR</v>
          </cell>
          <cell r="B582" t="str">
            <v>VAR_cap</v>
          </cell>
          <cell r="C582" t="str">
            <v>-</v>
          </cell>
          <cell r="H582">
            <v>0.99983726687057628</v>
          </cell>
          <cell r="I582">
            <v>1.6008269223381371</v>
          </cell>
          <cell r="J582">
            <v>1.484960207656258</v>
          </cell>
        </row>
        <row r="583">
          <cell r="A583" t="str">
            <v>ITOT-SWHCONBR1</v>
          </cell>
          <cell r="B583" t="str">
            <v>VAR_fout</v>
          </cell>
          <cell r="C583" t="str">
            <v>ITOT-ELS</v>
          </cell>
          <cell r="H583">
            <v>0.97004604049264276</v>
          </cell>
          <cell r="I583">
            <v>0.97004402385318167</v>
          </cell>
          <cell r="J583">
            <v>0.97004404076208806</v>
          </cell>
        </row>
        <row r="584">
          <cell r="A584" t="str">
            <v>ITOT-SWHCONBR1</v>
          </cell>
          <cell r="B584" t="str">
            <v>VAR_fout</v>
          </cell>
          <cell r="C584" t="str">
            <v>ITOT-SWHC</v>
          </cell>
          <cell r="H584">
            <v>4.6114539718433276</v>
          </cell>
          <cell r="I584">
            <v>4.6114443850405769</v>
          </cell>
          <cell r="J584">
            <v>4.6114444654229931</v>
          </cell>
        </row>
        <row r="585">
          <cell r="A585" t="str">
            <v>ITOT-SWHCONBR1</v>
          </cell>
          <cell r="B585" t="str">
            <v>VAR_fin</v>
          </cell>
          <cell r="C585" t="str">
            <v>CON</v>
          </cell>
          <cell r="H585">
            <v>5.5815000123359768</v>
          </cell>
          <cell r="I585">
            <v>5.5814884088937529</v>
          </cell>
          <cell r="J585">
            <v>5.5814885061850843</v>
          </cell>
        </row>
        <row r="586">
          <cell r="A586" t="str">
            <v>ITOT-SWHCONBR1</v>
          </cell>
          <cell r="B586" t="str">
            <v>VAR_ncap</v>
          </cell>
          <cell r="C586" t="str">
            <v>-</v>
          </cell>
          <cell r="H586">
            <v>0.129797867160792</v>
          </cell>
          <cell r="I586">
            <v>0.14821787092021099</v>
          </cell>
          <cell r="J586">
            <v>0.141068143456032</v>
          </cell>
        </row>
        <row r="587">
          <cell r="A587" t="str">
            <v>ITOT-SWHCONBR1</v>
          </cell>
          <cell r="B587" t="str">
            <v>VAR_cap</v>
          </cell>
          <cell r="C587" t="str">
            <v>-</v>
          </cell>
          <cell r="H587">
            <v>0.30353899643179</v>
          </cell>
          <cell r="I587">
            <v>0.30353875390137802</v>
          </cell>
          <cell r="J587">
            <v>0.30353862478510901</v>
          </cell>
        </row>
        <row r="588">
          <cell r="A588" t="str">
            <v>SCOM-SHLTHCHPWOD</v>
          </cell>
          <cell r="B588" t="str">
            <v>VAR_ncap</v>
          </cell>
          <cell r="C588" t="str">
            <v>-</v>
          </cell>
          <cell r="H588">
            <v>1.09010591329083E-4</v>
          </cell>
          <cell r="I588">
            <v>9.0522933636579504E-5</v>
          </cell>
          <cell r="J588">
            <v>3.4176403778341098E-5</v>
          </cell>
        </row>
        <row r="589">
          <cell r="A589" t="str">
            <v>SCOM-SHLTHCHPWOD</v>
          </cell>
          <cell r="B589" t="str">
            <v>VAR_cap</v>
          </cell>
          <cell r="C589" t="str">
            <v>-</v>
          </cell>
          <cell r="H589">
            <v>1.3725491451278249E-4</v>
          </cell>
          <cell r="I589">
            <v>1.3669786890829999E-4</v>
          </cell>
          <cell r="J589">
            <v>5.9310605300702708E-5</v>
          </cell>
        </row>
        <row r="590">
          <cell r="A590" t="str">
            <v>SCOM-SHSTG-NGAHP</v>
          </cell>
          <cell r="B590" t="str">
            <v>VAR_fout</v>
          </cell>
          <cell r="C590" t="str">
            <v>SCOM-SHANGAH</v>
          </cell>
          <cell r="H590">
            <v>2.1909570383910361E-5</v>
          </cell>
          <cell r="I590">
            <v>1.5801033826086782E-5</v>
          </cell>
          <cell r="J590">
            <v>8.5890448788181608E-6</v>
          </cell>
        </row>
        <row r="591">
          <cell r="A591" t="str">
            <v>SCOM-SHSTG-NGAHP</v>
          </cell>
          <cell r="B591" t="str">
            <v>VAR_fin</v>
          </cell>
          <cell r="C591" t="str">
            <v>SCOM-SHANGAH</v>
          </cell>
          <cell r="H591">
            <v>2.0719336139959691E-5</v>
          </cell>
          <cell r="I591">
            <v>1.8251871421898117E-5</v>
          </cell>
          <cell r="J591">
            <v>9.4824326643856439E-6</v>
          </cell>
        </row>
        <row r="592">
          <cell r="A592" t="str">
            <v>SCOM-SHSTG-NGAHP</v>
          </cell>
          <cell r="B592" t="str">
            <v>VAR_ncap</v>
          </cell>
          <cell r="C592" t="str">
            <v>-</v>
          </cell>
          <cell r="H592">
            <v>2.01482692571055E-2</v>
          </cell>
          <cell r="I592">
            <v>6.3435904533075696E-2</v>
          </cell>
          <cell r="J592">
            <v>4.2683526436600998E-2</v>
          </cell>
        </row>
        <row r="593">
          <cell r="A593" t="str">
            <v>SCOM-SHSTG-NGAHP</v>
          </cell>
          <cell r="B593" t="str">
            <v>VAR_cap</v>
          </cell>
          <cell r="C593" t="str">
            <v>-</v>
          </cell>
          <cell r="H593">
            <v>9.2164824656890215E-2</v>
          </cell>
          <cell r="I593">
            <v>0.11179403557855327</v>
          </cell>
          <cell r="J593">
            <v>9.7189904013665188E-2</v>
          </cell>
        </row>
        <row r="594">
          <cell r="A594" t="str">
            <v>ITOT-SWHCONBR2</v>
          </cell>
          <cell r="B594" t="str">
            <v>VAR_fout</v>
          </cell>
          <cell r="C594" t="str">
            <v>ITOT-ELS</v>
          </cell>
          <cell r="H594">
            <v>0.8801478026740065</v>
          </cell>
          <cell r="I594">
            <v>0.88015047580879513</v>
          </cell>
          <cell r="J594">
            <v>0.88014905946756716</v>
          </cell>
        </row>
        <row r="595">
          <cell r="A595" t="str">
            <v>ITOT-SWHCONBR2</v>
          </cell>
          <cell r="B595" t="str">
            <v>VAR_fout</v>
          </cell>
          <cell r="C595" t="str">
            <v>ITOT-SWHC</v>
          </cell>
          <cell r="H595">
            <v>1.3605400678495885</v>
          </cell>
          <cell r="I595">
            <v>1.3605442000044128</v>
          </cell>
          <cell r="J595">
            <v>1.3605420106119186</v>
          </cell>
        </row>
        <row r="596">
          <cell r="A596" t="str">
            <v>ITOT-SWHCONBR2</v>
          </cell>
          <cell r="B596" t="str">
            <v>VAR_fin</v>
          </cell>
          <cell r="C596" t="str">
            <v>CON</v>
          </cell>
          <cell r="H596">
            <v>2.2406878705235953</v>
          </cell>
          <cell r="I596">
            <v>2.240694675813208</v>
          </cell>
          <cell r="J596">
            <v>2.2406910700794862</v>
          </cell>
        </row>
        <row r="597">
          <cell r="A597" t="str">
            <v>ITOT-SWHCONBR2</v>
          </cell>
          <cell r="B597" t="str">
            <v>VAR_ncap</v>
          </cell>
          <cell r="C597" t="str">
            <v>-</v>
          </cell>
          <cell r="H597">
            <v>1.1991059407604801E-2</v>
          </cell>
          <cell r="I597">
            <v>3.4828948955733997E-2</v>
          </cell>
          <cell r="J597">
            <v>9.1507773931816097E-2</v>
          </cell>
        </row>
        <row r="598">
          <cell r="A598" t="str">
            <v>ITOT-SWHCONBR2</v>
          </cell>
          <cell r="B598" t="str">
            <v>VAR_cap</v>
          </cell>
          <cell r="C598" t="str">
            <v>-</v>
          </cell>
          <cell r="H598">
            <v>0.121856651243042</v>
          </cell>
          <cell r="I598">
            <v>0.12185670348917101</v>
          </cell>
          <cell r="J598">
            <v>0.121856463783707</v>
          </cell>
        </row>
        <row r="599">
          <cell r="A599" t="str">
            <v>RHES-SHCONBR1</v>
          </cell>
          <cell r="B599" t="str">
            <v>VAR_fout</v>
          </cell>
          <cell r="C599" t="str">
            <v>RHES-SHCON</v>
          </cell>
          <cell r="H599">
            <v>4.4173006957068601</v>
          </cell>
          <cell r="I599">
            <v>5.014445418277699</v>
          </cell>
          <cell r="J599">
            <v>6.4142445738441864</v>
          </cell>
        </row>
        <row r="600">
          <cell r="A600" t="str">
            <v>RHES-SHCONBR1</v>
          </cell>
          <cell r="B600" t="str">
            <v>VAR_fin</v>
          </cell>
          <cell r="C600" t="str">
            <v>CON</v>
          </cell>
          <cell r="H600">
            <v>4.4173006957068601</v>
          </cell>
          <cell r="I600">
            <v>5.014445418277699</v>
          </cell>
          <cell r="J600">
            <v>6.4142445738441864</v>
          </cell>
        </row>
        <row r="601">
          <cell r="A601" t="str">
            <v>RHES-SHCONBR1</v>
          </cell>
          <cell r="B601" t="str">
            <v>VAR_ncap</v>
          </cell>
          <cell r="C601" t="str">
            <v>-</v>
          </cell>
          <cell r="H601">
            <v>0.15403281870140001</v>
          </cell>
          <cell r="I601">
            <v>4.8249177457126501E-2</v>
          </cell>
          <cell r="J601">
            <v>0.15499274367614199</v>
          </cell>
        </row>
        <row r="602">
          <cell r="A602" t="str">
            <v>RHES-SHCONBR1</v>
          </cell>
          <cell r="B602" t="str">
            <v>VAR_cap</v>
          </cell>
          <cell r="C602" t="str">
            <v>-</v>
          </cell>
          <cell r="H602">
            <v>0.35687653663597235</v>
          </cell>
          <cell r="I602">
            <v>0.40512578541359018</v>
          </cell>
          <cell r="J602">
            <v>0.51819473222367896</v>
          </cell>
        </row>
        <row r="603">
          <cell r="A603" t="str">
            <v>ITOT-SWHCONBR3</v>
          </cell>
          <cell r="B603" t="str">
            <v>VAR_fout</v>
          </cell>
          <cell r="C603" t="str">
            <v>ITOT-ELS</v>
          </cell>
          <cell r="H603">
            <v>2.3000106982635202</v>
          </cell>
          <cell r="I603">
            <v>2.3000129239366571</v>
          </cell>
          <cell r="J603">
            <v>2.3000112208504215</v>
          </cell>
        </row>
        <row r="604">
          <cell r="A604" t="str">
            <v>ITOT-SWHCONBR3</v>
          </cell>
          <cell r="B604" t="str">
            <v>VAR_fout</v>
          </cell>
          <cell r="C604" t="str">
            <v>ITOT-SWHC</v>
          </cell>
          <cell r="H604">
            <v>4.5645017024739492</v>
          </cell>
          <cell r="I604">
            <v>4.5645061194485432</v>
          </cell>
          <cell r="J604">
            <v>4.5645027395772946</v>
          </cell>
        </row>
        <row r="605">
          <cell r="A605" t="str">
            <v>ITOT-SWHCONBR3</v>
          </cell>
          <cell r="B605" t="str">
            <v>VAR_fin</v>
          </cell>
          <cell r="C605" t="str">
            <v>CON</v>
          </cell>
          <cell r="H605">
            <v>6.8645124007374712</v>
          </cell>
          <cell r="I605">
            <v>6.8645190433852044</v>
          </cell>
          <cell r="J605">
            <v>6.8645139604277219</v>
          </cell>
        </row>
        <row r="606">
          <cell r="A606" t="str">
            <v>ITOT-SWHCONBR3</v>
          </cell>
          <cell r="B606" t="str">
            <v>VAR_ncap</v>
          </cell>
          <cell r="C606" t="str">
            <v>-</v>
          </cell>
          <cell r="H606">
            <v>8.8018813972750402E-7</v>
          </cell>
          <cell r="I606">
            <v>0.118345297124481</v>
          </cell>
          <cell r="J606">
            <v>0.28742595647493702</v>
          </cell>
        </row>
        <row r="607">
          <cell r="A607" t="str">
            <v>ITOT-SWHCONBR3</v>
          </cell>
          <cell r="B607" t="str">
            <v>VAR_cap</v>
          </cell>
          <cell r="C607" t="str">
            <v>-</v>
          </cell>
          <cell r="H607">
            <v>0.37331369805067099</v>
          </cell>
          <cell r="I607">
            <v>0.37331372113174799</v>
          </cell>
          <cell r="J607">
            <v>0.37331347830608202</v>
          </cell>
        </row>
        <row r="608">
          <cell r="A608" t="str">
            <v>ITOT-ELCSPECADV</v>
          </cell>
          <cell r="B608" t="str">
            <v>VAR_fout</v>
          </cell>
          <cell r="C608" t="str">
            <v>ITOT-ELS</v>
          </cell>
          <cell r="H608">
            <v>9.5135482603261694E-4</v>
          </cell>
          <cell r="I608">
            <v>9.4000922950451512E-4</v>
          </cell>
          <cell r="J608">
            <v>2.9605453081242464E-3</v>
          </cell>
        </row>
        <row r="609">
          <cell r="A609" t="str">
            <v>ITOT-ELCSPECADV</v>
          </cell>
          <cell r="B609" t="str">
            <v>VAR_fin</v>
          </cell>
          <cell r="C609" t="str">
            <v>ITOT_ELC</v>
          </cell>
          <cell r="H609">
            <v>8.8498123351871323E-4</v>
          </cell>
          <cell r="I609">
            <v>8.5455384500410486E-4</v>
          </cell>
          <cell r="J609">
            <v>2.574387224455868E-3</v>
          </cell>
        </row>
        <row r="610">
          <cell r="A610" t="str">
            <v>ITOT-ELCSPECADV</v>
          </cell>
          <cell r="B610" t="str">
            <v>VAR_ncap</v>
          </cell>
          <cell r="C610" t="str">
            <v>-</v>
          </cell>
          <cell r="H610">
            <v>3.3686338644464402E-5</v>
          </cell>
          <cell r="I610">
            <v>1.90252867173157E-6</v>
          </cell>
          <cell r="J610">
            <v>1.07272929648628E-4</v>
          </cell>
        </row>
        <row r="611">
          <cell r="A611" t="str">
            <v>ITOT-ELCSPECADV</v>
          </cell>
          <cell r="B611" t="str">
            <v>VAR_cap</v>
          </cell>
          <cell r="C611" t="str">
            <v>-</v>
          </cell>
          <cell r="H611">
            <v>6.1074356856393006E-5</v>
          </cell>
          <cell r="I611">
            <v>6.2726206038907041E-5</v>
          </cell>
          <cell r="J611">
            <v>1.6025026345320659E-4</v>
          </cell>
        </row>
        <row r="612">
          <cell r="A612" t="str">
            <v>RHES-SHELCBR</v>
          </cell>
          <cell r="B612" t="str">
            <v>VAR_fout</v>
          </cell>
          <cell r="C612" t="str">
            <v>RHES-SHAELCB</v>
          </cell>
          <cell r="H612">
            <v>6.1005408451522405E-3</v>
          </cell>
          <cell r="I612">
            <v>2.05176429520551E-3</v>
          </cell>
          <cell r="J612">
            <v>5.9893725838745858E-4</v>
          </cell>
        </row>
        <row r="613">
          <cell r="A613" t="str">
            <v>RHES-SHELCBR</v>
          </cell>
          <cell r="B613" t="str">
            <v>VAR_fin</v>
          </cell>
          <cell r="C613" t="str">
            <v>RHES_ELC</v>
          </cell>
          <cell r="H613">
            <v>6.6495944266496809E-3</v>
          </cell>
          <cell r="I613">
            <v>2.236424731593919E-3</v>
          </cell>
          <cell r="J613">
            <v>6.5284209324668343E-4</v>
          </cell>
        </row>
        <row r="614">
          <cell r="A614" t="str">
            <v>RHES-SHELCBR</v>
          </cell>
          <cell r="B614" t="str">
            <v>VAR_ncap</v>
          </cell>
          <cell r="C614" t="str">
            <v>-</v>
          </cell>
          <cell r="H614">
            <v>2.4982985396470901E-6</v>
          </cell>
          <cell r="I614">
            <v>2.1886402261296799E-4</v>
          </cell>
          <cell r="J614">
            <v>1.7885308058897599E-7</v>
          </cell>
        </row>
        <row r="615">
          <cell r="A615" t="str">
            <v>RHES-SHELCBR</v>
          </cell>
          <cell r="B615" t="str">
            <v>VAR_cap</v>
          </cell>
          <cell r="C615" t="str">
            <v>-</v>
          </cell>
          <cell r="H615">
            <v>8.9505237446901864E-4</v>
          </cell>
          <cell r="I615">
            <v>2.2108950323478549E-4</v>
          </cell>
          <cell r="J615">
            <v>4.8599835172354993E-5</v>
          </cell>
        </row>
        <row r="616">
          <cell r="A616" t="str">
            <v>RHSA-WHELCBR</v>
          </cell>
          <cell r="B616" t="str">
            <v>VAR_fout</v>
          </cell>
          <cell r="C616" t="str">
            <v>RHSA-WHAELCB</v>
          </cell>
          <cell r="H616">
            <v>1.9039418306477507</v>
          </cell>
          <cell r="I616">
            <v>1.7476160395707354</v>
          </cell>
          <cell r="J616">
            <v>1.485876388760782</v>
          </cell>
        </row>
        <row r="617">
          <cell r="A617" t="str">
            <v>RHSA-WHELCBR</v>
          </cell>
          <cell r="B617" t="str">
            <v>VAR_fin</v>
          </cell>
          <cell r="C617" t="str">
            <v>RHSA_ELC</v>
          </cell>
          <cell r="H617">
            <v>3.8190509694440684</v>
          </cell>
          <cell r="I617">
            <v>3.4513091400055051</v>
          </cell>
          <cell r="J617">
            <v>2.8602708757608273</v>
          </cell>
        </row>
        <row r="618">
          <cell r="A618" t="str">
            <v>RHSA-WHELCBR</v>
          </cell>
          <cell r="B618" t="str">
            <v>VAR_ncap</v>
          </cell>
          <cell r="C618" t="str">
            <v>-</v>
          </cell>
          <cell r="H618">
            <v>6.3513945258220794E-2</v>
          </cell>
          <cell r="I618">
            <v>5.5412396959889899E-2</v>
          </cell>
          <cell r="J618">
            <v>4.6245876805086003E-2</v>
          </cell>
        </row>
        <row r="619">
          <cell r="A619" t="str">
            <v>RHSA-WHELCBR</v>
          </cell>
          <cell r="B619" t="str">
            <v>VAR_cap</v>
          </cell>
          <cell r="C619" t="str">
            <v>-</v>
          </cell>
          <cell r="H619">
            <v>0.13468649957085099</v>
          </cell>
          <cell r="I619">
            <v>0.11892574051800654</v>
          </cell>
          <cell r="J619">
            <v>0.11332594254229045</v>
          </cell>
        </row>
        <row r="620">
          <cell r="A620" t="str">
            <v>ITOT-SWHLTHDH</v>
          </cell>
          <cell r="B620" t="str">
            <v>VAR_fout</v>
          </cell>
          <cell r="C620" t="str">
            <v>ITOT-SWH</v>
          </cell>
          <cell r="H620">
            <v>6.0837899583720363</v>
          </cell>
          <cell r="I620">
            <v>6.1158511122435089</v>
          </cell>
          <cell r="J620">
            <v>6.5191152402668671</v>
          </cell>
        </row>
        <row r="621">
          <cell r="A621" t="str">
            <v>ITOT-SWHLTHDH</v>
          </cell>
          <cell r="B621" t="str">
            <v>VAR_fin</v>
          </cell>
          <cell r="C621" t="str">
            <v>ITOT_LTH_DH</v>
          </cell>
          <cell r="H621">
            <v>6.4767538808811791</v>
          </cell>
          <cell r="I621">
            <v>6.4767534302022121</v>
          </cell>
          <cell r="J621">
            <v>6.8622265687019635</v>
          </cell>
        </row>
        <row r="622">
          <cell r="A622" t="str">
            <v>ITOT-SWHLTHDH</v>
          </cell>
          <cell r="B622" t="str">
            <v>VAR_fin</v>
          </cell>
          <cell r="C622" t="str">
            <v>ITOTLTHDHC</v>
          </cell>
          <cell r="H622">
            <v>6.0837899583720363</v>
          </cell>
          <cell r="I622">
            <v>6.1158511122435089</v>
          </cell>
          <cell r="J622">
            <v>6.5191152402668671</v>
          </cell>
        </row>
        <row r="623">
          <cell r="A623" t="str">
            <v>ITOT-SWHLTHDH</v>
          </cell>
          <cell r="B623" t="str">
            <v>VAR_ncap</v>
          </cell>
          <cell r="C623" t="str">
            <v>-</v>
          </cell>
          <cell r="H623">
            <v>0.31000039627275</v>
          </cell>
          <cell r="I623">
            <v>0.128809353166429</v>
          </cell>
          <cell r="J623">
            <v>0.253565150996309</v>
          </cell>
        </row>
        <row r="624">
          <cell r="A624" t="str">
            <v>ITOT-SWHLTHDH</v>
          </cell>
          <cell r="B624" t="str">
            <v>VAR_cap</v>
          </cell>
          <cell r="C624" t="str">
            <v>-</v>
          </cell>
          <cell r="H624">
            <v>0.53834973190810298</v>
          </cell>
          <cell r="I624">
            <v>0.44467573160948393</v>
          </cell>
          <cell r="J624">
            <v>0.43874068413877604</v>
          </cell>
        </row>
        <row r="625">
          <cell r="A625" t="str">
            <v>RHES-SHCONBR2</v>
          </cell>
          <cell r="B625" t="str">
            <v>VAR_fout</v>
          </cell>
          <cell r="C625" t="str">
            <v>RHES-SHCON</v>
          </cell>
          <cell r="H625">
            <v>1.4193753761896437</v>
          </cell>
          <cell r="I625">
            <v>2.9189568408791593</v>
          </cell>
          <cell r="J625">
            <v>4.6680774334383637</v>
          </cell>
        </row>
        <row r="626">
          <cell r="A626" t="str">
            <v>RHES-SHCONBR2</v>
          </cell>
          <cell r="B626" t="str">
            <v>VAR_fin</v>
          </cell>
          <cell r="C626" t="str">
            <v>CON</v>
          </cell>
          <cell r="H626">
            <v>1.4193753761896437</v>
          </cell>
          <cell r="I626">
            <v>2.9189568408791593</v>
          </cell>
          <cell r="J626">
            <v>4.6680774334383637</v>
          </cell>
        </row>
        <row r="627">
          <cell r="A627" t="str">
            <v>RHES-SHCONBR2</v>
          </cell>
          <cell r="B627" t="str">
            <v>VAR_ncap</v>
          </cell>
          <cell r="C627" t="str">
            <v>-</v>
          </cell>
          <cell r="H627">
            <v>4.8314395254347199E-2</v>
          </cell>
          <cell r="I627">
            <v>0.121154990735017</v>
          </cell>
          <cell r="J627">
            <v>0.17180050365122401</v>
          </cell>
        </row>
        <row r="628">
          <cell r="A628" t="str">
            <v>RHES-SHCONBR2</v>
          </cell>
          <cell r="B628" t="str">
            <v>VAR_cap</v>
          </cell>
          <cell r="C628" t="str">
            <v>-</v>
          </cell>
          <cell r="H628">
            <v>0.1146809007185204</v>
          </cell>
          <cell r="I628">
            <v>0.23583596260262027</v>
          </cell>
          <cell r="J628">
            <v>0.37712566721505214</v>
          </cell>
        </row>
        <row r="629">
          <cell r="A629" t="str">
            <v>ITOT-SWHCONBR4</v>
          </cell>
          <cell r="B629" t="str">
            <v>VAR_fout</v>
          </cell>
          <cell r="C629" t="str">
            <v>ITOT-ELS</v>
          </cell>
          <cell r="H629">
            <v>0.28729029744428142</v>
          </cell>
          <cell r="I629">
            <v>0.57457417578588155</v>
          </cell>
          <cell r="J629">
            <v>0.57457348321731705</v>
          </cell>
        </row>
        <row r="630">
          <cell r="A630" t="str">
            <v>ITOT-SWHCONBR4</v>
          </cell>
          <cell r="B630" t="str">
            <v>VAR_fout</v>
          </cell>
          <cell r="C630" t="str">
            <v>ITOT-SWHC</v>
          </cell>
          <cell r="H630">
            <v>3.0873762232730608</v>
          </cell>
          <cell r="I630">
            <v>6.1746834634124435</v>
          </cell>
          <cell r="J630">
            <v>6.174676020697742</v>
          </cell>
        </row>
        <row r="631">
          <cell r="A631" t="str">
            <v>ITOT-SWHCONBR4</v>
          </cell>
          <cell r="B631" t="str">
            <v>VAR_fin</v>
          </cell>
          <cell r="C631" t="str">
            <v>CON</v>
          </cell>
          <cell r="H631">
            <v>3.3746665207173399</v>
          </cell>
          <cell r="I631">
            <v>6.7492576391983272</v>
          </cell>
          <cell r="J631">
            <v>6.7492495039150535</v>
          </cell>
        </row>
        <row r="632">
          <cell r="A632" t="str">
            <v>ITOT-SWHCONBR4</v>
          </cell>
          <cell r="B632" t="str">
            <v>VAR_ncap</v>
          </cell>
          <cell r="C632" t="str">
            <v>-</v>
          </cell>
          <cell r="H632">
            <v>0.18352266145108301</v>
          </cell>
          <cell r="I632">
            <v>0.18352280917049901</v>
          </cell>
          <cell r="J632">
            <v>0.156227527992019</v>
          </cell>
        </row>
        <row r="633">
          <cell r="A633" t="str">
            <v>ITOT-SWHCONBR4</v>
          </cell>
          <cell r="B633" t="str">
            <v>VAR_cap</v>
          </cell>
          <cell r="C633" t="str">
            <v>-</v>
          </cell>
          <cell r="H633">
            <v>0.18352266145108301</v>
          </cell>
          <cell r="I633">
            <v>0.36704547062158199</v>
          </cell>
          <cell r="J633">
            <v>0.36704528719701002</v>
          </cell>
        </row>
        <row r="634">
          <cell r="A634" t="str">
            <v>D-ITOT_NKEV_GAS_ELC_CHP</v>
          </cell>
          <cell r="B634" t="str">
            <v>VAR_fout</v>
          </cell>
          <cell r="C634" t="str">
            <v>ITOT_ELC</v>
          </cell>
          <cell r="H634">
            <v>9.0104472643722892E-3</v>
          </cell>
          <cell r="I634">
            <v>4.3572663273881585E-3</v>
          </cell>
          <cell r="J634">
            <v>9.9750853160541322</v>
          </cell>
        </row>
        <row r="635">
          <cell r="A635" t="str">
            <v>D-ITOT_NKEV_GAS_ELC_CHP</v>
          </cell>
          <cell r="B635" t="str">
            <v>VAR_fout</v>
          </cell>
          <cell r="C635" t="str">
            <v>ELC5</v>
          </cell>
          <cell r="H635">
            <v>3.2849366717662108E-3</v>
          </cell>
          <cell r="I635">
            <v>1.5626383522520954E-3</v>
          </cell>
          <cell r="J635">
            <v>0.67877189872896349</v>
          </cell>
        </row>
        <row r="636">
          <cell r="A636" t="str">
            <v>D-ITOT_NKEV_GAS_ELC_CHP</v>
          </cell>
          <cell r="B636" t="str">
            <v>VAR_fin</v>
          </cell>
          <cell r="C636" t="str">
            <v>ITOT_NKEV_GAS_ELC_CHP</v>
          </cell>
          <cell r="H636">
            <v>1.22953839361385E-2</v>
          </cell>
          <cell r="I636">
            <v>5.9199046796402505E-3</v>
          </cell>
          <cell r="J636">
            <v>10.653857214783098</v>
          </cell>
        </row>
        <row r="637">
          <cell r="A637" t="str">
            <v>SCOM-SHELCBR</v>
          </cell>
          <cell r="B637" t="str">
            <v>VAR_fout</v>
          </cell>
          <cell r="C637" t="str">
            <v>SCOM-SHAELCB</v>
          </cell>
          <cell r="H637">
            <v>0.25360230939143152</v>
          </cell>
          <cell r="I637">
            <v>0.20351536333059084</v>
          </cell>
          <cell r="J637">
            <v>0.13632099950344836</v>
          </cell>
        </row>
        <row r="638">
          <cell r="A638" t="str">
            <v>SCOM-SHELCBR</v>
          </cell>
          <cell r="B638" t="str">
            <v>VAR_fin</v>
          </cell>
          <cell r="C638" t="str">
            <v>SCOM_ELC</v>
          </cell>
          <cell r="H638">
            <v>0.49307668588167208</v>
          </cell>
          <cell r="I638">
            <v>0.38881717313339459</v>
          </cell>
          <cell r="J638">
            <v>0.25510318959652623</v>
          </cell>
        </row>
        <row r="639">
          <cell r="A639" t="str">
            <v>SCOM-SHELCBR</v>
          </cell>
          <cell r="B639" t="str">
            <v>VAR_ncap</v>
          </cell>
          <cell r="C639" t="str">
            <v>-</v>
          </cell>
          <cell r="H639">
            <v>1.2201302279140101E-2</v>
          </cell>
          <cell r="I639">
            <v>1.17140476969164E-2</v>
          </cell>
          <cell r="J639">
            <v>7.1494878665932104E-5</v>
          </cell>
        </row>
        <row r="640">
          <cell r="A640" t="str">
            <v>SCOM-SHELCBR</v>
          </cell>
          <cell r="B640" t="str">
            <v>VAR_cap</v>
          </cell>
          <cell r="C640" t="str">
            <v>-</v>
          </cell>
          <cell r="H640">
            <v>2.3110624731041501E-2</v>
          </cell>
          <cell r="I640">
            <v>2.3914580186135174E-2</v>
          </cell>
          <cell r="J640">
            <v>1.3732058843571456E-2</v>
          </cell>
        </row>
        <row r="641">
          <cell r="A641" t="str">
            <v>RHES-SHCONBR3</v>
          </cell>
          <cell r="B641" t="str">
            <v>VAR_fout</v>
          </cell>
          <cell r="C641" t="str">
            <v>RHES-SHCON</v>
          </cell>
          <cell r="H641">
            <v>1.3553632601875343</v>
          </cell>
          <cell r="I641">
            <v>1.3552775219467645</v>
          </cell>
          <cell r="J641">
            <v>3.4138710223076187</v>
          </cell>
        </row>
        <row r="642">
          <cell r="A642" t="str">
            <v>RHES-SHCONBR3</v>
          </cell>
          <cell r="B642" t="str">
            <v>VAR_fin</v>
          </cell>
          <cell r="C642" t="str">
            <v>CON</v>
          </cell>
          <cell r="H642">
            <v>1.3553632601875343</v>
          </cell>
          <cell r="I642">
            <v>1.3552775219467645</v>
          </cell>
          <cell r="J642">
            <v>3.4138710223076187</v>
          </cell>
        </row>
        <row r="643">
          <cell r="A643" t="str">
            <v>RHES-SHCONBR3</v>
          </cell>
          <cell r="B643" t="str">
            <v>VAR_ncap</v>
          </cell>
          <cell r="C643" t="str">
            <v>-</v>
          </cell>
          <cell r="H643">
            <v>6.5818964726987498E-8</v>
          </cell>
          <cell r="I643">
            <v>8.2330033588104502E-8</v>
          </cell>
          <cell r="J643">
            <v>0.21668526346478301</v>
          </cell>
        </row>
        <row r="644">
          <cell r="A644" t="str">
            <v>RHES-SHCONBR3</v>
          </cell>
          <cell r="B644" t="str">
            <v>VAR_cap</v>
          </cell>
          <cell r="C644" t="str">
            <v>-</v>
          </cell>
          <cell r="H644">
            <v>0.10950859044928371</v>
          </cell>
          <cell r="I644">
            <v>0.10950874644845883</v>
          </cell>
          <cell r="J644">
            <v>0.27579856573639688</v>
          </cell>
        </row>
        <row r="645">
          <cell r="A645" t="str">
            <v>ITOT-SWHCONBR5</v>
          </cell>
          <cell r="B645" t="str">
            <v>VAR_fout</v>
          </cell>
          <cell r="C645" t="str">
            <v>ITOT-ELS</v>
          </cell>
          <cell r="H645">
            <v>0.25080368091223454</v>
          </cell>
          <cell r="I645">
            <v>0.50160094924294507</v>
          </cell>
          <cell r="J645">
            <v>0.50159954709171195</v>
          </cell>
        </row>
        <row r="646">
          <cell r="A646" t="str">
            <v>ITOT-SWHCONBR5</v>
          </cell>
          <cell r="B646" t="str">
            <v>VAR_fout</v>
          </cell>
          <cell r="C646" t="str">
            <v>ITOT-SWHC</v>
          </cell>
          <cell r="H646">
            <v>1.2301610750375327</v>
          </cell>
          <cell r="I646">
            <v>2.4602906971547833</v>
          </cell>
          <cell r="J646">
            <v>2.4602838197761852</v>
          </cell>
        </row>
        <row r="647">
          <cell r="A647" t="str">
            <v>ITOT-SWHCONBR5</v>
          </cell>
          <cell r="B647" t="str">
            <v>VAR_fin</v>
          </cell>
          <cell r="C647" t="str">
            <v>CON</v>
          </cell>
          <cell r="H647">
            <v>1.4809647559497672</v>
          </cell>
          <cell r="I647">
            <v>2.9618916463977278</v>
          </cell>
          <cell r="J647">
            <v>2.9618833668678972</v>
          </cell>
        </row>
        <row r="648">
          <cell r="A648" t="str">
            <v>ITOT-SWHCONBR5</v>
          </cell>
          <cell r="B648" t="str">
            <v>VAR_ncap</v>
          </cell>
          <cell r="C648" t="str">
            <v>-</v>
          </cell>
          <cell r="H648">
            <v>8.0538639364530804E-2</v>
          </cell>
          <cell r="I648">
            <v>8.0538771212409099E-2</v>
          </cell>
          <cell r="J648">
            <v>6.85600971195994E-2</v>
          </cell>
        </row>
        <row r="649">
          <cell r="A649" t="str">
            <v>ITOT-SWHCONBR5</v>
          </cell>
          <cell r="B649" t="str">
            <v>VAR_cap</v>
          </cell>
          <cell r="C649" t="str">
            <v>-</v>
          </cell>
          <cell r="H649">
            <v>8.0538639364530804E-2</v>
          </cell>
          <cell r="I649">
            <v>0.16107741057694</v>
          </cell>
          <cell r="J649">
            <v>0.16107719703787299</v>
          </cell>
        </row>
        <row r="650">
          <cell r="A650" t="str">
            <v>RHES-SHSTG-ELC</v>
          </cell>
          <cell r="B650" t="str">
            <v>VAR_fout</v>
          </cell>
          <cell r="C650" t="str">
            <v>RHES-SHAELCB</v>
          </cell>
          <cell r="H650">
            <v>7.4772244553697204E-4</v>
          </cell>
          <cell r="I650">
            <v>1.5485914214661249E-4</v>
          </cell>
          <cell r="J650">
            <v>5.9745535382177554E-5</v>
          </cell>
        </row>
        <row r="651">
          <cell r="A651" t="str">
            <v>RHES-SHSTG-ELC</v>
          </cell>
          <cell r="B651" t="str">
            <v>VAR_fout</v>
          </cell>
          <cell r="C651" t="str">
            <v>AUX_RHES-SHSTG-ELC_OUT</v>
          </cell>
          <cell r="H651">
            <v>7.4847016798250822E-4</v>
          </cell>
          <cell r="I651">
            <v>1.5501400128875909E-4</v>
          </cell>
          <cell r="J651">
            <v>5.9805280917559736E-5</v>
          </cell>
        </row>
        <row r="652">
          <cell r="A652" t="str">
            <v>RHES-SHSTG-ELC</v>
          </cell>
          <cell r="B652" t="str">
            <v>VAR_fin</v>
          </cell>
          <cell r="C652" t="str">
            <v>RHES-SHAELCB</v>
          </cell>
          <cell r="H652">
            <v>7.503258932814495E-4</v>
          </cell>
          <cell r="I652">
            <v>1.5901271140254499E-4</v>
          </cell>
          <cell r="J652">
            <v>6.1855471356816951E-5</v>
          </cell>
        </row>
        <row r="653">
          <cell r="A653" t="str">
            <v>RHES-SHSTG-ELC</v>
          </cell>
          <cell r="B653" t="str">
            <v>VAR_ncap</v>
          </cell>
          <cell r="C653" t="str">
            <v>-</v>
          </cell>
          <cell r="H653">
            <v>2.0833675830840301E-5</v>
          </cell>
          <cell r="I653">
            <v>3.0328305358885599E-5</v>
          </cell>
          <cell r="J653">
            <v>7.2777405096629601E-6</v>
          </cell>
        </row>
        <row r="654">
          <cell r="A654" t="str">
            <v>RHES-SHSTG-ELC</v>
          </cell>
          <cell r="B654" t="str">
            <v>VAR_cap</v>
          </cell>
          <cell r="C654" t="str">
            <v>-</v>
          </cell>
          <cell r="H654">
            <v>1.5747943566250117E-4</v>
          </cell>
          <cell r="I654">
            <v>3.9209956094743602E-5</v>
          </cell>
          <cell r="J654">
            <v>1.7730398789990899E-5</v>
          </cell>
        </row>
        <row r="655">
          <cell r="A655" t="str">
            <v>RHES-SHCONBR4</v>
          </cell>
          <cell r="B655" t="str">
            <v>VAR_fout</v>
          </cell>
          <cell r="C655" t="str">
            <v>RHES-SHCON</v>
          </cell>
          <cell r="H655">
            <v>0.42654307156082311</v>
          </cell>
          <cell r="I655">
            <v>0.42645655522256415</v>
          </cell>
          <cell r="J655">
            <v>0.24667204508919449</v>
          </cell>
        </row>
        <row r="656">
          <cell r="A656" t="str">
            <v>RHES-SHCONBR4</v>
          </cell>
          <cell r="B656" t="str">
            <v>VAR_fin</v>
          </cell>
          <cell r="C656" t="str">
            <v>CON</v>
          </cell>
          <cell r="H656">
            <v>0.42654307156082311</v>
          </cell>
          <cell r="I656">
            <v>0.42645655522256415</v>
          </cell>
          <cell r="J656">
            <v>0.24667204508919449</v>
          </cell>
        </row>
        <row r="657">
          <cell r="A657" t="str">
            <v>RHES-SHCONBR4</v>
          </cell>
          <cell r="B657" t="str">
            <v>VAR_ncap</v>
          </cell>
          <cell r="C657" t="str">
            <v>-</v>
          </cell>
          <cell r="H657">
            <v>4.1245282387199003E-8</v>
          </cell>
          <cell r="I657">
            <v>3.9239373878111501E-8</v>
          </cell>
          <cell r="J657">
            <v>1.80437667488641E-7</v>
          </cell>
        </row>
        <row r="658">
          <cell r="A658" t="str">
            <v>RHES-SHCONBR4</v>
          </cell>
          <cell r="B658" t="str">
            <v>VAR_cap</v>
          </cell>
          <cell r="C658" t="str">
            <v>-</v>
          </cell>
          <cell r="H658">
            <v>3.4470834233981541E-2</v>
          </cell>
          <cell r="I658">
            <v>3.4470921327694491E-2</v>
          </cell>
          <cell r="J658">
            <v>1.9927934660601242E-2</v>
          </cell>
        </row>
        <row r="659">
          <cell r="A659" t="str">
            <v>ITOT-SWHCONBR6</v>
          </cell>
          <cell r="B659" t="str">
            <v>VAR_fout</v>
          </cell>
          <cell r="C659" t="str">
            <v>ITOT-SWHC</v>
          </cell>
          <cell r="I659">
            <v>2.5107401373606497</v>
          </cell>
          <cell r="J659">
            <v>2.5107344447448465</v>
          </cell>
        </row>
        <row r="660">
          <cell r="A660" t="str">
            <v>ITOT-SWHCONBR6</v>
          </cell>
          <cell r="B660" t="str">
            <v>VAR_fin</v>
          </cell>
          <cell r="C660" t="str">
            <v>CON</v>
          </cell>
          <cell r="I660">
            <v>2.5107401373606497</v>
          </cell>
          <cell r="J660">
            <v>2.5107344447448465</v>
          </cell>
        </row>
        <row r="661">
          <cell r="A661" t="str">
            <v>ITOT-SWHCONBR6</v>
          </cell>
          <cell r="B661" t="str">
            <v>VAR_ncap</v>
          </cell>
          <cell r="C661" t="str">
            <v>-</v>
          </cell>
          <cell r="I661">
            <v>0.13654222820960099</v>
          </cell>
          <cell r="J661">
            <v>3.7448906432158202E-2</v>
          </cell>
        </row>
        <row r="662">
          <cell r="A662" t="str">
            <v>ITOT-SWHCONBR6</v>
          </cell>
          <cell r="B662" t="str">
            <v>VAR_cap</v>
          </cell>
          <cell r="C662" t="str">
            <v>-</v>
          </cell>
          <cell r="I662">
            <v>0.13654222820960099</v>
          </cell>
          <cell r="J662">
            <v>0.13654217886855599</v>
          </cell>
        </row>
        <row r="663">
          <cell r="A663" t="str">
            <v>RHNM-SHNGAHP</v>
          </cell>
          <cell r="B663" t="str">
            <v>VAR_fout</v>
          </cell>
          <cell r="C663" t="str">
            <v>CO2_R</v>
          </cell>
          <cell r="H663">
            <v>29.768615336551399</v>
          </cell>
          <cell r="I663">
            <v>33.553896234637101</v>
          </cell>
          <cell r="J663">
            <v>31.501896831699799</v>
          </cell>
        </row>
        <row r="664">
          <cell r="A664" t="str">
            <v>RHNM-SHNGAHP</v>
          </cell>
          <cell r="B664" t="str">
            <v>VAR_fout</v>
          </cell>
          <cell r="C664" t="str">
            <v>RHNM-SHANGAH</v>
          </cell>
          <cell r="H664">
            <v>1.0752104373450124</v>
          </cell>
          <cell r="I664">
            <v>1.2302644786765959</v>
          </cell>
          <cell r="J664">
            <v>1.1790506290606786</v>
          </cell>
        </row>
        <row r="665">
          <cell r="A665" t="str">
            <v>RHNM-SHNGAHP</v>
          </cell>
          <cell r="B665" t="str">
            <v>VAR_fin</v>
          </cell>
          <cell r="C665" t="str">
            <v>RNGA</v>
          </cell>
          <cell r="H665">
            <v>0.52781232866225947</v>
          </cell>
          <cell r="I665">
            <v>0.59492723820278537</v>
          </cell>
          <cell r="J665">
            <v>0.55854427006560003</v>
          </cell>
        </row>
        <row r="666">
          <cell r="A666" t="str">
            <v>RHNM-SHNGAHP</v>
          </cell>
          <cell r="B666" t="str">
            <v>VAR_fin</v>
          </cell>
          <cell r="C666" t="str">
            <v>RHNMELCHPC</v>
          </cell>
          <cell r="H666">
            <v>1.0752104373450124</v>
          </cell>
          <cell r="I666">
            <v>1.2302644786765959</v>
          </cell>
          <cell r="J666">
            <v>1.1790506290606786</v>
          </cell>
        </row>
        <row r="667">
          <cell r="A667" t="str">
            <v>RHNM-SHNGAHP</v>
          </cell>
          <cell r="B667" t="str">
            <v>VAR_ncap</v>
          </cell>
          <cell r="C667" t="str">
            <v>-</v>
          </cell>
          <cell r="H667">
            <v>3.2752156973768203E-2</v>
          </cell>
          <cell r="I667">
            <v>4.1683736864413998E-2</v>
          </cell>
          <cell r="J667">
            <v>4.7430561906031503E-2</v>
          </cell>
        </row>
        <row r="668">
          <cell r="A668" t="str">
            <v>RHNM-SHNGAHP</v>
          </cell>
          <cell r="B668" t="str">
            <v>VAR_cap</v>
          </cell>
          <cell r="C668" t="str">
            <v>-</v>
          </cell>
          <cell r="H668">
            <v>8.3517119324336267E-2</v>
          </cell>
          <cell r="I668">
            <v>9.7265892746193794E-2</v>
          </cell>
          <cell r="J668">
            <v>9.1535671823213607E-2</v>
          </cell>
        </row>
        <row r="669">
          <cell r="A669" t="str">
            <v>D-SCOM_KEV_WOD_ELC_CHP</v>
          </cell>
          <cell r="B669" t="str">
            <v>VAR_fout</v>
          </cell>
          <cell r="C669" t="str">
            <v>ELC5</v>
          </cell>
          <cell r="H669">
            <v>2.4699008788698262E-4</v>
          </cell>
          <cell r="I669">
            <v>3.2521729515202894E-4</v>
          </cell>
          <cell r="J669">
            <v>1.4395144855575243E-4</v>
          </cell>
        </row>
        <row r="670">
          <cell r="A670" t="str">
            <v>D-SCOM_KEV_WOD_ELC_CHP</v>
          </cell>
          <cell r="B670" t="str">
            <v>VAR_fout</v>
          </cell>
          <cell r="C670" t="str">
            <v>SCOM_ELC</v>
          </cell>
          <cell r="H670">
            <v>3.1327166873741636E-4</v>
          </cell>
          <cell r="I670">
            <v>5.2418054390500747E-4</v>
          </cell>
          <cell r="J670">
            <v>1.9363189193868127E-4</v>
          </cell>
        </row>
        <row r="671">
          <cell r="A671" t="str">
            <v>D-SCOM_KEV_WOD_ELC_CHP</v>
          </cell>
          <cell r="B671" t="str">
            <v>VAR_fin</v>
          </cell>
          <cell r="C671" t="str">
            <v>SCOM_KEV_WOD_ELC_CHP</v>
          </cell>
          <cell r="H671">
            <v>5.439219047829036E-4</v>
          </cell>
          <cell r="I671">
            <v>8.2929920637987156E-4</v>
          </cell>
          <cell r="J671">
            <v>3.2450910070303972E-4</v>
          </cell>
        </row>
        <row r="672">
          <cell r="A672" t="str">
            <v>RHES-SHCONBR5</v>
          </cell>
          <cell r="B672" t="str">
            <v>VAR_fout</v>
          </cell>
          <cell r="C672" t="str">
            <v>RHES-SHCON</v>
          </cell>
          <cell r="H672">
            <v>0.14348400206352555</v>
          </cell>
          <cell r="I672">
            <v>0.14339870827192061</v>
          </cell>
          <cell r="J672">
            <v>8.3028784174307688E-2</v>
          </cell>
        </row>
        <row r="673">
          <cell r="A673" t="str">
            <v>RHES-SHCONBR5</v>
          </cell>
          <cell r="B673" t="str">
            <v>VAR_fin</v>
          </cell>
          <cell r="C673" t="str">
            <v>CON</v>
          </cell>
          <cell r="H673">
            <v>0.14348400206352555</v>
          </cell>
          <cell r="I673">
            <v>0.14339870827192061</v>
          </cell>
          <cell r="J673">
            <v>8.3028784174307688E-2</v>
          </cell>
        </row>
        <row r="674">
          <cell r="A674" t="str">
            <v>RHES-SHCONBR5</v>
          </cell>
          <cell r="B674" t="str">
            <v>VAR_ncap</v>
          </cell>
          <cell r="C674" t="str">
            <v>-</v>
          </cell>
          <cell r="H674">
            <v>2.3822587929631701E-8</v>
          </cell>
          <cell r="I674">
            <v>2.1821162802608802E-8</v>
          </cell>
          <cell r="J674">
            <v>4.7204790984011103E-8</v>
          </cell>
        </row>
        <row r="675">
          <cell r="A675" t="str">
            <v>RHES-SHCONBR5</v>
          </cell>
          <cell r="B675" t="str">
            <v>VAR_cap</v>
          </cell>
          <cell r="C675" t="str">
            <v>-</v>
          </cell>
          <cell r="H675">
            <v>1.1602220622144782E-2</v>
          </cell>
          <cell r="I675">
            <v>1.1602288099766904E-2</v>
          </cell>
          <cell r="J675">
            <v>6.7074084481814353E-3</v>
          </cell>
        </row>
        <row r="676">
          <cell r="A676" t="str">
            <v>RHNS-SHCONBR</v>
          </cell>
          <cell r="B676" t="str">
            <v>VAR_fout</v>
          </cell>
          <cell r="C676" t="str">
            <v>RHNS-SHCON</v>
          </cell>
          <cell r="H676">
            <v>1.3116986525373811E-3</v>
          </cell>
          <cell r="I676">
            <v>3.8383694716004712E-3</v>
          </cell>
          <cell r="J676">
            <v>3.8048721560258077E-3</v>
          </cell>
        </row>
        <row r="677">
          <cell r="A677" t="str">
            <v>RHNS-SHCONBR</v>
          </cell>
          <cell r="B677" t="str">
            <v>VAR_fin</v>
          </cell>
          <cell r="C677" t="str">
            <v>CON</v>
          </cell>
          <cell r="H677">
            <v>1.3116986525373811E-3</v>
          </cell>
          <cell r="I677">
            <v>3.8383694716004712E-3</v>
          </cell>
          <cell r="J677">
            <v>3.8048721560258077E-3</v>
          </cell>
        </row>
        <row r="678">
          <cell r="A678" t="str">
            <v>RHNS-SHCONBR</v>
          </cell>
          <cell r="B678" t="str">
            <v>VAR_ncap</v>
          </cell>
          <cell r="C678" t="str">
            <v>-</v>
          </cell>
          <cell r="H678">
            <v>1.6670329213914801E-5</v>
          </cell>
          <cell r="I678">
            <v>1.83523287388177E-4</v>
          </cell>
          <cell r="J678">
            <v>2.8357318538634699E-8</v>
          </cell>
        </row>
        <row r="679">
          <cell r="A679" t="str">
            <v>RHNS-SHCONBR</v>
          </cell>
          <cell r="B679" t="str">
            <v>VAR_cap</v>
          </cell>
          <cell r="C679" t="str">
            <v>-</v>
          </cell>
          <cell r="H679">
            <v>9.2036895773161997E-5</v>
          </cell>
          <cell r="I679">
            <v>2.7557951194080862E-4</v>
          </cell>
          <cell r="J679">
            <v>2.7566258351933201E-4</v>
          </cell>
        </row>
        <row r="680">
          <cell r="A680" t="str">
            <v>D-RHEM_SOLELC</v>
          </cell>
          <cell r="B680" t="str">
            <v>VAR_fout</v>
          </cell>
          <cell r="C680" t="str">
            <v>ELC5</v>
          </cell>
          <cell r="H680">
            <v>8.9967476062578983E-4</v>
          </cell>
          <cell r="I680">
            <v>6.9109360998754511E-4</v>
          </cell>
          <cell r="J680">
            <v>4.1684245025700828E-4</v>
          </cell>
        </row>
        <row r="681">
          <cell r="A681" t="str">
            <v>D-RHEM_SOLELC</v>
          </cell>
          <cell r="B681" t="str">
            <v>VAR_fout</v>
          </cell>
          <cell r="C681" t="str">
            <v>RHEM_ELC</v>
          </cell>
          <cell r="H681">
            <v>2.0475838604372134</v>
          </cell>
          <cell r="I681">
            <v>2.1523035956577843</v>
          </cell>
          <cell r="J681">
            <v>2.3778681141136855</v>
          </cell>
        </row>
        <row r="682">
          <cell r="A682" t="str">
            <v>D-RHEM_SOLELC</v>
          </cell>
          <cell r="B682" t="str">
            <v>VAR_fin</v>
          </cell>
          <cell r="C682" t="str">
            <v>RHEM_SOL_ELC</v>
          </cell>
          <cell r="H682">
            <v>2.0484835351978403</v>
          </cell>
          <cell r="I682">
            <v>2.1529946892677736</v>
          </cell>
          <cell r="J682">
            <v>2.3782849565639443</v>
          </cell>
        </row>
        <row r="683">
          <cell r="A683" t="str">
            <v>ITOT-SWHCONBR7</v>
          </cell>
          <cell r="B683" t="str">
            <v>VAR_fout</v>
          </cell>
          <cell r="C683" t="str">
            <v>ITOT-ELS</v>
          </cell>
          <cell r="J683">
            <v>0.40454381430893255</v>
          </cell>
        </row>
        <row r="684">
          <cell r="A684" t="str">
            <v>ITOT-SWHCONBR7</v>
          </cell>
          <cell r="B684" t="str">
            <v>VAR_fout</v>
          </cell>
          <cell r="C684" t="str">
            <v>ITOT-SWHC</v>
          </cell>
          <cell r="J684">
            <v>7.0543400118706148E-2</v>
          </cell>
        </row>
        <row r="685">
          <cell r="A685" t="str">
            <v>ITOT-SWHCONBR7</v>
          </cell>
          <cell r="B685" t="str">
            <v>VAR_fin</v>
          </cell>
          <cell r="C685" t="str">
            <v>CON</v>
          </cell>
          <cell r="J685">
            <v>0.47508721442763907</v>
          </cell>
        </row>
        <row r="686">
          <cell r="A686" t="str">
            <v>ITOT-SWHCONBR7</v>
          </cell>
          <cell r="B686" t="str">
            <v>VAR_ncap</v>
          </cell>
          <cell r="C686" t="str">
            <v>-</v>
          </cell>
          <cell r="J686">
            <v>2.5837214767562299E-2</v>
          </cell>
        </row>
        <row r="687">
          <cell r="A687" t="str">
            <v>ITOT-SWHCONBR7</v>
          </cell>
          <cell r="B687" t="str">
            <v>VAR_cap</v>
          </cell>
          <cell r="C687" t="str">
            <v>-</v>
          </cell>
          <cell r="J687">
            <v>2.5837214767562299E-2</v>
          </cell>
        </row>
        <row r="688">
          <cell r="A688" t="str">
            <v>RHNS-SHSTG-ELCHP</v>
          </cell>
          <cell r="B688" t="str">
            <v>VAR_fout</v>
          </cell>
          <cell r="C688" t="str">
            <v>RHNS-SHAELCH</v>
          </cell>
          <cell r="H688">
            <v>0.27924064038165208</v>
          </cell>
          <cell r="I688">
            <v>0.33157955330579275</v>
          </cell>
          <cell r="J688">
            <v>0.36502019908049543</v>
          </cell>
        </row>
        <row r="689">
          <cell r="A689" t="str">
            <v>RHNS-SHSTG-ELCHP</v>
          </cell>
          <cell r="B689" t="str">
            <v>VAR_fout</v>
          </cell>
          <cell r="C689" t="str">
            <v>AUX_RHNS-SHSTG-ELCHP_OUT</v>
          </cell>
          <cell r="H689">
            <v>0.27951988102203368</v>
          </cell>
          <cell r="I689">
            <v>0.33191113285909846</v>
          </cell>
          <cell r="J689">
            <v>0.36538521927957579</v>
          </cell>
        </row>
        <row r="690">
          <cell r="A690" t="str">
            <v>RHNS-SHSTG-ELCHP</v>
          </cell>
          <cell r="B690" t="str">
            <v>VAR_fin</v>
          </cell>
          <cell r="C690" t="str">
            <v>RHNS-SHAELCH</v>
          </cell>
          <cell r="H690">
            <v>0.27924965555982073</v>
          </cell>
          <cell r="I690">
            <v>0.33159135254844013</v>
          </cell>
          <cell r="J690">
            <v>0.36503418080794942</v>
          </cell>
        </row>
        <row r="691">
          <cell r="A691" t="str">
            <v>RHNS-SHSTG-ELCHP</v>
          </cell>
          <cell r="B691" t="str">
            <v>VAR_ncap</v>
          </cell>
          <cell r="C691" t="str">
            <v>-</v>
          </cell>
          <cell r="H691">
            <v>1.15920778698632E-2</v>
          </cell>
          <cell r="I691">
            <v>1.8975515681786199E-2</v>
          </cell>
          <cell r="J691">
            <v>2.3567560517946201E-2</v>
          </cell>
        </row>
        <row r="692">
          <cell r="A692" t="str">
            <v>RHNS-SHSTG-ELCHP</v>
          </cell>
          <cell r="B692" t="str">
            <v>VAR_cap</v>
          </cell>
          <cell r="C692" t="str">
            <v>-</v>
          </cell>
          <cell r="H692">
            <v>3.4055399450495592E-2</v>
          </cell>
          <cell r="I692">
            <v>3.8823602514090449E-2</v>
          </cell>
          <cell r="J692">
            <v>4.2209043463025474E-2</v>
          </cell>
        </row>
        <row r="693">
          <cell r="A693" t="str">
            <v>RHNS-SHSOLBR</v>
          </cell>
          <cell r="B693" t="str">
            <v>VAR_fout</v>
          </cell>
          <cell r="C693" t="str">
            <v>RHNS-SHASOL</v>
          </cell>
          <cell r="H693">
            <v>9.6794942513626263E-4</v>
          </cell>
          <cell r="I693">
            <v>1.2139974121466671E-3</v>
          </cell>
          <cell r="J693">
            <v>2.1995811040564457E-3</v>
          </cell>
        </row>
        <row r="694">
          <cell r="A694" t="str">
            <v>RHNS-SHSOLBR</v>
          </cell>
          <cell r="B694" t="str">
            <v>VAR_fin</v>
          </cell>
          <cell r="C694" t="str">
            <v>SOL</v>
          </cell>
          <cell r="H694">
            <v>9.6794942513626263E-4</v>
          </cell>
          <cell r="I694">
            <v>1.2139974121466671E-3</v>
          </cell>
          <cell r="J694">
            <v>2.1995811040564457E-3</v>
          </cell>
        </row>
        <row r="695">
          <cell r="A695" t="str">
            <v>RHNS-SHSOLBR</v>
          </cell>
          <cell r="B695" t="str">
            <v>VAR_ncap</v>
          </cell>
          <cell r="C695" t="str">
            <v>-</v>
          </cell>
          <cell r="H695">
            <v>3.9994221214522601E-5</v>
          </cell>
          <cell r="I695">
            <v>2.1682817842238301E-4</v>
          </cell>
          <cell r="J695">
            <v>1.80236227335887E-4</v>
          </cell>
        </row>
        <row r="696">
          <cell r="A696" t="str">
            <v>RHNS-SHSOLBR</v>
          </cell>
          <cell r="B696" t="str">
            <v>VAR_cap</v>
          </cell>
          <cell r="C696" t="str">
            <v>-</v>
          </cell>
          <cell r="H696">
            <v>8.3664003600551285E-4</v>
          </cell>
          <cell r="I696">
            <v>2.6081704417496728E-4</v>
          </cell>
          <cell r="J696">
            <v>3.5434150384878999E-4</v>
          </cell>
        </row>
        <row r="697">
          <cell r="A697" t="str">
            <v>RHES-SHPLTBR</v>
          </cell>
          <cell r="B697" t="str">
            <v>VAR_fout</v>
          </cell>
          <cell r="C697" t="str">
            <v>RHES-SHPLT</v>
          </cell>
          <cell r="H697">
            <v>1.0187213572290688E-2</v>
          </cell>
          <cell r="I697">
            <v>7.8235167784707713E-3</v>
          </cell>
          <cell r="J697">
            <v>3.5737163689136078E-3</v>
          </cell>
        </row>
        <row r="698">
          <cell r="A698" t="str">
            <v>RHES-SHPLTBR</v>
          </cell>
          <cell r="B698" t="str">
            <v>VAR_fin</v>
          </cell>
          <cell r="C698" t="str">
            <v>RPLT</v>
          </cell>
          <cell r="H698">
            <v>1.4008376423805242E-2</v>
          </cell>
          <cell r="I698">
            <v>1.0758071106791504E-2</v>
          </cell>
          <cell r="J698">
            <v>4.6928016822331189E-3</v>
          </cell>
        </row>
        <row r="699">
          <cell r="A699" t="str">
            <v>RHES-SHPLTBR</v>
          </cell>
          <cell r="B699" t="str">
            <v>VAR_ncap</v>
          </cell>
          <cell r="C699" t="str">
            <v>-</v>
          </cell>
          <cell r="H699">
            <v>1.9879150978393E-5</v>
          </cell>
          <cell r="I699">
            <v>6.2015491335657997E-4</v>
          </cell>
          <cell r="J699">
            <v>4.5680475951581098E-8</v>
          </cell>
        </row>
        <row r="700">
          <cell r="A700" t="str">
            <v>RHES-SHPLTBR</v>
          </cell>
          <cell r="B700" t="str">
            <v>VAR_cap</v>
          </cell>
          <cell r="C700" t="str">
            <v>-</v>
          </cell>
          <cell r="H700">
            <v>9.2946690044599239E-4</v>
          </cell>
          <cell r="I700">
            <v>6.4007278130864462E-4</v>
          </cell>
          <cell r="J700">
            <v>4.4999333167609017E-4</v>
          </cell>
        </row>
        <row r="701">
          <cell r="A701" t="str">
            <v>RHES-SHCONBR6</v>
          </cell>
          <cell r="B701" t="str">
            <v>VAR_fout</v>
          </cell>
          <cell r="C701" t="str">
            <v>RHES-SHCON</v>
          </cell>
          <cell r="H701">
            <v>2.3215598215076415E-4</v>
          </cell>
          <cell r="I701">
            <v>2.2241748861719142E-4</v>
          </cell>
          <cell r="J701">
            <v>1.55975573493073E-4</v>
          </cell>
        </row>
        <row r="702">
          <cell r="A702" t="str">
            <v>RHES-SHCONBR6</v>
          </cell>
          <cell r="B702" t="str">
            <v>VAR_fin</v>
          </cell>
          <cell r="C702" t="str">
            <v>CON</v>
          </cell>
          <cell r="H702">
            <v>2.3215598215076415E-4</v>
          </cell>
          <cell r="I702">
            <v>2.2241748861719142E-4</v>
          </cell>
          <cell r="J702">
            <v>1.55975573493073E-4</v>
          </cell>
        </row>
        <row r="703">
          <cell r="A703" t="str">
            <v>RHES-SHCONBR6</v>
          </cell>
          <cell r="B703" t="str">
            <v>VAR_ncap</v>
          </cell>
          <cell r="C703" t="str">
            <v>-</v>
          </cell>
          <cell r="H703">
            <v>1.8943311188304E-8</v>
          </cell>
          <cell r="I703">
            <v>1.7343000704601801E-8</v>
          </cell>
          <cell r="J703">
            <v>2.94035357711405E-8</v>
          </cell>
        </row>
        <row r="704">
          <cell r="A704" t="str">
            <v>RHES-SHCONBR6</v>
          </cell>
          <cell r="B704" t="str">
            <v>VAR_cap</v>
          </cell>
          <cell r="C704" t="str">
            <v>-</v>
          </cell>
          <cell r="H704">
            <v>1.8795122915800519E-5</v>
          </cell>
          <cell r="I704">
            <v>1.8816455014510374E-5</v>
          </cell>
          <cell r="J704">
            <v>1.0963505789617662E-5</v>
          </cell>
        </row>
        <row r="705">
          <cell r="A705" t="str">
            <v>RHSA-WHPLTBR</v>
          </cell>
          <cell r="B705" t="str">
            <v>VAR_fout</v>
          </cell>
          <cell r="C705" t="str">
            <v>RHSA-WHPLT</v>
          </cell>
          <cell r="H705">
            <v>2.8457238734112267E-2</v>
          </cell>
          <cell r="I705">
            <v>2.2599685870068161E-2</v>
          </cell>
          <cell r="J705">
            <v>8.8141596035851595E-3</v>
          </cell>
        </row>
        <row r="706">
          <cell r="A706" t="str">
            <v>RHSA-WHPLTBR</v>
          </cell>
          <cell r="B706" t="str">
            <v>VAR_fin</v>
          </cell>
          <cell r="C706" t="str">
            <v>RPLT</v>
          </cell>
          <cell r="H706">
            <v>6.3220312244978177E-2</v>
          </cell>
          <cell r="I706">
            <v>4.9113463116858436E-2</v>
          </cell>
          <cell r="J706">
            <v>1.7719113942441047E-2</v>
          </cell>
        </row>
        <row r="707">
          <cell r="A707" t="str">
            <v>RHSA-WHPLTBR</v>
          </cell>
          <cell r="B707" t="str">
            <v>VAR_ncap</v>
          </cell>
          <cell r="C707" t="str">
            <v>-</v>
          </cell>
          <cell r="H707">
            <v>1.0135975274595799E-3</v>
          </cell>
          <cell r="I707">
            <v>5.3676321680719296E-4</v>
          </cell>
          <cell r="J707">
            <v>9.2672687004719497E-8</v>
          </cell>
        </row>
        <row r="708">
          <cell r="A708" t="str">
            <v>RHSA-WHPLTBR</v>
          </cell>
          <cell r="B708" t="str">
            <v>VAR_cap</v>
          </cell>
          <cell r="C708" t="str">
            <v>-</v>
          </cell>
          <cell r="H708">
            <v>2.2370100525925898E-3</v>
          </cell>
          <cell r="I708">
            <v>1.5504098885198848E-3</v>
          </cell>
          <cell r="J708">
            <v>8.0870467592613813E-4</v>
          </cell>
        </row>
        <row r="709">
          <cell r="A709" t="str">
            <v>ITOT-SWHCONBR8</v>
          </cell>
          <cell r="B709" t="str">
            <v>VAR_fout</v>
          </cell>
          <cell r="C709" t="str">
            <v>ITOT-ELS</v>
          </cell>
          <cell r="J709">
            <v>0.54255309958434395</v>
          </cell>
        </row>
        <row r="710">
          <cell r="A710" t="str">
            <v>ITOT-SWHCONBR8</v>
          </cell>
          <cell r="B710" t="str">
            <v>VAR_fout</v>
          </cell>
          <cell r="C710" t="str">
            <v>ITOT-SWHC</v>
          </cell>
          <cell r="J710">
            <v>2.0948087665841268</v>
          </cell>
        </row>
        <row r="711">
          <cell r="A711" t="str">
            <v>ITOT-SWHCONBR8</v>
          </cell>
          <cell r="B711" t="str">
            <v>VAR_fin</v>
          </cell>
          <cell r="C711" t="str">
            <v>CON</v>
          </cell>
          <cell r="J711">
            <v>2.637361866168471</v>
          </cell>
        </row>
        <row r="712">
          <cell r="A712" t="str">
            <v>ITOT-SWHCONBR8</v>
          </cell>
          <cell r="B712" t="str">
            <v>VAR_ncap</v>
          </cell>
          <cell r="C712" t="str">
            <v>-</v>
          </cell>
          <cell r="J712">
            <v>0.14342916449090201</v>
          </cell>
        </row>
        <row r="713">
          <cell r="A713" t="str">
            <v>ITOT-SWHCONBR8</v>
          </cell>
          <cell r="B713" t="str">
            <v>VAR_cap</v>
          </cell>
          <cell r="C713" t="str">
            <v>-</v>
          </cell>
          <cell r="J713">
            <v>0.14342916449090201</v>
          </cell>
        </row>
        <row r="714">
          <cell r="A714" t="str">
            <v>D-SCOM_KEV_HFC_ELC_CHP</v>
          </cell>
          <cell r="B714" t="str">
            <v>VAR_fout</v>
          </cell>
          <cell r="C714" t="str">
            <v>ELC5</v>
          </cell>
          <cell r="H714">
            <v>3.6617813609325005E-4</v>
          </cell>
          <cell r="I714">
            <v>2.4526871566416084E-4</v>
          </cell>
          <cell r="J714">
            <v>3.7167917393948578E-4</v>
          </cell>
        </row>
        <row r="715">
          <cell r="A715" t="str">
            <v>D-SCOM_KEV_HFC_ELC_CHP</v>
          </cell>
          <cell r="B715" t="str">
            <v>VAR_fout</v>
          </cell>
          <cell r="C715" t="str">
            <v>SCOM_ELC</v>
          </cell>
          <cell r="H715">
            <v>5.3644557342156932E-4</v>
          </cell>
          <cell r="I715">
            <v>3.3515843194501291E-4</v>
          </cell>
          <cell r="J715">
            <v>2.9053314587426664E-3</v>
          </cell>
        </row>
        <row r="716">
          <cell r="A716" t="str">
            <v>D-SCOM_KEV_HFC_ELC_CHP</v>
          </cell>
          <cell r="B716" t="str">
            <v>VAR_fin</v>
          </cell>
          <cell r="C716" t="str">
            <v>SCOM_KEV_HFC_ELC_CHP</v>
          </cell>
          <cell r="H716">
            <v>8.8437472070754827E-4</v>
          </cell>
          <cell r="I716">
            <v>5.6197626396081203E-4</v>
          </cell>
          <cell r="J716">
            <v>3.2641521350283086E-3</v>
          </cell>
        </row>
        <row r="717">
          <cell r="A717" t="str">
            <v>D-EH2R</v>
          </cell>
          <cell r="B717" t="str">
            <v>VAR_fout</v>
          </cell>
          <cell r="C717" t="str">
            <v>EH2</v>
          </cell>
          <cell r="I717">
            <v>3.6763794411528183E-3</v>
          </cell>
          <cell r="J717">
            <v>3.2619960726803086E-2</v>
          </cell>
        </row>
        <row r="718">
          <cell r="A718" t="str">
            <v>D-EH2R</v>
          </cell>
          <cell r="B718" t="str">
            <v>VAR_fin</v>
          </cell>
          <cell r="C718" t="str">
            <v>H2</v>
          </cell>
          <cell r="I718">
            <v>3.6763794411528183E-3</v>
          </cell>
          <cell r="J718">
            <v>3.2619960726803086E-2</v>
          </cell>
        </row>
        <row r="719">
          <cell r="A719" t="str">
            <v>D-EH2R</v>
          </cell>
          <cell r="B719" t="str">
            <v>VAR_ncap</v>
          </cell>
          <cell r="C719" t="str">
            <v>-</v>
          </cell>
          <cell r="H719">
            <v>8.7271573716147703E-7</v>
          </cell>
          <cell r="I719">
            <v>5.7817043222964002E-4</v>
          </cell>
          <cell r="J719">
            <v>1.6664841543386701E-3</v>
          </cell>
        </row>
        <row r="720">
          <cell r="A720" t="str">
            <v>D-EH2R</v>
          </cell>
          <cell r="B720" t="str">
            <v>VAR_cap</v>
          </cell>
          <cell r="C720" t="str">
            <v>-</v>
          </cell>
          <cell r="H720">
            <v>8.7271573716147703E-7</v>
          </cell>
          <cell r="I720">
            <v>5.7832500931946705E-4</v>
          </cell>
          <cell r="J720">
            <v>1.8645198116166799E-3</v>
          </cell>
        </row>
        <row r="721">
          <cell r="A721" t="str">
            <v>SCOM-ELCSPECADV</v>
          </cell>
          <cell r="B721" t="str">
            <v>VAR_fout</v>
          </cell>
          <cell r="C721" t="str">
            <v>SCOM-ELS</v>
          </cell>
          <cell r="H721">
            <v>14.686407424907044</v>
          </cell>
          <cell r="I721">
            <v>20.438232963449444</v>
          </cell>
          <cell r="J721">
            <v>27.194093321699849</v>
          </cell>
        </row>
        <row r="722">
          <cell r="A722" t="str">
            <v>SCOM-ELCSPECADV</v>
          </cell>
          <cell r="B722" t="str">
            <v>VAR_fin</v>
          </cell>
          <cell r="C722" t="str">
            <v>SCOM_ELC</v>
          </cell>
          <cell r="H722">
            <v>9.7909382832713554</v>
          </cell>
          <cell r="I722">
            <v>13.625488642299617</v>
          </cell>
          <cell r="J722">
            <v>18.129395547799895</v>
          </cell>
        </row>
        <row r="723">
          <cell r="A723" t="str">
            <v>SCOM-ELCSPECADV</v>
          </cell>
          <cell r="B723" t="str">
            <v>VAR_ncap</v>
          </cell>
          <cell r="C723" t="str">
            <v>-</v>
          </cell>
          <cell r="H723">
            <v>0.59574186830110698</v>
          </cell>
          <cell r="I723">
            <v>0.60796412833067204</v>
          </cell>
          <cell r="J723">
            <v>1.0461943344554701</v>
          </cell>
        </row>
        <row r="724">
          <cell r="A724" t="str">
            <v>SCOM-ELCSPECADV</v>
          </cell>
          <cell r="B724" t="str">
            <v>VAR_cap</v>
          </cell>
          <cell r="C724" t="str">
            <v>-</v>
          </cell>
          <cell r="H724">
            <v>1.5523426001445717</v>
          </cell>
          <cell r="I724">
            <v>2.1603066710947636</v>
          </cell>
          <cell r="J724">
            <v>2.8743965396571323</v>
          </cell>
        </row>
        <row r="725">
          <cell r="A725" t="str">
            <v>RHSA-WHLTHRD</v>
          </cell>
          <cell r="B725" t="str">
            <v>VAR_fout</v>
          </cell>
          <cell r="C725" t="str">
            <v>RHSA-WHLTHRD</v>
          </cell>
          <cell r="H725">
            <v>2.5472514356954457</v>
          </cell>
          <cell r="I725">
            <v>2.9715392438020642</v>
          </cell>
          <cell r="J725">
            <v>3.0478890928555784</v>
          </cell>
        </row>
        <row r="726">
          <cell r="A726" t="str">
            <v>RHSA-WHLTHRD</v>
          </cell>
          <cell r="B726" t="str">
            <v>VAR_fin</v>
          </cell>
          <cell r="C726" t="str">
            <v>RHSA_LTH</v>
          </cell>
          <cell r="H726">
            <v>4.4605957999576482</v>
          </cell>
          <cell r="I726">
            <v>5.1503622606049708</v>
          </cell>
          <cell r="J726">
            <v>5.1922623287602088</v>
          </cell>
        </row>
        <row r="727">
          <cell r="A727" t="str">
            <v>RHSA-WHLTHRD</v>
          </cell>
          <cell r="B727" t="str">
            <v>VAR_ncap</v>
          </cell>
          <cell r="C727" t="str">
            <v>-</v>
          </cell>
          <cell r="H727">
            <v>9.5977158019139294E-2</v>
          </cell>
          <cell r="I727">
            <v>6.5671801894584797E-2</v>
          </cell>
          <cell r="J727">
            <v>6.9118255184468499E-2</v>
          </cell>
        </row>
        <row r="728">
          <cell r="A728" t="str">
            <v>RHSA-WHLTHRD</v>
          </cell>
          <cell r="B728" t="str">
            <v>VAR_cap</v>
          </cell>
          <cell r="C728" t="str">
            <v>-</v>
          </cell>
          <cell r="H728">
            <v>0.26634360488148801</v>
          </cell>
          <cell r="I728">
            <v>0.28248664633642195</v>
          </cell>
          <cell r="J728">
            <v>0.29965803597164603</v>
          </cell>
        </row>
        <row r="729">
          <cell r="A729" t="str">
            <v>RHES-SHCONBR7</v>
          </cell>
          <cell r="B729" t="str">
            <v>VAR_fout</v>
          </cell>
          <cell r="C729" t="str">
            <v>RHES-SHCON</v>
          </cell>
          <cell r="H729">
            <v>2.1659608015193316E-4</v>
          </cell>
          <cell r="I729">
            <v>2.0705831917085314E-4</v>
          </cell>
          <cell r="J729">
            <v>1.4588039318113287E-4</v>
          </cell>
        </row>
        <row r="730">
          <cell r="A730" t="str">
            <v>RHES-SHCONBR7</v>
          </cell>
          <cell r="B730" t="str">
            <v>VAR_fin</v>
          </cell>
          <cell r="C730" t="str">
            <v>CON</v>
          </cell>
          <cell r="H730">
            <v>2.1659608015193316E-4</v>
          </cell>
          <cell r="I730">
            <v>2.0705831917085314E-4</v>
          </cell>
          <cell r="J730">
            <v>1.4588039318113287E-4</v>
          </cell>
        </row>
        <row r="731">
          <cell r="A731" t="str">
            <v>RHES-SHCONBR7</v>
          </cell>
          <cell r="B731" t="str">
            <v>VAR_ncap</v>
          </cell>
          <cell r="C731" t="str">
            <v>-</v>
          </cell>
          <cell r="H731">
            <v>1.8660464587509201E-8</v>
          </cell>
          <cell r="I731">
            <v>1.7128528831755801E-8</v>
          </cell>
          <cell r="J731">
            <v>2.8911013309778601E-8</v>
          </cell>
        </row>
        <row r="732">
          <cell r="A732" t="str">
            <v>RHES-SHCONBR7</v>
          </cell>
          <cell r="B732" t="str">
            <v>VAR_cap</v>
          </cell>
          <cell r="C732" t="str">
            <v>-</v>
          </cell>
          <cell r="H732">
            <v>1.7310255145517424E-5</v>
          </cell>
          <cell r="I732">
            <v>1.7330538406721216E-5</v>
          </cell>
          <cell r="J732">
            <v>1.0103047024441463E-5</v>
          </cell>
        </row>
        <row r="733">
          <cell r="A733" t="str">
            <v>ITOT-SWHCONBR9</v>
          </cell>
          <cell r="B733" t="str">
            <v>VAR_fout</v>
          </cell>
          <cell r="C733" t="str">
            <v>ITOT-ELS</v>
          </cell>
          <cell r="J733">
            <v>6.0405504426179905E-5</v>
          </cell>
        </row>
        <row r="734">
          <cell r="A734" t="str">
            <v>ITOT-SWHCONBR9</v>
          </cell>
          <cell r="B734" t="str">
            <v>VAR_fout</v>
          </cell>
          <cell r="C734" t="str">
            <v>ITOT-SWHC</v>
          </cell>
          <cell r="J734">
            <v>3.5059318755106318E-4</v>
          </cell>
        </row>
        <row r="735">
          <cell r="A735" t="str">
            <v>ITOT-SWHCONBR9</v>
          </cell>
          <cell r="B735" t="str">
            <v>VAR_fin</v>
          </cell>
          <cell r="C735" t="str">
            <v>CON</v>
          </cell>
          <cell r="J735">
            <v>4.1099869197724301E-4</v>
          </cell>
        </row>
        <row r="736">
          <cell r="A736" t="str">
            <v>ITOT-SWHCONBR9</v>
          </cell>
          <cell r="B736" t="str">
            <v>VAR_ncap</v>
          </cell>
          <cell r="C736" t="str">
            <v>-</v>
          </cell>
          <cell r="J736">
            <v>2.1199063508362399E-5</v>
          </cell>
        </row>
        <row r="737">
          <cell r="A737" t="str">
            <v>ITOT-SWHCONBR9</v>
          </cell>
          <cell r="B737" t="str">
            <v>VAR_cap</v>
          </cell>
          <cell r="C737" t="str">
            <v>-</v>
          </cell>
          <cell r="J737">
            <v>2.1199063508362399E-5</v>
          </cell>
        </row>
        <row r="738">
          <cell r="A738" t="str">
            <v>SCOM-SHPLTBR</v>
          </cell>
          <cell r="B738" t="str">
            <v>VAR_fout</v>
          </cell>
          <cell r="C738" t="str">
            <v>SCOM-SHPLT</v>
          </cell>
          <cell r="H738">
            <v>0.12994536537116361</v>
          </cell>
          <cell r="I738">
            <v>8.3034316768547972E-2</v>
          </cell>
          <cell r="J738">
            <v>2.7989923074063096E-2</v>
          </cell>
        </row>
        <row r="739">
          <cell r="A739" t="str">
            <v>SCOM-SHPLTBR</v>
          </cell>
          <cell r="B739" t="str">
            <v>VAR_fin</v>
          </cell>
          <cell r="C739" t="str">
            <v>SCOMPLTBRC</v>
          </cell>
          <cell r="H739">
            <v>0.12994536537116361</v>
          </cell>
          <cell r="I739">
            <v>8.3034316768547972E-2</v>
          </cell>
          <cell r="J739">
            <v>2.7989923074063096E-2</v>
          </cell>
        </row>
        <row r="740">
          <cell r="A740" t="str">
            <v>SCOM-SHPLTBR</v>
          </cell>
          <cell r="B740" t="str">
            <v>VAR_fin</v>
          </cell>
          <cell r="C740" t="str">
            <v>SPLT</v>
          </cell>
          <cell r="H740">
            <v>0.19842300619504027</v>
          </cell>
          <cell r="I740">
            <v>0.12679112258837641</v>
          </cell>
          <cell r="J740">
            <v>4.0572822894145814E-2</v>
          </cell>
        </row>
        <row r="741">
          <cell r="A741" t="str">
            <v>SCOM-SHPLTBR</v>
          </cell>
          <cell r="B741" t="str">
            <v>VAR_ncap</v>
          </cell>
          <cell r="C741" t="str">
            <v>-</v>
          </cell>
          <cell r="H741">
            <v>3.7256088013655599E-3</v>
          </cell>
          <cell r="I741">
            <v>2.7715979320397698E-3</v>
          </cell>
          <cell r="J741">
            <v>1.9648906822122101E-7</v>
          </cell>
        </row>
        <row r="742">
          <cell r="A742" t="str">
            <v>SCOM-SHPLTBR</v>
          </cell>
          <cell r="B742" t="str">
            <v>VAR_cap</v>
          </cell>
          <cell r="C742" t="str">
            <v>-</v>
          </cell>
          <cell r="H742">
            <v>1.5318384725292303E-2</v>
          </cell>
          <cell r="I742">
            <v>6.4973525789254506E-3</v>
          </cell>
          <cell r="J742">
            <v>3.5854043921470023E-3</v>
          </cell>
        </row>
        <row r="743">
          <cell r="A743" t="str">
            <v>ITOT-SWHELCHP</v>
          </cell>
          <cell r="B743" t="str">
            <v>VAR_fout</v>
          </cell>
          <cell r="C743" t="str">
            <v>ITOT-SWHAELCH</v>
          </cell>
          <cell r="H743">
            <v>7.097161527006274</v>
          </cell>
          <cell r="I743">
            <v>7.0982784524061033</v>
          </cell>
          <cell r="J743">
            <v>7.0982777959077517</v>
          </cell>
        </row>
        <row r="744">
          <cell r="A744" t="str">
            <v>ITOT-SWHELCHP</v>
          </cell>
          <cell r="B744" t="str">
            <v>VAR_fin</v>
          </cell>
          <cell r="C744" t="str">
            <v>ITOT_ELC</v>
          </cell>
          <cell r="H744">
            <v>2.173603055666113</v>
          </cell>
          <cell r="I744">
            <v>2.1338238611815834</v>
          </cell>
          <cell r="J744">
            <v>2.057865736439207</v>
          </cell>
        </row>
        <row r="745">
          <cell r="A745" t="str">
            <v>ITOT-SWHELCHP</v>
          </cell>
          <cell r="B745" t="str">
            <v>VAR_fin</v>
          </cell>
          <cell r="C745" t="str">
            <v>ITOTELCHPC</v>
          </cell>
          <cell r="H745">
            <v>7.097161527006274</v>
          </cell>
          <cell r="I745">
            <v>7.0982784524061033</v>
          </cell>
          <cell r="J745">
            <v>7.0982777959077517</v>
          </cell>
        </row>
        <row r="746">
          <cell r="A746" t="str">
            <v>ITOT-SWHELCHP</v>
          </cell>
          <cell r="B746" t="str">
            <v>VAR_ncap</v>
          </cell>
          <cell r="C746" t="str">
            <v>-</v>
          </cell>
          <cell r="H746">
            <v>0.24467032104351799</v>
          </cell>
          <cell r="I746">
            <v>6.1379664740209797E-2</v>
          </cell>
          <cell r="J746">
            <v>0.241071271590451</v>
          </cell>
        </row>
        <row r="747">
          <cell r="A747" t="str">
            <v>ITOT-SWHELCHP</v>
          </cell>
          <cell r="B747" t="str">
            <v>VAR_cap</v>
          </cell>
          <cell r="C747" t="str">
            <v>-</v>
          </cell>
          <cell r="H747">
            <v>0.38696062399169173</v>
          </cell>
          <cell r="I747">
            <v>0.38682665645214109</v>
          </cell>
          <cell r="J747">
            <v>0.38910967731552404</v>
          </cell>
        </row>
        <row r="748">
          <cell r="A748" t="str">
            <v>RHES-SHCONBR8</v>
          </cell>
          <cell r="B748" t="str">
            <v>VAR_fout</v>
          </cell>
          <cell r="C748" t="str">
            <v>RHES-SHCON</v>
          </cell>
          <cell r="H748">
            <v>5.0608531220445949E-5</v>
          </cell>
          <cell r="I748">
            <v>3.9162972665567761E-5</v>
          </cell>
          <cell r="J748">
            <v>2.9342816227936231E-5</v>
          </cell>
        </row>
        <row r="749">
          <cell r="A749" t="str">
            <v>RHES-SHCONBR8</v>
          </cell>
          <cell r="B749" t="str">
            <v>VAR_fin</v>
          </cell>
          <cell r="C749" t="str">
            <v>CON</v>
          </cell>
          <cell r="H749">
            <v>5.0608531220445949E-5</v>
          </cell>
          <cell r="I749">
            <v>3.9162972665567761E-5</v>
          </cell>
          <cell r="J749">
            <v>2.9342816227936231E-5</v>
          </cell>
        </row>
        <row r="750">
          <cell r="A750" t="str">
            <v>RHES-SHCONBR8</v>
          </cell>
          <cell r="B750" t="str">
            <v>VAR_ncap</v>
          </cell>
          <cell r="C750" t="str">
            <v>-</v>
          </cell>
          <cell r="H750">
            <v>1.06100382241387E-8</v>
          </cell>
          <cell r="I750">
            <v>1.00694586935122E-8</v>
          </cell>
          <cell r="J750">
            <v>1.4540090454779701E-8</v>
          </cell>
        </row>
        <row r="751">
          <cell r="A751" t="str">
            <v>RHES-SHCONBR8</v>
          </cell>
          <cell r="B751" t="str">
            <v>VAR_cap</v>
          </cell>
          <cell r="C751" t="str">
            <v>-</v>
          </cell>
          <cell r="H751">
            <v>1.68166653006092E-8</v>
          </cell>
          <cell r="I751">
            <v>2.7532101442525402E-8</v>
          </cell>
          <cell r="J751">
            <v>6.5536491809739602E-8</v>
          </cell>
        </row>
        <row r="752">
          <cell r="A752" t="str">
            <v>RHEM-SHWODBR</v>
          </cell>
          <cell r="B752" t="str">
            <v>VAR_fout</v>
          </cell>
          <cell r="C752" t="str">
            <v>RHEM-SHWOD</v>
          </cell>
          <cell r="H752">
            <v>2.8187685517036694</v>
          </cell>
          <cell r="I752">
            <v>1.9695410934699049</v>
          </cell>
          <cell r="J752">
            <v>0.74144465738599463</v>
          </cell>
        </row>
        <row r="753">
          <cell r="A753" t="str">
            <v>RHEM-SHWODBR</v>
          </cell>
          <cell r="B753" t="str">
            <v>VAR_fin</v>
          </cell>
          <cell r="C753" t="str">
            <v>RHEMWODBRC</v>
          </cell>
          <cell r="H753">
            <v>2.8187685517036694</v>
          </cell>
          <cell r="I753">
            <v>1.9695410934699049</v>
          </cell>
          <cell r="J753">
            <v>0.74144465738599463</v>
          </cell>
        </row>
        <row r="754">
          <cell r="A754" t="str">
            <v>RHEM-SHWODBR</v>
          </cell>
          <cell r="B754" t="str">
            <v>VAR_fin</v>
          </cell>
          <cell r="C754" t="str">
            <v>RWOD</v>
          </cell>
          <cell r="H754">
            <v>3.9045084799132921</v>
          </cell>
          <cell r="I754">
            <v>2.728173583582461</v>
          </cell>
          <cell r="J754">
            <v>0.99046285166733272</v>
          </cell>
        </row>
        <row r="755">
          <cell r="A755" t="str">
            <v>RHEM-SHWODBR</v>
          </cell>
          <cell r="B755" t="str">
            <v>VAR_ncap</v>
          </cell>
          <cell r="C755" t="str">
            <v>-</v>
          </cell>
          <cell r="H755">
            <v>0.12998591649771399</v>
          </cell>
          <cell r="I755">
            <v>9.3665676325844893E-3</v>
          </cell>
          <cell r="J755">
            <v>1.20961157644976E-7</v>
          </cell>
        </row>
        <row r="756">
          <cell r="A756" t="str">
            <v>RHEM-SHWODBR</v>
          </cell>
          <cell r="B756" t="str">
            <v>VAR_cap</v>
          </cell>
          <cell r="C756" t="str">
            <v>-</v>
          </cell>
          <cell r="H756">
            <v>0.21187673742787835</v>
          </cell>
          <cell r="I756">
            <v>0.13935265739701286</v>
          </cell>
          <cell r="J756">
            <v>6.1744011028812627E-2</v>
          </cell>
        </row>
        <row r="757">
          <cell r="A757" t="str">
            <v>RHES-SHCONBR9</v>
          </cell>
          <cell r="B757" t="str">
            <v>VAR_fout</v>
          </cell>
          <cell r="C757" t="str">
            <v>RHES-SHCON</v>
          </cell>
          <cell r="H757">
            <v>5.032888929578659E-5</v>
          </cell>
          <cell r="I757">
            <v>3.8390923684697262E-5</v>
          </cell>
          <cell r="J757">
            <v>2.8597380938950154E-5</v>
          </cell>
        </row>
        <row r="758">
          <cell r="A758" t="str">
            <v>RHES-SHCONBR9</v>
          </cell>
          <cell r="B758" t="str">
            <v>VAR_fin</v>
          </cell>
          <cell r="C758" t="str">
            <v>CON</v>
          </cell>
          <cell r="H758">
            <v>5.032888929578659E-5</v>
          </cell>
          <cell r="I758">
            <v>3.8390923684697262E-5</v>
          </cell>
          <cell r="J758">
            <v>2.8597380938950154E-5</v>
          </cell>
        </row>
        <row r="759">
          <cell r="A759" t="str">
            <v>RHES-SHCONBR9</v>
          </cell>
          <cell r="B759" t="str">
            <v>VAR_cap</v>
          </cell>
          <cell r="C759" t="str">
            <v>-</v>
          </cell>
          <cell r="H759">
            <v>-5.4797660932040998E-8</v>
          </cell>
          <cell r="I759">
            <v>-5.4044081559933903E-8</v>
          </cell>
          <cell r="J759">
            <v>-1.59694759025624E-8</v>
          </cell>
        </row>
        <row r="760">
          <cell r="A760" t="str">
            <v>D-RHNS_LTH_CHPNGA</v>
          </cell>
          <cell r="B760" t="str">
            <v>VAR_fout</v>
          </cell>
          <cell r="C760" t="str">
            <v>RHSA_LTH</v>
          </cell>
          <cell r="H760">
            <v>3.0420900016969749E-3</v>
          </cell>
          <cell r="I760">
            <v>2.58653356883405E-3</v>
          </cell>
          <cell r="J760">
            <v>2.1177539430757781E-3</v>
          </cell>
        </row>
        <row r="761">
          <cell r="A761" t="str">
            <v>D-RHNS_LTH_CHPNGA</v>
          </cell>
          <cell r="B761" t="str">
            <v>VAR_fout</v>
          </cell>
          <cell r="C761" t="str">
            <v>LTH</v>
          </cell>
          <cell r="H761">
            <v>1.7539525796261372E-6</v>
          </cell>
          <cell r="I761">
            <v>3.9056778001953568E-6</v>
          </cell>
          <cell r="J761">
            <v>4.098764414838895E-6</v>
          </cell>
        </row>
        <row r="762">
          <cell r="A762" t="str">
            <v>D-RHNS_LTH_CHPNGA</v>
          </cell>
          <cell r="B762" t="str">
            <v>VAR_fout</v>
          </cell>
          <cell r="C762" t="str">
            <v>RHNS_LTH_CHPNGA_ON</v>
          </cell>
        </row>
        <row r="763">
          <cell r="A763" t="str">
            <v>D-RHNS_LTH_CHPNGA</v>
          </cell>
          <cell r="B763" t="str">
            <v>VAR_fin</v>
          </cell>
          <cell r="C763" t="str">
            <v>RHNS_LTH_CHPNGA</v>
          </cell>
          <cell r="H763">
            <v>3.0450963791414133E-3</v>
          </cell>
          <cell r="I763">
            <v>2.5909064833123611E-3</v>
          </cell>
          <cell r="J763">
            <v>2.1222324258929753E-3</v>
          </cell>
        </row>
        <row r="764">
          <cell r="A764" t="str">
            <v>D-SLFO</v>
          </cell>
          <cell r="B764" t="str">
            <v>VAR_fout</v>
          </cell>
          <cell r="C764" t="str">
            <v>CO2</v>
          </cell>
          <cell r="H764">
            <v>645.70208204840901</v>
          </cell>
          <cell r="I764">
            <v>213.59300732036201</v>
          </cell>
          <cell r="J764">
            <v>8.42084874162047E-4</v>
          </cell>
        </row>
        <row r="765">
          <cell r="A765" t="str">
            <v>D-SLFO</v>
          </cell>
          <cell r="B765" t="str">
            <v>VAR_fout</v>
          </cell>
          <cell r="C765" t="str">
            <v>SLFO</v>
          </cell>
          <cell r="H765">
            <v>8.6154645435408028</v>
          </cell>
          <cell r="I765">
            <v>2.8501330970032779</v>
          </cell>
          <cell r="J765">
            <v>0.22129871543060523</v>
          </cell>
        </row>
        <row r="766">
          <cell r="A766" t="str">
            <v>D-SLFO</v>
          </cell>
          <cell r="B766" t="str">
            <v>VAR_fin</v>
          </cell>
          <cell r="C766" t="str">
            <v>LFO</v>
          </cell>
          <cell r="H766">
            <v>8.7612222801683739</v>
          </cell>
          <cell r="I766">
            <v>2.8981412119452106</v>
          </cell>
          <cell r="J766">
            <v>1.1425846325129549E-5</v>
          </cell>
        </row>
        <row r="767">
          <cell r="A767" t="str">
            <v>D-SLFO</v>
          </cell>
          <cell r="B767" t="str">
            <v>VAR_fin</v>
          </cell>
          <cell r="C767" t="str">
            <v>BDS</v>
          </cell>
          <cell r="H767">
            <v>5.750387385941838E-4</v>
          </cell>
          <cell r="I767">
            <v>4.0166273109127102E-4</v>
          </cell>
          <cell r="J767">
            <v>0.22504808372640048</v>
          </cell>
        </row>
        <row r="768">
          <cell r="A768" t="str">
            <v>D-RCOA</v>
          </cell>
          <cell r="B768" t="str">
            <v>VAR_fout</v>
          </cell>
          <cell r="C768" t="str">
            <v>CO2</v>
          </cell>
        </row>
        <row r="769">
          <cell r="A769" t="str">
            <v>D-RCOA</v>
          </cell>
          <cell r="B769" t="str">
            <v>VAR_fout</v>
          </cell>
          <cell r="C769" t="str">
            <v>RCOA</v>
          </cell>
        </row>
        <row r="770">
          <cell r="A770" t="str">
            <v>D-RCOA</v>
          </cell>
          <cell r="B770" t="str">
            <v>VAR_fin</v>
          </cell>
          <cell r="C770" t="str">
            <v>COA</v>
          </cell>
        </row>
        <row r="771">
          <cell r="A771" t="str">
            <v>SCOM-ELCSPECDC</v>
          </cell>
          <cell r="B771" t="str">
            <v>VAR_fout</v>
          </cell>
          <cell r="C771" t="str">
            <v>SCOM-ELSDC</v>
          </cell>
          <cell r="H771">
            <v>12.333442194503997</v>
          </cell>
          <cell r="I771">
            <v>11.696184964413611</v>
          </cell>
          <cell r="J771">
            <v>9.8633769704631185</v>
          </cell>
        </row>
        <row r="772">
          <cell r="A772" t="str">
            <v>SCOM-ELCSPECDC</v>
          </cell>
          <cell r="B772" t="str">
            <v>VAR_fin</v>
          </cell>
          <cell r="C772" t="str">
            <v>SCOM_ELC</v>
          </cell>
          <cell r="H772">
            <v>12.333442194503997</v>
          </cell>
          <cell r="I772">
            <v>11.696184964413611</v>
          </cell>
          <cell r="J772">
            <v>9.8633769704631185</v>
          </cell>
        </row>
        <row r="773">
          <cell r="A773" t="str">
            <v>D-RHEM_KEV_WOD_ELC_CHP</v>
          </cell>
          <cell r="B773" t="str">
            <v>VAR_fout</v>
          </cell>
          <cell r="C773" t="str">
            <v>ELC5</v>
          </cell>
          <cell r="H773">
            <v>9.520702271676926E-4</v>
          </cell>
          <cell r="I773">
            <v>1.0678866544542266E-3</v>
          </cell>
          <cell r="J773">
            <v>6.1491269713148536E-4</v>
          </cell>
        </row>
        <row r="774">
          <cell r="A774" t="str">
            <v>D-RHEM_KEV_WOD_ELC_CHP</v>
          </cell>
          <cell r="B774" t="str">
            <v>VAR_fout</v>
          </cell>
          <cell r="C774" t="str">
            <v>RHEM_ELC</v>
          </cell>
          <cell r="H774">
            <v>1.6945040262690319E-2</v>
          </cell>
          <cell r="I774">
            <v>0.47053778257476586</v>
          </cell>
          <cell r="J774">
            <v>0.27131917670545436</v>
          </cell>
        </row>
        <row r="775">
          <cell r="A775" t="str">
            <v>D-RHEM_KEV_WOD_ELC_CHP</v>
          </cell>
          <cell r="B775" t="str">
            <v>VAR_fin</v>
          </cell>
          <cell r="C775" t="str">
            <v>RHEM_KEV_WOD_ELC_CHP</v>
          </cell>
          <cell r="H775">
            <v>1.7883724167029436E-2</v>
          </cell>
          <cell r="I775">
            <v>0.47159809445006495</v>
          </cell>
          <cell r="J775">
            <v>0.27192853554728014</v>
          </cell>
        </row>
        <row r="776">
          <cell r="A776" t="str">
            <v>RHES-SHSTG-SOL</v>
          </cell>
          <cell r="B776" t="str">
            <v>VAR_fout</v>
          </cell>
          <cell r="C776" t="str">
            <v>AUX_RHES-SHSTG-SOL_OUT</v>
          </cell>
          <cell r="H776">
            <v>1.0380516922803826E-2</v>
          </cell>
          <cell r="I776">
            <v>5.1377645426677254E-3</v>
          </cell>
          <cell r="J776">
            <v>4.8013145804969076E-3</v>
          </cell>
        </row>
        <row r="777">
          <cell r="A777" t="str">
            <v>RHES-SHSTG-SOL</v>
          </cell>
          <cell r="B777" t="str">
            <v>VAR_fout</v>
          </cell>
          <cell r="C777" t="str">
            <v>RHES-SHASOL</v>
          </cell>
          <cell r="H777">
            <v>1.0370146776027806E-2</v>
          </cell>
          <cell r="I777">
            <v>5.132631910756965E-3</v>
          </cell>
          <cell r="J777">
            <v>4.7965180624344687E-3</v>
          </cell>
        </row>
        <row r="778">
          <cell r="A778" t="str">
            <v>RHES-SHSTG-SOL</v>
          </cell>
          <cell r="B778" t="str">
            <v>VAR_fin</v>
          </cell>
          <cell r="C778" t="str">
            <v>RHES-SHASOL</v>
          </cell>
          <cell r="H778">
            <v>1.037328818152723E-2</v>
          </cell>
          <cell r="I778">
            <v>5.1336281013628767E-3</v>
          </cell>
          <cell r="J778">
            <v>4.7994369850761628E-3</v>
          </cell>
        </row>
        <row r="779">
          <cell r="A779" t="str">
            <v>RHES-SHSTG-SOL</v>
          </cell>
          <cell r="B779" t="str">
            <v>VAR_ncap</v>
          </cell>
          <cell r="C779" t="str">
            <v>-</v>
          </cell>
          <cell r="H779">
            <v>3.5572240172870802E-4</v>
          </cell>
          <cell r="I779">
            <v>4.5750266123114502E-4</v>
          </cell>
          <cell r="J779">
            <v>3.0839177112670701E-4</v>
          </cell>
        </row>
        <row r="780">
          <cell r="A780" t="str">
            <v>RHES-SHSTG-SOL</v>
          </cell>
          <cell r="B780" t="str">
            <v>VAR_cap</v>
          </cell>
          <cell r="C780" t="str">
            <v>-</v>
          </cell>
          <cell r="H780">
            <v>3.26971334475558E-3</v>
          </cell>
          <cell r="I780">
            <v>8.1345640750207597E-4</v>
          </cell>
          <cell r="J780">
            <v>7.9088546293877798E-4</v>
          </cell>
        </row>
        <row r="781">
          <cell r="A781" t="str">
            <v>D-ITOT_LTH</v>
          </cell>
          <cell r="B781" t="str">
            <v>VAR_fout</v>
          </cell>
          <cell r="C781" t="str">
            <v>ITOT_LTH_DH</v>
          </cell>
          <cell r="H781">
            <v>6.4767538808811791</v>
          </cell>
          <cell r="I781">
            <v>6.4767534302022121</v>
          </cell>
          <cell r="J781">
            <v>7.7120040306706912</v>
          </cell>
        </row>
        <row r="782">
          <cell r="A782" t="str">
            <v>D-ITOT_LTH</v>
          </cell>
          <cell r="B782" t="str">
            <v>VAR_fin</v>
          </cell>
          <cell r="C782" t="str">
            <v>LTH</v>
          </cell>
          <cell r="H782">
            <v>7.0271913666235708</v>
          </cell>
          <cell r="I782">
            <v>7.0225846958930278</v>
          </cell>
          <cell r="J782">
            <v>8.3509887790561805</v>
          </cell>
        </row>
        <row r="783">
          <cell r="A783" t="str">
            <v>D-ITOT_LTH</v>
          </cell>
          <cell r="B783" t="str">
            <v>VAR_ncap</v>
          </cell>
          <cell r="C783" t="str">
            <v>-</v>
          </cell>
          <cell r="H783">
            <v>6.3958544571578505E-8</v>
          </cell>
          <cell r="I783">
            <v>6.5028384247279406E-8</v>
          </cell>
          <cell r="J783">
            <v>9.6034594589358797E-8</v>
          </cell>
        </row>
        <row r="784">
          <cell r="A784" t="str">
            <v>D-ITOT_LTH</v>
          </cell>
          <cell r="B784" t="str">
            <v>VAR_cap</v>
          </cell>
          <cell r="C784" t="str">
            <v>-</v>
          </cell>
          <cell r="H784">
            <v>0.795472618966925</v>
          </cell>
          <cell r="I784">
            <v>0.79547268399530902</v>
          </cell>
          <cell r="J784">
            <v>0.79547278002990396</v>
          </cell>
        </row>
        <row r="785">
          <cell r="A785" t="str">
            <v>D-IH2</v>
          </cell>
          <cell r="B785" t="str">
            <v>VAR_fout</v>
          </cell>
          <cell r="C785" t="str">
            <v>IH2</v>
          </cell>
          <cell r="H785">
            <v>3.9093913980875666E-2</v>
          </cell>
          <cell r="I785">
            <v>1.0938979748829576</v>
          </cell>
          <cell r="J785">
            <v>1.0461022671862306</v>
          </cell>
        </row>
        <row r="786">
          <cell r="A786" t="str">
            <v>D-IH2</v>
          </cell>
          <cell r="B786" t="str">
            <v>VAR_fin</v>
          </cell>
          <cell r="C786" t="str">
            <v>H2</v>
          </cell>
          <cell r="H786">
            <v>3.9391746586738142E-2</v>
          </cell>
          <cell r="I786">
            <v>1.1022317141081066</v>
          </cell>
          <cell r="J786">
            <v>1.0540718801645332</v>
          </cell>
        </row>
        <row r="787">
          <cell r="A787" t="str">
            <v>D-IH2</v>
          </cell>
          <cell r="B787" t="str">
            <v>VAR_ncap</v>
          </cell>
          <cell r="C787" t="str">
            <v>-</v>
          </cell>
          <cell r="H787">
            <v>2.78306879591271E-3</v>
          </cell>
          <cell r="I787">
            <v>4.6817264842041101E-2</v>
          </cell>
          <cell r="J787">
            <v>5.5663382329344503E-6</v>
          </cell>
        </row>
        <row r="788">
          <cell r="A788" t="str">
            <v>D-IH2</v>
          </cell>
          <cell r="B788" t="str">
            <v>VAR_cap</v>
          </cell>
          <cell r="C788" t="str">
            <v>-</v>
          </cell>
          <cell r="H788">
            <v>2.7836265858403298E-3</v>
          </cell>
          <cell r="I788">
            <v>4.9600891427881398E-2</v>
          </cell>
          <cell r="J788">
            <v>4.9606457766114297E-2</v>
          </cell>
        </row>
        <row r="789">
          <cell r="A789" t="str">
            <v>D-RHNM_LTH_CHPWOD</v>
          </cell>
          <cell r="B789" t="str">
            <v>VAR_fout</v>
          </cell>
          <cell r="C789" t="str">
            <v>RHNM_LTH_CHPWOD_ON</v>
          </cell>
          <cell r="H789">
            <v>3.0912896720633996E-2</v>
          </cell>
          <cell r="J789">
            <v>0.69609166122874577</v>
          </cell>
        </row>
        <row r="790">
          <cell r="A790" t="str">
            <v>D-RHNM_LTH_CHPWOD</v>
          </cell>
          <cell r="B790" t="str">
            <v>VAR_fout</v>
          </cell>
          <cell r="C790" t="str">
            <v>RHSA_LTH</v>
          </cell>
          <cell r="H790">
            <v>1.5907222792964595E-2</v>
          </cell>
          <cell r="I790">
            <v>1.2513751376666473</v>
          </cell>
          <cell r="J790">
            <v>2.7780644048461603E-2</v>
          </cell>
        </row>
        <row r="791">
          <cell r="A791" t="str">
            <v>D-RHNM_LTH_CHPWOD</v>
          </cell>
          <cell r="B791" t="str">
            <v>VAR_fout</v>
          </cell>
          <cell r="C791" t="str">
            <v>LTH</v>
          </cell>
          <cell r="H791">
            <v>3.8408230295399425E-5</v>
          </cell>
          <cell r="I791">
            <v>2.5654802836756595E-3</v>
          </cell>
          <cell r="J791">
            <v>5.3584314045379241E-4</v>
          </cell>
        </row>
        <row r="792">
          <cell r="A792" t="str">
            <v>D-RHNM_LTH_CHPWOD</v>
          </cell>
          <cell r="B792" t="str">
            <v>VAR_fin</v>
          </cell>
          <cell r="C792" t="str">
            <v>RHNM_LTH_CHPWOD</v>
          </cell>
          <cell r="H792">
            <v>4.685908251145831E-2</v>
          </cell>
          <cell r="I792">
            <v>1.2539406179503234</v>
          </cell>
          <cell r="J792">
            <v>0.7244081484176611</v>
          </cell>
        </row>
        <row r="793">
          <cell r="A793" t="str">
            <v>RHNS-SHWODBR</v>
          </cell>
          <cell r="B793" t="str">
            <v>VAR_fout</v>
          </cell>
          <cell r="C793" t="str">
            <v>RHNS-SHWOD</v>
          </cell>
        </row>
        <row r="794">
          <cell r="A794" t="str">
            <v>RHNS-SHWODBR</v>
          </cell>
          <cell r="B794" t="str">
            <v>VAR_fin</v>
          </cell>
          <cell r="C794" t="str">
            <v>RHNSWODBRC</v>
          </cell>
        </row>
        <row r="795">
          <cell r="A795" t="str">
            <v>RHNS-SHWODBR</v>
          </cell>
          <cell r="B795" t="str">
            <v>VAR_fin</v>
          </cell>
          <cell r="C795" t="str">
            <v>RWOD</v>
          </cell>
        </row>
        <row r="796">
          <cell r="A796" t="str">
            <v>RHNS-SHWODBR</v>
          </cell>
          <cell r="B796" t="str">
            <v>VAR_ncap</v>
          </cell>
          <cell r="C796" t="str">
            <v>-</v>
          </cell>
          <cell r="H796">
            <v>2.0255975201591999E-7</v>
          </cell>
        </row>
        <row r="797">
          <cell r="A797" t="str">
            <v>RHNS-SHWODBR</v>
          </cell>
          <cell r="B797" t="str">
            <v>VAR_cap</v>
          </cell>
          <cell r="C797" t="str">
            <v>-</v>
          </cell>
          <cell r="H797">
            <v>1.768056106725706E-5</v>
          </cell>
          <cell r="I797">
            <v>5.915913282105803E-8</v>
          </cell>
          <cell r="J797">
            <v>4.2037003525256492E-8</v>
          </cell>
        </row>
        <row r="798">
          <cell r="A798" t="str">
            <v>D-RHNM_NKEV_GAS_ELC_CHP</v>
          </cell>
          <cell r="B798" t="str">
            <v>VAR_fout</v>
          </cell>
          <cell r="C798" t="str">
            <v>ELC5</v>
          </cell>
          <cell r="H798">
            <v>1.480434795755987E-3</v>
          </cell>
          <cell r="I798">
            <v>9.0737049442719451E-4</v>
          </cell>
          <cell r="J798">
            <v>6.7457627334484695E-4</v>
          </cell>
        </row>
        <row r="799">
          <cell r="A799" t="str">
            <v>D-RHNM_NKEV_GAS_ELC_CHP</v>
          </cell>
          <cell r="B799" t="str">
            <v>VAR_fout</v>
          </cell>
          <cell r="C799" t="str">
            <v>RHNM_ELC</v>
          </cell>
          <cell r="H799">
            <v>1.0653269470034543</v>
          </cell>
          <cell r="I799">
            <v>0.9037574235922361</v>
          </cell>
          <cell r="J799">
            <v>1.1491629547154922</v>
          </cell>
        </row>
        <row r="800">
          <cell r="A800" t="str">
            <v>D-RHNM_NKEV_GAS_ELC_CHP</v>
          </cell>
          <cell r="B800" t="str">
            <v>VAR_fin</v>
          </cell>
          <cell r="C800" t="str">
            <v>RHNM_NKEV_GAS_ELC_CHP</v>
          </cell>
          <cell r="H800">
            <v>1.0668073817992103</v>
          </cell>
          <cell r="I800">
            <v>0.90466479408666323</v>
          </cell>
          <cell r="J800">
            <v>1.1498375309888378</v>
          </cell>
        </row>
        <row r="801">
          <cell r="A801" t="str">
            <v>D-RLFO</v>
          </cell>
          <cell r="B801" t="str">
            <v>VAR_fout</v>
          </cell>
          <cell r="C801" t="str">
            <v>CO2</v>
          </cell>
          <cell r="H801">
            <v>1014.28236865424</v>
          </cell>
          <cell r="I801">
            <v>289.956146555749</v>
          </cell>
          <cell r="J801">
            <v>1.0175866800104501E-3</v>
          </cell>
        </row>
        <row r="802">
          <cell r="A802" t="str">
            <v>D-RLFO</v>
          </cell>
          <cell r="B802" t="str">
            <v>VAR_fout</v>
          </cell>
          <cell r="C802" t="str">
            <v>RLFO</v>
          </cell>
          <cell r="H802">
            <v>13.533031132533418</v>
          </cell>
          <cell r="I802">
            <v>3.8689681627654897</v>
          </cell>
          <cell r="J802">
            <v>0.43241631703443489</v>
          </cell>
        </row>
        <row r="803">
          <cell r="A803" t="str">
            <v>D-RLFO</v>
          </cell>
          <cell r="B803" t="str">
            <v>VAR_fin</v>
          </cell>
          <cell r="C803" t="str">
            <v>LFO</v>
          </cell>
          <cell r="H803">
            <v>13.762311650668114</v>
          </cell>
          <cell r="I803">
            <v>3.9342760726695905</v>
          </cell>
          <cell r="J803">
            <v>1.3807146268798456E-5</v>
          </cell>
        </row>
        <row r="804">
          <cell r="A804" t="str">
            <v>D-RLFO</v>
          </cell>
          <cell r="B804" t="str">
            <v>VAR_fin</v>
          </cell>
          <cell r="C804" t="str">
            <v>BDS</v>
          </cell>
          <cell r="H804">
            <v>5.7586825187272699E-4</v>
          </cell>
          <cell r="I804">
            <v>4.0595922493051595E-4</v>
          </cell>
          <cell r="J804">
            <v>0.43975355921697296</v>
          </cell>
        </row>
        <row r="805">
          <cell r="A805" t="str">
            <v>D-SCOM_LTH_CHPBIO</v>
          </cell>
          <cell r="B805" t="str">
            <v>VAR_fout</v>
          </cell>
          <cell r="C805" t="str">
            <v>SCOM_LTH_CHPBIO_ON</v>
          </cell>
        </row>
        <row r="806">
          <cell r="A806" t="str">
            <v>D-SCOM_LTH_CHPBIO</v>
          </cell>
          <cell r="B806" t="str">
            <v>VAR_fout</v>
          </cell>
          <cell r="C806" t="str">
            <v>LTH</v>
          </cell>
        </row>
        <row r="807">
          <cell r="A807" t="str">
            <v>D-SCOM_LTH_CHPBIO</v>
          </cell>
          <cell r="B807" t="str">
            <v>VAR_fin</v>
          </cell>
          <cell r="C807" t="str">
            <v>SCOM_LTH_CHPBIO</v>
          </cell>
        </row>
        <row r="808">
          <cell r="A808" t="str">
            <v>D-SCOM_NKEV_GAS_ELC_CHP</v>
          </cell>
          <cell r="B808" t="str">
            <v>VAR_fout</v>
          </cell>
          <cell r="C808" t="str">
            <v>ELC5</v>
          </cell>
          <cell r="H808">
            <v>6.9898644789065736E-4</v>
          </cell>
          <cell r="I808">
            <v>4.5710964355032401E-4</v>
          </cell>
          <cell r="J808">
            <v>1.6512469664093294E-3</v>
          </cell>
        </row>
        <row r="809">
          <cell r="A809" t="str">
            <v>D-SCOM_NKEV_GAS_ELC_CHP</v>
          </cell>
          <cell r="B809" t="str">
            <v>VAR_fout</v>
          </cell>
          <cell r="C809" t="str">
            <v>SCOM_ELC</v>
          </cell>
          <cell r="H809">
            <v>1.8014877833630845E-3</v>
          </cell>
          <cell r="I809">
            <v>9.664106863683259E-4</v>
          </cell>
          <cell r="J809">
            <v>1.7235327648715537</v>
          </cell>
        </row>
        <row r="810">
          <cell r="A810" t="str">
            <v>D-SCOM_NKEV_GAS_ELC_CHP</v>
          </cell>
          <cell r="B810" t="str">
            <v>VAR_fin</v>
          </cell>
          <cell r="C810" t="str">
            <v>SCOM_NKEV_GAS_ELC_CHP</v>
          </cell>
          <cell r="H810">
            <v>2.5004742312537431E-3</v>
          </cell>
          <cell r="I810">
            <v>1.4235203299186522E-3</v>
          </cell>
          <cell r="J810">
            <v>1.7251840118379642</v>
          </cell>
        </row>
        <row r="811">
          <cell r="A811" t="str">
            <v>RHEM-SHLTHDH</v>
          </cell>
          <cell r="B811" t="str">
            <v>VAR_fout</v>
          </cell>
          <cell r="C811" t="str">
            <v>RHEM-SHLTHD</v>
          </cell>
          <cell r="H811">
            <v>7.4373335395658602</v>
          </cell>
          <cell r="I811">
            <v>7.89971993181529</v>
          </cell>
          <cell r="J811">
            <v>6.6348216480401394</v>
          </cell>
        </row>
        <row r="812">
          <cell r="A812" t="str">
            <v>RHEM-SHLTHDH</v>
          </cell>
          <cell r="B812" t="str">
            <v>VAR_fin</v>
          </cell>
          <cell r="C812" t="str">
            <v>RHEMLTHDHC</v>
          </cell>
          <cell r="H812">
            <v>7.4373335395658602</v>
          </cell>
          <cell r="I812">
            <v>7.89971993181529</v>
          </cell>
          <cell r="J812">
            <v>6.6348216480401394</v>
          </cell>
        </row>
        <row r="813">
          <cell r="A813" t="str">
            <v>RHEM-SHLTHDH</v>
          </cell>
          <cell r="B813" t="str">
            <v>VAR_fin</v>
          </cell>
          <cell r="C813" t="str">
            <v>RHEM_LTH_DH</v>
          </cell>
          <cell r="H813">
            <v>8.3237433150604563</v>
          </cell>
          <cell r="I813">
            <v>8.8412386809716228</v>
          </cell>
          <cell r="J813">
            <v>7.4255849957101923</v>
          </cell>
        </row>
        <row r="814">
          <cell r="A814" t="str">
            <v>RHEM-SHLTHDH</v>
          </cell>
          <cell r="B814" t="str">
            <v>VAR_ncap</v>
          </cell>
          <cell r="C814" t="str">
            <v>-</v>
          </cell>
          <cell r="H814">
            <v>8.6774270869597894E-2</v>
          </cell>
          <cell r="I814">
            <v>9.1030429239001995E-2</v>
          </cell>
          <cell r="J814">
            <v>3.1969888622203298E-2</v>
          </cell>
        </row>
        <row r="815">
          <cell r="A815" t="str">
            <v>RHEM-SHLTHDH</v>
          </cell>
          <cell r="B815" t="str">
            <v>VAR_cap</v>
          </cell>
          <cell r="C815" t="str">
            <v>-</v>
          </cell>
          <cell r="H815">
            <v>0.52784455747068892</v>
          </cell>
          <cell r="I815">
            <v>0.56071432574760605</v>
          </cell>
          <cell r="J815">
            <v>0.51186784018980291</v>
          </cell>
        </row>
        <row r="816">
          <cell r="A816" t="str">
            <v>D-ITOT_SOLELC</v>
          </cell>
          <cell r="B816" t="str">
            <v>VAR_fout</v>
          </cell>
          <cell r="C816" t="str">
            <v>ITOT_ELC</v>
          </cell>
          <cell r="H816">
            <v>29.691427632896691</v>
          </cell>
          <cell r="I816">
            <v>37.459321707493316</v>
          </cell>
          <cell r="J816">
            <v>59.407811035283878</v>
          </cell>
        </row>
        <row r="817">
          <cell r="A817" t="str">
            <v>D-ITOT_SOLELC</v>
          </cell>
          <cell r="B817" t="str">
            <v>VAR_fout</v>
          </cell>
          <cell r="C817" t="str">
            <v>ELC5</v>
          </cell>
          <cell r="H817">
            <v>0.4707784851741324</v>
          </cell>
          <cell r="I817">
            <v>3.3881585497694608</v>
          </cell>
          <cell r="J817">
            <v>4.8742610762699776</v>
          </cell>
        </row>
        <row r="818">
          <cell r="A818" t="str">
            <v>D-ITOT_SOLELC</v>
          </cell>
          <cell r="B818" t="str">
            <v>VAR_fin</v>
          </cell>
          <cell r="C818" t="str">
            <v>ITOT_SOL_ELC</v>
          </cell>
          <cell r="H818">
            <v>30.162206118070809</v>
          </cell>
          <cell r="I818">
            <v>40.847480257262767</v>
          </cell>
          <cell r="J818">
            <v>64.28207211155383</v>
          </cell>
        </row>
        <row r="819">
          <cell r="A819" t="str">
            <v>D-SWOD</v>
          </cell>
          <cell r="B819" t="str">
            <v>VAR_fout</v>
          </cell>
          <cell r="C819" t="str">
            <v>SWOD</v>
          </cell>
          <cell r="H819">
            <v>6.740300885796505</v>
          </cell>
          <cell r="I819">
            <v>4.8916710886577013</v>
          </cell>
          <cell r="J819">
            <v>1.9219679656581419</v>
          </cell>
        </row>
        <row r="820">
          <cell r="A820" t="str">
            <v>D-SWOD</v>
          </cell>
          <cell r="B820" t="str">
            <v>VAR_fin</v>
          </cell>
          <cell r="C820" t="str">
            <v>WOD</v>
          </cell>
          <cell r="H820">
            <v>6.740300885796505</v>
          </cell>
          <cell r="I820">
            <v>4.8916710886577013</v>
          </cell>
          <cell r="J820">
            <v>1.9219679656581419</v>
          </cell>
        </row>
        <row r="821">
          <cell r="A821" t="str">
            <v>ITOT-PROCESSCO2CCS</v>
          </cell>
          <cell r="B821" t="str">
            <v>VAR_fout</v>
          </cell>
          <cell r="C821" t="str">
            <v>CO2_O</v>
          </cell>
          <cell r="J821">
            <v>1031.8726323905942</v>
          </cell>
        </row>
        <row r="822">
          <cell r="A822" t="str">
            <v>ITOT-PROCESSCO2CCS</v>
          </cell>
          <cell r="B822" t="str">
            <v>VAR_fout</v>
          </cell>
          <cell r="C822" t="str">
            <v>CO2</v>
          </cell>
          <cell r="J822">
            <v>-1031.8726323906001</v>
          </cell>
        </row>
        <row r="823">
          <cell r="A823" t="str">
            <v>ITOT-PROCESSCO2CCS</v>
          </cell>
          <cell r="B823" t="str">
            <v>VAR_fin</v>
          </cell>
          <cell r="C823" t="str">
            <v>ITOT_ELC</v>
          </cell>
          <cell r="J823">
            <v>2.185142045062435</v>
          </cell>
        </row>
        <row r="824">
          <cell r="A824" t="str">
            <v>ITOT-PROCESSCO2CCS</v>
          </cell>
          <cell r="B824" t="str">
            <v>VAR_fin</v>
          </cell>
          <cell r="C824" t="str">
            <v>ITOT_LTH_DH</v>
          </cell>
          <cell r="J824">
            <v>0.84977746196872472</v>
          </cell>
        </row>
        <row r="825">
          <cell r="A825" t="str">
            <v>ITOT-PROCESSCO2CCS</v>
          </cell>
          <cell r="B825" t="str">
            <v>VAR_ncap</v>
          </cell>
          <cell r="C825" t="str">
            <v>-</v>
          </cell>
          <cell r="J825">
            <v>3171.03906436024</v>
          </cell>
        </row>
        <row r="826">
          <cell r="A826" t="str">
            <v>ITOT-PROCESSCO2CCS</v>
          </cell>
          <cell r="B826" t="str">
            <v>VAR_cap</v>
          </cell>
          <cell r="C826" t="str">
            <v>-</v>
          </cell>
          <cell r="J826">
            <v>3171.03906436024</v>
          </cell>
        </row>
        <row r="827">
          <cell r="A827" t="str">
            <v>D-RSH2R</v>
          </cell>
          <cell r="B827" t="str">
            <v>VAR_fout</v>
          </cell>
          <cell r="C827" t="str">
            <v>RSH2</v>
          </cell>
          <cell r="H827">
            <v>1.3790826719586841E-4</v>
          </cell>
          <cell r="I827">
            <v>2.0891544936790782E-4</v>
          </cell>
          <cell r="J827">
            <v>5.6754513271964379E-5</v>
          </cell>
        </row>
        <row r="828">
          <cell r="A828" t="str">
            <v>D-RSH2R</v>
          </cell>
          <cell r="B828" t="str">
            <v>VAR_fin</v>
          </cell>
          <cell r="C828" t="str">
            <v>H2</v>
          </cell>
          <cell r="H828">
            <v>1.3790826719586841E-4</v>
          </cell>
          <cell r="I828">
            <v>2.0891544936790782E-4</v>
          </cell>
          <cell r="J828">
            <v>5.6754513271964379E-5</v>
          </cell>
        </row>
        <row r="829">
          <cell r="A829" t="str">
            <v>D-RSH2R</v>
          </cell>
          <cell r="B829" t="str">
            <v>VAR_ncap</v>
          </cell>
          <cell r="C829" t="str">
            <v>-</v>
          </cell>
          <cell r="H829">
            <v>4.12488126413578E-5</v>
          </cell>
          <cell r="I829">
            <v>5.6998368287244701E-5</v>
          </cell>
          <cell r="J829">
            <v>1.7729903927679499E-5</v>
          </cell>
        </row>
        <row r="830">
          <cell r="A830" t="str">
            <v>D-RSH2R</v>
          </cell>
          <cell r="B830" t="str">
            <v>VAR_cap</v>
          </cell>
          <cell r="C830" t="str">
            <v>-</v>
          </cell>
          <cell r="H830">
            <v>7.46842624517087E-5</v>
          </cell>
          <cell r="I830">
            <v>6.4304437314517606E-5</v>
          </cell>
          <cell r="J830">
            <v>3.72530560958198E-5</v>
          </cell>
        </row>
        <row r="831">
          <cell r="A831" t="str">
            <v>SCOM-SHLTHCHPBIO</v>
          </cell>
          <cell r="B831" t="str">
            <v>VAR_fout</v>
          </cell>
          <cell r="C831" t="str">
            <v>SCOM-SHLTHC-BIO</v>
          </cell>
        </row>
        <row r="832">
          <cell r="A832" t="str">
            <v>SCOM-SHLTHCHPBIO</v>
          </cell>
          <cell r="B832" t="str">
            <v>VAR_fin</v>
          </cell>
          <cell r="C832" t="str">
            <v>SCOM_LTH_CHPBIO_ON</v>
          </cell>
        </row>
        <row r="833">
          <cell r="A833" t="str">
            <v>SCOM-SHLTHCHPBIO</v>
          </cell>
          <cell r="B833" t="str">
            <v>VAR_fin</v>
          </cell>
          <cell r="C833" t="str">
            <v>SCOMLTHCHPC</v>
          </cell>
        </row>
        <row r="834">
          <cell r="A834" t="str">
            <v>SCOM-SHLTHCHPBIO</v>
          </cell>
          <cell r="B834" t="str">
            <v>VAR_ncap</v>
          </cell>
          <cell r="C834" t="str">
            <v>-</v>
          </cell>
          <cell r="H834">
            <v>4.8653368540085701E-2</v>
          </cell>
          <cell r="I834">
            <v>3.8114814062255802E-2</v>
          </cell>
          <cell r="J834">
            <v>5.1101476172422201E-2</v>
          </cell>
        </row>
        <row r="835">
          <cell r="A835" t="str">
            <v>SCOM-SHLTHCHPBIO</v>
          </cell>
          <cell r="B835" t="str">
            <v>VAR_cap</v>
          </cell>
          <cell r="C835" t="str">
            <v>-</v>
          </cell>
          <cell r="H835">
            <v>8.9261547715006412E-2</v>
          </cell>
          <cell r="I835">
            <v>7.7078069394706017E-2</v>
          </cell>
          <cell r="J835">
            <v>7.7077974690668002E-2</v>
          </cell>
        </row>
        <row r="836">
          <cell r="A836" t="str">
            <v>D-RSH2</v>
          </cell>
          <cell r="B836" t="str">
            <v>VAR_fout</v>
          </cell>
          <cell r="C836" t="str">
            <v>RSH2</v>
          </cell>
          <cell r="H836">
            <v>1.3087478585417127E-4</v>
          </cell>
          <cell r="I836">
            <v>2.0801435375939498E-4</v>
          </cell>
          <cell r="J836">
            <v>5.7065147553312908E-5</v>
          </cell>
        </row>
        <row r="837">
          <cell r="A837" t="str">
            <v>D-RSH2</v>
          </cell>
          <cell r="B837" t="str">
            <v>VAR_fin</v>
          </cell>
          <cell r="C837" t="str">
            <v>H2</v>
          </cell>
          <cell r="H837">
            <v>1.3187184075462723E-4</v>
          </cell>
          <cell r="I837">
            <v>2.0959908781972112E-4</v>
          </cell>
          <cell r="J837">
            <v>5.7499891989698588E-5</v>
          </cell>
        </row>
        <row r="838">
          <cell r="A838" t="str">
            <v>D-RSH2</v>
          </cell>
          <cell r="B838" t="str">
            <v>VAR_ncap</v>
          </cell>
          <cell r="C838" t="str">
            <v>-</v>
          </cell>
          <cell r="H838">
            <v>1.35560253071545E-5</v>
          </cell>
          <cell r="I838">
            <v>6.9686308373487199E-7</v>
          </cell>
          <cell r="J838">
            <v>4.6354046946937101E-7</v>
          </cell>
        </row>
        <row r="839">
          <cell r="A839" t="str">
            <v>D-RSH2</v>
          </cell>
          <cell r="B839" t="str">
            <v>VAR_cap</v>
          </cell>
          <cell r="C839" t="str">
            <v>-</v>
          </cell>
          <cell r="H839">
            <v>7.1479668471442694E-5</v>
          </cell>
          <cell r="I839">
            <v>7.2176531555177595E-5</v>
          </cell>
          <cell r="J839">
            <v>7.2640072024646903E-5</v>
          </cell>
        </row>
        <row r="840">
          <cell r="A840" t="str">
            <v>RHES-SHNGABR</v>
          </cell>
          <cell r="B840" t="str">
            <v>VAR_fout</v>
          </cell>
          <cell r="C840" t="str">
            <v>CO2_R</v>
          </cell>
          <cell r="H840">
            <v>247.06075347619401</v>
          </cell>
          <cell r="I840">
            <v>97.365005382590297</v>
          </cell>
          <cell r="J840">
            <v>42.351059924635699</v>
          </cell>
        </row>
        <row r="841">
          <cell r="A841" t="str">
            <v>RHES-SHNGABR</v>
          </cell>
          <cell r="B841" t="str">
            <v>VAR_fout</v>
          </cell>
          <cell r="C841" t="str">
            <v>RHES-SHNGA</v>
          </cell>
          <cell r="H841">
            <v>4.0174333017125496</v>
          </cell>
          <cell r="I841">
            <v>1.5832438359463239</v>
          </cell>
          <cell r="J841">
            <v>0.70302711285504038</v>
          </cell>
        </row>
        <row r="842">
          <cell r="A842" t="str">
            <v>RHES-SHNGABR</v>
          </cell>
          <cell r="B842" t="str">
            <v>VAR_fin</v>
          </cell>
          <cell r="C842" t="str">
            <v>RNGA</v>
          </cell>
          <cell r="H842">
            <v>4.3805098134077012</v>
          </cell>
          <cell r="I842">
            <v>1.7263298826700406</v>
          </cell>
          <cell r="J842">
            <v>0.75090531781268932</v>
          </cell>
        </row>
        <row r="843">
          <cell r="A843" t="str">
            <v>RHES-SHNGABR</v>
          </cell>
          <cell r="B843" t="str">
            <v>VAR_ncap</v>
          </cell>
          <cell r="C843" t="str">
            <v>-</v>
          </cell>
          <cell r="H843">
            <v>8.7626119570098401E-5</v>
          </cell>
          <cell r="I843">
            <v>0.13044406724889099</v>
          </cell>
          <cell r="J843">
            <v>1.05211355077823E-7</v>
          </cell>
        </row>
        <row r="844">
          <cell r="A844" t="str">
            <v>RHES-SHNGABR</v>
          </cell>
          <cell r="B844" t="str">
            <v>VAR_cap</v>
          </cell>
          <cell r="C844" t="str">
            <v>-</v>
          </cell>
          <cell r="H844">
            <v>0.3249634267194052</v>
          </cell>
          <cell r="I844">
            <v>0.13053163937645879</v>
          </cell>
          <cell r="J844">
            <v>6.4105531092684298E-2</v>
          </cell>
        </row>
        <row r="845">
          <cell r="A845" t="str">
            <v>SCOM-SHLTHCHPHFC</v>
          </cell>
          <cell r="B845" t="str">
            <v>VAR_ncap</v>
          </cell>
          <cell r="C845" t="str">
            <v>-</v>
          </cell>
          <cell r="H845">
            <v>4.9882411922036101E-5</v>
          </cell>
          <cell r="I845">
            <v>2.52573739969577E-5</v>
          </cell>
          <cell r="J845">
            <v>9.8211387833138799E-5</v>
          </cell>
        </row>
        <row r="846">
          <cell r="A846" t="str">
            <v>SCOM-SHLTHCHPHFC</v>
          </cell>
          <cell r="B846" t="str">
            <v>VAR_cap</v>
          </cell>
          <cell r="C846" t="str">
            <v>-</v>
          </cell>
          <cell r="H846">
            <v>6.5168552100682294E-5</v>
          </cell>
          <cell r="I846">
            <v>4.0889192880587093E-5</v>
          </cell>
          <cell r="J846">
            <v>1.0869513182810131E-4</v>
          </cell>
        </row>
        <row r="847">
          <cell r="A847" t="str">
            <v>RHSA-WHNGABR</v>
          </cell>
          <cell r="B847" t="str">
            <v>VAR_fout</v>
          </cell>
          <cell r="C847" t="str">
            <v>RHSA-WHNGA</v>
          </cell>
          <cell r="H847">
            <v>1.7991060585001906</v>
          </cell>
          <cell r="I847">
            <v>0.79140309558286881</v>
          </cell>
          <cell r="J847">
            <v>0.35450881416999513</v>
          </cell>
        </row>
        <row r="848">
          <cell r="A848" t="str">
            <v>RHSA-WHNGABR</v>
          </cell>
          <cell r="B848" t="str">
            <v>VAR_fout</v>
          </cell>
          <cell r="C848" t="str">
            <v>CO2_R</v>
          </cell>
          <cell r="H848">
            <v>183.82746717216901</v>
          </cell>
          <cell r="I848">
            <v>80.863285344329498</v>
          </cell>
          <cell r="J848">
            <v>36.222687979499398</v>
          </cell>
        </row>
        <row r="849">
          <cell r="A849" t="str">
            <v>RHSA-WHNGABR</v>
          </cell>
          <cell r="B849" t="str">
            <v>VAR_fin</v>
          </cell>
          <cell r="C849" t="str">
            <v>RNGA</v>
          </cell>
          <cell r="H849">
            <v>3.2593522548256901</v>
          </cell>
          <cell r="I849">
            <v>1.4337461940483944</v>
          </cell>
          <cell r="J849">
            <v>0.64224624077126558</v>
          </cell>
        </row>
        <row r="850">
          <cell r="A850" t="str">
            <v>RHSA-WHNGABR</v>
          </cell>
          <cell r="B850" t="str">
            <v>VAR_ncap</v>
          </cell>
          <cell r="C850" t="str">
            <v>-</v>
          </cell>
          <cell r="H850">
            <v>2.8381057351389901E-2</v>
          </cell>
          <cell r="I850">
            <v>2.5728081897682699E-2</v>
          </cell>
          <cell r="J850">
            <v>4.7987754147245804E-7</v>
          </cell>
        </row>
        <row r="851">
          <cell r="A851" t="str">
            <v>RHSA-WHNGABR</v>
          </cell>
          <cell r="B851" t="str">
            <v>VAR_cap</v>
          </cell>
          <cell r="C851" t="str">
            <v>-</v>
          </cell>
          <cell r="H851">
            <v>0.1230966883176955</v>
          </cell>
          <cell r="I851">
            <v>5.4108867722083134E-2</v>
          </cell>
          <cell r="J851">
            <v>3.067117740368808E-2</v>
          </cell>
        </row>
        <row r="852">
          <cell r="A852" t="str">
            <v>ITOT-SWHWSTBR</v>
          </cell>
          <cell r="B852" t="str">
            <v>VAR_fout</v>
          </cell>
          <cell r="C852" t="str">
            <v>ITOT-SWH</v>
          </cell>
          <cell r="H852">
            <v>5.7509726036814124</v>
          </cell>
          <cell r="I852">
            <v>4.6920096086854377</v>
          </cell>
          <cell r="J852">
            <v>2.9375714037717691</v>
          </cell>
        </row>
        <row r="853">
          <cell r="A853" t="str">
            <v>ITOT-SWHWSTBR</v>
          </cell>
          <cell r="B853" t="str">
            <v>VAR_fout</v>
          </cell>
          <cell r="C853" t="str">
            <v>CO2_I</v>
          </cell>
          <cell r="H853">
            <v>1010.77700307128</v>
          </cell>
          <cell r="I853">
            <v>824.656234253805</v>
          </cell>
          <cell r="J853">
            <v>501.11512181989002</v>
          </cell>
        </row>
        <row r="854">
          <cell r="A854" t="str">
            <v>ITOT-SWHWSTBR</v>
          </cell>
          <cell r="B854" t="str">
            <v>VAR_fin</v>
          </cell>
          <cell r="C854" t="str">
            <v>IWST</v>
          </cell>
          <cell r="H854">
            <v>10.89199356757843</v>
          </cell>
          <cell r="I854">
            <v>8.8863818346315107</v>
          </cell>
          <cell r="J854">
            <v>5.3999474334039892</v>
          </cell>
        </row>
        <row r="855">
          <cell r="A855" t="str">
            <v>ITOT-SWHWSTBR</v>
          </cell>
          <cell r="B855" t="str">
            <v>VAR_ncap</v>
          </cell>
          <cell r="C855" t="str">
            <v>-</v>
          </cell>
          <cell r="H855">
            <v>0.270701267687742</v>
          </cell>
          <cell r="I855">
            <v>2.5231368557879202E-3</v>
          </cell>
          <cell r="J855">
            <v>0.105329994041914</v>
          </cell>
        </row>
        <row r="856">
          <cell r="A856" t="str">
            <v>ITOT-SWHWSTBR</v>
          </cell>
          <cell r="B856" t="str">
            <v>VAR_cap</v>
          </cell>
          <cell r="C856" t="str">
            <v>-</v>
          </cell>
          <cell r="H856">
            <v>0.36824815984429365</v>
          </cell>
          <cell r="I856">
            <v>0.27622216646907749</v>
          </cell>
          <cell r="J856">
            <v>0.200040801653671</v>
          </cell>
        </row>
        <row r="857">
          <cell r="A857" t="str">
            <v>SCOM-SHSTG-ELC</v>
          </cell>
          <cell r="B857" t="str">
            <v>VAR_fout</v>
          </cell>
          <cell r="C857" t="str">
            <v>SCOM-SHAELCB</v>
          </cell>
          <cell r="H857">
            <v>1.9479594124018813E-5</v>
          </cell>
          <cell r="I857">
            <v>1.5219665141121297E-5</v>
          </cell>
          <cell r="J857">
            <v>7.6206005190969677E-6</v>
          </cell>
        </row>
        <row r="858">
          <cell r="A858" t="str">
            <v>SCOM-SHSTG-ELC</v>
          </cell>
          <cell r="B858" t="str">
            <v>VAR_fin</v>
          </cell>
          <cell r="C858" t="str">
            <v>SCOM-SHAELCB</v>
          </cell>
          <cell r="H858">
            <v>2.0623884590320602E-5</v>
          </cell>
          <cell r="I858">
            <v>1.7615518504635152E-5</v>
          </cell>
          <cell r="J858">
            <v>8.3678079487824926E-6</v>
          </cell>
        </row>
        <row r="859">
          <cell r="A859" t="str">
            <v>SCOM-SHSTG-ELC</v>
          </cell>
          <cell r="B859" t="str">
            <v>VAR_ncap</v>
          </cell>
          <cell r="C859" t="str">
            <v>-</v>
          </cell>
          <cell r="H859">
            <v>1.4752945787223099E-3</v>
          </cell>
          <cell r="I859">
            <v>4.1617813455857499E-3</v>
          </cell>
          <cell r="J859">
            <v>5.2321437915851601E-5</v>
          </cell>
        </row>
        <row r="860">
          <cell r="A860" t="str">
            <v>SCOM-SHSTG-ELC</v>
          </cell>
          <cell r="B860" t="str">
            <v>VAR_cap</v>
          </cell>
          <cell r="C860" t="str">
            <v>-</v>
          </cell>
          <cell r="H860">
            <v>5.4376120480787299E-3</v>
          </cell>
          <cell r="I860">
            <v>5.6273729295402636E-3</v>
          </cell>
          <cell r="J860">
            <v>3.2315559193097729E-3</v>
          </cell>
        </row>
        <row r="861">
          <cell r="A861" t="str">
            <v>SCOM-SHNGABR</v>
          </cell>
          <cell r="B861" t="str">
            <v>VAR_fout</v>
          </cell>
          <cell r="C861" t="str">
            <v>CO2_S</v>
          </cell>
          <cell r="H861">
            <v>408.10691466345401</v>
          </cell>
          <cell r="I861">
            <v>126.091141484443</v>
          </cell>
          <cell r="J861">
            <v>50.574363546076903</v>
          </cell>
        </row>
        <row r="862">
          <cell r="A862" t="str">
            <v>SCOM-SHNGABR</v>
          </cell>
          <cell r="B862" t="str">
            <v>VAR_fout</v>
          </cell>
          <cell r="C862" t="str">
            <v>SCOM-SHNGA</v>
          </cell>
          <cell r="H862">
            <v>6.2637830157104535</v>
          </cell>
          <cell r="I862">
            <v>1.9352956837624677</v>
          </cell>
          <cell r="J862">
            <v>0.77623492283026274</v>
          </cell>
        </row>
        <row r="863">
          <cell r="A863" t="str">
            <v>SCOM-SHNGABR</v>
          </cell>
          <cell r="B863" t="str">
            <v>VAR_fin</v>
          </cell>
          <cell r="C863" t="str">
            <v>SNGA</v>
          </cell>
          <cell r="H863">
            <v>7.235938203252724</v>
          </cell>
          <cell r="I863">
            <v>2.2356585369582125</v>
          </cell>
          <cell r="J863">
            <v>0.89670857351200151</v>
          </cell>
        </row>
        <row r="864">
          <cell r="A864" t="str">
            <v>SCOM-SHNGABR</v>
          </cell>
          <cell r="B864" t="str">
            <v>VAR_ncap</v>
          </cell>
          <cell r="C864" t="str">
            <v>-</v>
          </cell>
          <cell r="H864">
            <v>0.26440847577639298</v>
          </cell>
          <cell r="I864">
            <v>8.0418458509351497E-6</v>
          </cell>
          <cell r="J864">
            <v>1.21374356825613E-6</v>
          </cell>
        </row>
        <row r="865">
          <cell r="A865" t="str">
            <v>SCOM-SHNGABR</v>
          </cell>
          <cell r="B865" t="str">
            <v>VAR_cap</v>
          </cell>
          <cell r="C865" t="str">
            <v>-</v>
          </cell>
          <cell r="H865">
            <v>0.77117794012636298</v>
          </cell>
          <cell r="I865">
            <v>0.26441588473726696</v>
          </cell>
          <cell r="J865">
            <v>0.1118487386937311</v>
          </cell>
        </row>
        <row r="866">
          <cell r="A866" t="str">
            <v>RHEM-SHELCHP</v>
          </cell>
          <cell r="B866" t="str">
            <v>VAR_fout</v>
          </cell>
          <cell r="C866" t="str">
            <v>RHEM-SHAELCH</v>
          </cell>
          <cell r="H866">
            <v>22.670239830073893</v>
          </cell>
          <cell r="I866">
            <v>27.237810575689601</v>
          </cell>
          <cell r="J866">
            <v>24.798587186464651</v>
          </cell>
        </row>
        <row r="867">
          <cell r="A867" t="str">
            <v>RHEM-SHELCHP</v>
          </cell>
          <cell r="B867" t="str">
            <v>VAR_fin</v>
          </cell>
          <cell r="C867" t="str">
            <v>RHEMELCHPC</v>
          </cell>
          <cell r="H867">
            <v>22.670239830073893</v>
          </cell>
          <cell r="I867">
            <v>27.237810575689601</v>
          </cell>
          <cell r="J867">
            <v>24.798587186464651</v>
          </cell>
        </row>
        <row r="868">
          <cell r="A868" t="str">
            <v>RHEM-SHELCHP</v>
          </cell>
          <cell r="B868" t="str">
            <v>VAR_fin</v>
          </cell>
          <cell r="C868" t="str">
            <v>RHEM_ELC</v>
          </cell>
          <cell r="H868">
            <v>6.2442316587388751</v>
          </cell>
          <cell r="I868">
            <v>7.1393495088714651</v>
          </cell>
          <cell r="J868">
            <v>5.9614195852643386</v>
          </cell>
        </row>
        <row r="869">
          <cell r="A869" t="str">
            <v>RHEM-SHELCHP</v>
          </cell>
          <cell r="B869" t="str">
            <v>VAR_ncap</v>
          </cell>
          <cell r="C869" t="str">
            <v>-</v>
          </cell>
          <cell r="H869">
            <v>0.82743474683177598</v>
          </cell>
          <cell r="I869">
            <v>0.73610592931067398</v>
          </cell>
          <cell r="J869">
            <v>0.86690303988556205</v>
          </cell>
        </row>
        <row r="870">
          <cell r="A870" t="str">
            <v>RHEM-SHELCHP</v>
          </cell>
          <cell r="B870" t="str">
            <v>VAR_cap</v>
          </cell>
          <cell r="C870" t="str">
            <v>-</v>
          </cell>
          <cell r="H870">
            <v>1.6008450254202673</v>
          </cell>
          <cell r="I870">
            <v>1.924609043723035</v>
          </cell>
          <cell r="J870">
            <v>1.7511201458347048</v>
          </cell>
        </row>
        <row r="871">
          <cell r="A871" t="str">
            <v>RHNM-SHSTG-ELC</v>
          </cell>
          <cell r="B871" t="str">
            <v>VAR_fout</v>
          </cell>
          <cell r="C871" t="str">
            <v>RHNM-SHAELCB</v>
          </cell>
          <cell r="H871">
            <v>4.8265644473782462E-4</v>
          </cell>
          <cell r="I871">
            <v>3.0662555301517482E-4</v>
          </cell>
          <cell r="J871">
            <v>1.2761959950586613E-4</v>
          </cell>
        </row>
        <row r="872">
          <cell r="A872" t="str">
            <v>RHNM-SHSTG-ELC</v>
          </cell>
          <cell r="B872" t="str">
            <v>VAR_fout</v>
          </cell>
          <cell r="C872" t="str">
            <v>AUX_RHNM-SHSTG-ELC_OUT</v>
          </cell>
          <cell r="H872">
            <v>4.8313910118256249E-4</v>
          </cell>
          <cell r="I872">
            <v>3.0693217856818996E-4</v>
          </cell>
          <cell r="J872">
            <v>1.2774721910537197E-4</v>
          </cell>
        </row>
        <row r="873">
          <cell r="A873" t="str">
            <v>RHNM-SHSTG-ELC</v>
          </cell>
          <cell r="B873" t="str">
            <v>VAR_fin</v>
          </cell>
          <cell r="C873" t="str">
            <v>RHNM-SHAELCB</v>
          </cell>
          <cell r="H873">
            <v>4.8321653259718637E-4</v>
          </cell>
          <cell r="I873">
            <v>3.0779281454517202E-4</v>
          </cell>
          <cell r="J873">
            <v>1.2950882705317252E-4</v>
          </cell>
        </row>
        <row r="874">
          <cell r="A874" t="str">
            <v>RHNM-SHSTG-ELC</v>
          </cell>
          <cell r="B874" t="str">
            <v>VAR_ncap</v>
          </cell>
          <cell r="C874" t="str">
            <v>-</v>
          </cell>
          <cell r="H874">
            <v>1.7178076048657599E-4</v>
          </cell>
          <cell r="I874">
            <v>3.6067225814594297E-5</v>
          </cell>
          <cell r="J874">
            <v>3.1108773845059302E-5</v>
          </cell>
        </row>
        <row r="875">
          <cell r="A875" t="str">
            <v>RHNM-SHSTG-ELC</v>
          </cell>
          <cell r="B875" t="str">
            <v>VAR_cap</v>
          </cell>
          <cell r="C875" t="str">
            <v>-</v>
          </cell>
          <cell r="H875">
            <v>1.401928533165407E-3</v>
          </cell>
          <cell r="I875">
            <v>1.7137289280109389E-4</v>
          </cell>
          <cell r="J875">
            <v>7.2952115738645395E-5</v>
          </cell>
        </row>
        <row r="876">
          <cell r="A876" t="str">
            <v>D-RWOD</v>
          </cell>
          <cell r="B876" t="str">
            <v>VAR_fout</v>
          </cell>
          <cell r="C876" t="str">
            <v>RWOD</v>
          </cell>
          <cell r="H876">
            <v>11.232728270218706</v>
          </cell>
          <cell r="I876">
            <v>12.758441460842734</v>
          </cell>
          <cell r="J876">
            <v>6.2952696588436394</v>
          </cell>
        </row>
        <row r="877">
          <cell r="A877" t="str">
            <v>D-RWOD</v>
          </cell>
          <cell r="B877" t="str">
            <v>VAR_fin</v>
          </cell>
          <cell r="C877" t="str">
            <v>WOD</v>
          </cell>
          <cell r="H877">
            <v>11.232728270218706</v>
          </cell>
          <cell r="I877">
            <v>12.758441460842734</v>
          </cell>
          <cell r="J877">
            <v>6.2952696588436394</v>
          </cell>
        </row>
        <row r="878">
          <cell r="A878" t="str">
            <v>RHNS-SHLTHCHPWOD</v>
          </cell>
          <cell r="B878" t="str">
            <v>VAR_ncap</v>
          </cell>
          <cell r="C878" t="str">
            <v>-</v>
          </cell>
          <cell r="H878">
            <v>2.0417200004105399E-4</v>
          </cell>
          <cell r="I878">
            <v>2.2577351906791901E-4</v>
          </cell>
          <cell r="J878">
            <v>8.5379645209239494E-5</v>
          </cell>
        </row>
        <row r="879">
          <cell r="A879" t="str">
            <v>RHNS-SHLTHCHPWOD</v>
          </cell>
          <cell r="B879" t="str">
            <v>VAR_cap</v>
          </cell>
          <cell r="C879" t="str">
            <v>-</v>
          </cell>
          <cell r="H879">
            <v>2.543583677502989E-4</v>
          </cell>
          <cell r="I879">
            <v>3.4773881196233905E-4</v>
          </cell>
          <cell r="J879">
            <v>1.5382488118170502E-4</v>
          </cell>
        </row>
        <row r="880">
          <cell r="A880" t="str">
            <v>RHNM-SHELCBR</v>
          </cell>
          <cell r="B880" t="str">
            <v>VAR_fout</v>
          </cell>
          <cell r="C880" t="str">
            <v>RHNM-SHAELCB</v>
          </cell>
          <cell r="H880">
            <v>2.0087464539418382E-3</v>
          </cell>
          <cell r="I880">
            <v>1.90087089501837E-3</v>
          </cell>
          <cell r="J880">
            <v>1.2099782708405579E-3</v>
          </cell>
        </row>
        <row r="881">
          <cell r="A881" t="str">
            <v>RHNM-SHELCBR</v>
          </cell>
          <cell r="B881" t="str">
            <v>VAR_fin</v>
          </cell>
          <cell r="C881" t="str">
            <v>RHNM_ELC</v>
          </cell>
          <cell r="H881">
            <v>2.1144699515177256E-3</v>
          </cell>
          <cell r="I881">
            <v>2.000916731598283E-3</v>
          </cell>
          <cell r="J881">
            <v>1.2736613377269015E-3</v>
          </cell>
        </row>
        <row r="882">
          <cell r="A882" t="str">
            <v>RHNM-SHELCBR</v>
          </cell>
          <cell r="B882" t="str">
            <v>VAR_ncap</v>
          </cell>
          <cell r="C882" t="str">
            <v>-</v>
          </cell>
          <cell r="H882">
            <v>7.2879935115482302E-4</v>
          </cell>
        </row>
        <row r="883">
          <cell r="A883" t="str">
            <v>RHNM-SHELCBR</v>
          </cell>
          <cell r="B883" t="str">
            <v>VAR_cap</v>
          </cell>
          <cell r="C883" t="str">
            <v>-</v>
          </cell>
          <cell r="H883">
            <v>5.9640720641039226E-3</v>
          </cell>
          <cell r="I883">
            <v>7.285036047261495E-4</v>
          </cell>
          <cell r="J883">
            <v>3.0770116599477491E-4</v>
          </cell>
        </row>
        <row r="884">
          <cell r="A884" t="str">
            <v>RHNS-SHSTG-NGAHP</v>
          </cell>
          <cell r="B884" t="str">
            <v>VAR_fout</v>
          </cell>
          <cell r="C884" t="str">
            <v>RHNS-SHANGAH</v>
          </cell>
          <cell r="H884">
            <v>4.3322273498889632E-2</v>
          </cell>
          <cell r="I884">
            <v>4.967074757443786E-2</v>
          </cell>
          <cell r="J884">
            <v>5.2792069599719632E-2</v>
          </cell>
        </row>
        <row r="885">
          <cell r="A885" t="str">
            <v>RHNS-SHSTG-NGAHP</v>
          </cell>
          <cell r="B885" t="str">
            <v>VAR_fout</v>
          </cell>
          <cell r="C885" t="str">
            <v>AUX_RHNS-SHSTG-NGAHP_OUT</v>
          </cell>
          <cell r="H885">
            <v>4.3365595772388493E-2</v>
          </cell>
          <cell r="I885">
            <v>4.972041832201228E-2</v>
          </cell>
          <cell r="J885">
            <v>5.2844861669319329E-2</v>
          </cell>
        </row>
        <row r="886">
          <cell r="A886" t="str">
            <v>RHNS-SHSTG-NGAHP</v>
          </cell>
          <cell r="B886" t="str">
            <v>VAR_fin</v>
          </cell>
          <cell r="C886" t="str">
            <v>RHNS-SHANGAH</v>
          </cell>
          <cell r="H886">
            <v>4.3332893460936647E-2</v>
          </cell>
          <cell r="I886">
            <v>4.9682251675425289E-2</v>
          </cell>
          <cell r="J886">
            <v>5.2805952061308857E-2</v>
          </cell>
        </row>
        <row r="887">
          <cell r="A887" t="str">
            <v>RHNS-SHSTG-NGAHP</v>
          </cell>
          <cell r="B887" t="str">
            <v>VAR_ncap</v>
          </cell>
          <cell r="C887" t="str">
            <v>-</v>
          </cell>
          <cell r="H887">
            <v>4.9282361342585504E-3</v>
          </cell>
          <cell r="I887">
            <v>5.3656513883066003E-3</v>
          </cell>
          <cell r="J887">
            <v>7.6181955685106799E-3</v>
          </cell>
        </row>
        <row r="888">
          <cell r="A888" t="str">
            <v>RHNS-SHSTG-NGAHP</v>
          </cell>
          <cell r="B888" t="str">
            <v>VAR_cap</v>
          </cell>
          <cell r="C888" t="str">
            <v>-</v>
          </cell>
          <cell r="H888">
            <v>1.133515417765168E-2</v>
          </cell>
          <cell r="I888">
            <v>1.3409490181824246E-2</v>
          </cell>
          <cell r="J888">
            <v>1.3564576893170177E-2</v>
          </cell>
        </row>
        <row r="889">
          <cell r="A889" t="str">
            <v>RHNS-SHLTHDH</v>
          </cell>
          <cell r="B889" t="str">
            <v>VAR_fout</v>
          </cell>
          <cell r="C889" t="str">
            <v>RHNS-SHLTHD</v>
          </cell>
          <cell r="H889">
            <v>0.27367777624953077</v>
          </cell>
          <cell r="I889">
            <v>0.29412218491350228</v>
          </cell>
          <cell r="J889">
            <v>0.30921651003286715</v>
          </cell>
        </row>
        <row r="890">
          <cell r="A890" t="str">
            <v>RHNS-SHLTHDH</v>
          </cell>
          <cell r="B890" t="str">
            <v>VAR_fin</v>
          </cell>
          <cell r="C890" t="str">
            <v>RHNS_LTH_DH</v>
          </cell>
          <cell r="H890">
            <v>0.30071737329839698</v>
          </cell>
          <cell r="I890">
            <v>0.3230226351324007</v>
          </cell>
          <cell r="J890">
            <v>0.33960012886017332</v>
          </cell>
        </row>
        <row r="891">
          <cell r="A891" t="str">
            <v>RHNS-SHLTHDH</v>
          </cell>
          <cell r="B891" t="str">
            <v>VAR_fin</v>
          </cell>
          <cell r="C891" t="str">
            <v>RHNSLTHDHC</v>
          </cell>
          <cell r="H891">
            <v>0.27367777624953077</v>
          </cell>
          <cell r="I891">
            <v>0.29412218491350228</v>
          </cell>
          <cell r="J891">
            <v>0.30921651003286715</v>
          </cell>
        </row>
        <row r="892">
          <cell r="A892" t="str">
            <v>RHNS-SHLTHDH</v>
          </cell>
          <cell r="B892" t="str">
            <v>VAR_ncap</v>
          </cell>
          <cell r="C892" t="str">
            <v>-</v>
          </cell>
          <cell r="H892">
            <v>1.14806000179749E-2</v>
          </cell>
          <cell r="I892">
            <v>1.06025913397271E-2</v>
          </cell>
          <cell r="J892">
            <v>1.7978749237101299E-2</v>
          </cell>
        </row>
        <row r="893">
          <cell r="A893" t="str">
            <v>RHNS-SHLTHDH</v>
          </cell>
          <cell r="B893" t="str">
            <v>VAR_cap</v>
          </cell>
          <cell r="C893" t="str">
            <v>-</v>
          </cell>
          <cell r="H893">
            <v>2.1146865327563904E-2</v>
          </cell>
          <cell r="I893">
            <v>2.2041566091035199E-2</v>
          </cell>
          <cell r="J893">
            <v>3.0224791322118402E-2</v>
          </cell>
        </row>
        <row r="894">
          <cell r="A894" t="str">
            <v>ITOT-SWHNGAHP</v>
          </cell>
          <cell r="B894" t="str">
            <v>VAR_fout</v>
          </cell>
          <cell r="C894" t="str">
            <v>ITOT-SWHANGAH</v>
          </cell>
          <cell r="H894">
            <v>1.5164555312961604E-3</v>
          </cell>
          <cell r="I894">
            <v>5.7231952437339611E-4</v>
          </cell>
          <cell r="J894">
            <v>1.5175083601196397E-2</v>
          </cell>
        </row>
        <row r="895">
          <cell r="A895" t="str">
            <v>ITOT-SWHNGAHP</v>
          </cell>
          <cell r="B895" t="str">
            <v>VAR_fout</v>
          </cell>
          <cell r="C895" t="str">
            <v>CO2_I</v>
          </cell>
          <cell r="H895">
            <v>4.3656918645863997E-2</v>
          </cell>
          <cell r="I895">
            <v>1.6172306025825801E-2</v>
          </cell>
          <cell r="J895">
            <v>0.41354520573984499</v>
          </cell>
        </row>
        <row r="896">
          <cell r="A896" t="str">
            <v>ITOT-SWHNGAHP</v>
          </cell>
          <cell r="B896" t="str">
            <v>VAR_fin</v>
          </cell>
          <cell r="C896" t="str">
            <v>ITOTELCHPC</v>
          </cell>
          <cell r="H896">
            <v>1.5164555312961604E-3</v>
          </cell>
          <cell r="I896">
            <v>5.7231952437339611E-4</v>
          </cell>
          <cell r="J896">
            <v>1.5175083601196397E-2</v>
          </cell>
        </row>
        <row r="897">
          <cell r="A897" t="str">
            <v>ITOT-SWHNGAHP</v>
          </cell>
          <cell r="B897" t="str">
            <v>VAR_fin</v>
          </cell>
          <cell r="C897" t="str">
            <v>INGA</v>
          </cell>
          <cell r="H897">
            <v>7.7405884123872332E-4</v>
          </cell>
          <cell r="I897">
            <v>2.8674301464230088E-4</v>
          </cell>
          <cell r="J897">
            <v>7.3323618038979707E-3</v>
          </cell>
        </row>
        <row r="898">
          <cell r="A898" t="str">
            <v>ITOT-SWHNGAHP</v>
          </cell>
          <cell r="B898" t="str">
            <v>VAR_ncap</v>
          </cell>
          <cell r="C898" t="str">
            <v>-</v>
          </cell>
          <cell r="H898">
            <v>1.45001393192672E-6</v>
          </cell>
          <cell r="I898">
            <v>3.6272947359262097E-5</v>
          </cell>
          <cell r="J898">
            <v>9.0195337017980504E-4</v>
          </cell>
        </row>
        <row r="899">
          <cell r="A899" t="str">
            <v>ITOT-SWHNGAHP</v>
          </cell>
          <cell r="B899" t="str">
            <v>VAR_cap</v>
          </cell>
          <cell r="C899" t="str">
            <v>-</v>
          </cell>
          <cell r="H899">
            <v>1.5869837163540049E-4</v>
          </cell>
          <cell r="I899">
            <v>5.9060544221822555E-5</v>
          </cell>
          <cell r="J899">
            <v>9.2822837098531117E-4</v>
          </cell>
        </row>
        <row r="900">
          <cell r="A900" t="str">
            <v>RHSA-WHLFOBR</v>
          </cell>
          <cell r="B900" t="str">
            <v>VAR_fout</v>
          </cell>
          <cell r="C900" t="str">
            <v>CO2_R</v>
          </cell>
          <cell r="H900">
            <v>172.212402841645</v>
          </cell>
          <cell r="I900">
            <v>63.507535661608998</v>
          </cell>
          <cell r="J900">
            <v>4.6935015955526698</v>
          </cell>
        </row>
        <row r="901">
          <cell r="A901" t="str">
            <v>RHSA-WHLFOBR</v>
          </cell>
          <cell r="B901" t="str">
            <v>VAR_fout</v>
          </cell>
          <cell r="C901" t="str">
            <v>RHSA-WHLFO</v>
          </cell>
          <cell r="H901">
            <v>1.2899845793592619</v>
          </cell>
          <cell r="I901">
            <v>0.48313991181154492</v>
          </cell>
          <cell r="J901">
            <v>3.7544276113574346E-2</v>
          </cell>
        </row>
        <row r="902">
          <cell r="A902" t="str">
            <v>RHSA-WHLFOBR</v>
          </cell>
          <cell r="B902" t="str">
            <v>VAR_fin</v>
          </cell>
          <cell r="C902" t="str">
            <v>RLFO</v>
          </cell>
          <cell r="H902">
            <v>2.3366676097916503</v>
          </cell>
          <cell r="I902">
            <v>0.86170333326470794</v>
          </cell>
          <cell r="J902">
            <v>6.3683875109262766E-2</v>
          </cell>
        </row>
        <row r="903">
          <cell r="A903" t="str">
            <v>RHSA-WHLFOBR</v>
          </cell>
          <cell r="B903" t="str">
            <v>VAR_ncap</v>
          </cell>
          <cell r="C903" t="str">
            <v>-</v>
          </cell>
          <cell r="H903">
            <v>1.62105448830464E-2</v>
          </cell>
          <cell r="I903">
            <v>1.68191585798745E-2</v>
          </cell>
        </row>
        <row r="904">
          <cell r="A904" t="str">
            <v>RHSA-WHLFOBR</v>
          </cell>
          <cell r="B904" t="str">
            <v>VAR_cap</v>
          </cell>
          <cell r="C904" t="str">
            <v>-</v>
          </cell>
          <cell r="H904">
            <v>8.8260800271153406E-2</v>
          </cell>
          <cell r="I904">
            <v>3.3029506588107209E-2</v>
          </cell>
          <cell r="J904">
            <v>3.3261449446630974E-3</v>
          </cell>
        </row>
        <row r="905">
          <cell r="A905" t="str">
            <v>D-IWST</v>
          </cell>
          <cell r="B905" t="str">
            <v>VAR_fout</v>
          </cell>
          <cell r="C905" t="str">
            <v>CO2</v>
          </cell>
          <cell r="H905">
            <v>1011.77304643985</v>
          </cell>
          <cell r="I905">
            <v>996.69826572580405</v>
          </cell>
          <cell r="J905">
            <v>986.585107539761</v>
          </cell>
        </row>
        <row r="906">
          <cell r="A906" t="str">
            <v>D-IWST</v>
          </cell>
          <cell r="B906" t="str">
            <v>VAR_fout</v>
          </cell>
          <cell r="C906" t="str">
            <v>IWST</v>
          </cell>
          <cell r="H906">
            <v>10.90272679353288</v>
          </cell>
          <cell r="I906">
            <v>10.740283035838409</v>
          </cell>
          <cell r="J906">
            <v>10.631305038143978</v>
          </cell>
        </row>
        <row r="907">
          <cell r="A907" t="str">
            <v>D-IWST</v>
          </cell>
          <cell r="B907" t="str">
            <v>VAR_fin</v>
          </cell>
          <cell r="C907" t="str">
            <v>WSTNREN</v>
          </cell>
          <cell r="H907">
            <v>10.90272679353288</v>
          </cell>
          <cell r="I907">
            <v>10.740283035838409</v>
          </cell>
          <cell r="J907">
            <v>10.631305038143978</v>
          </cell>
        </row>
        <row r="908">
          <cell r="A908" t="str">
            <v>RHES-SHLFOBR</v>
          </cell>
          <cell r="B908" t="str">
            <v>VAR_fout</v>
          </cell>
          <cell r="C908" t="str">
            <v>CO2_R</v>
          </cell>
          <cell r="H908">
            <v>296.50186632361999</v>
          </cell>
          <cell r="I908">
            <v>70.847794506994902</v>
          </cell>
          <cell r="J908">
            <v>9.1321171310379707</v>
          </cell>
        </row>
        <row r="909">
          <cell r="A909" t="str">
            <v>RHES-SHLFOBR</v>
          </cell>
          <cell r="B909" t="str">
            <v>VAR_fout</v>
          </cell>
          <cell r="C909" t="str">
            <v>RHES-SHLFO</v>
          </cell>
          <cell r="H909">
            <v>3.4789217520415829</v>
          </cell>
          <cell r="I909">
            <v>0.82979862051566911</v>
          </cell>
          <cell r="J909">
            <v>0.10718287325035634</v>
          </cell>
        </row>
        <row r="910">
          <cell r="A910" t="str">
            <v>RHES-SHLFOBR</v>
          </cell>
          <cell r="B910" t="str">
            <v>VAR_fin</v>
          </cell>
          <cell r="C910" t="str">
            <v>RLFO</v>
          </cell>
          <cell r="H910">
            <v>4.0230918090043479</v>
          </cell>
          <cell r="I910">
            <v>0.96129978978283437</v>
          </cell>
          <cell r="J910">
            <v>0.12390932335193984</v>
          </cell>
        </row>
        <row r="911">
          <cell r="A911" t="str">
            <v>RHES-SHLFOBR</v>
          </cell>
          <cell r="B911" t="str">
            <v>VAR_ncap</v>
          </cell>
          <cell r="C911" t="str">
            <v>-</v>
          </cell>
          <cell r="H911">
            <v>1.4796403440110201E-5</v>
          </cell>
          <cell r="I911">
            <v>6.7074892986554904E-2</v>
          </cell>
          <cell r="J911">
            <v>6.8789016705070397E-8</v>
          </cell>
        </row>
        <row r="912">
          <cell r="A912" t="str">
            <v>RHES-SHLFOBR</v>
          </cell>
          <cell r="B912" t="str">
            <v>VAR_cap</v>
          </cell>
          <cell r="C912" t="str">
            <v>-</v>
          </cell>
          <cell r="H912">
            <v>0.28356974341797303</v>
          </cell>
          <cell r="I912">
            <v>6.7089615998343136E-2</v>
          </cell>
          <cell r="J912">
            <v>1.1474053811426098E-2</v>
          </cell>
        </row>
        <row r="913">
          <cell r="A913" t="str">
            <v>ITOT-SWHSTG</v>
          </cell>
          <cell r="B913" t="str">
            <v>VAR_fout</v>
          </cell>
          <cell r="C913" t="str">
            <v>ITOT-SWH</v>
          </cell>
          <cell r="H913">
            <v>9.9052281117558067E-4</v>
          </cell>
          <cell r="I913">
            <v>7.4768597130730361E-3</v>
          </cell>
          <cell r="J913">
            <v>0.32715525974220044</v>
          </cell>
        </row>
        <row r="914">
          <cell r="A914" t="str">
            <v>ITOT-SWHSTG</v>
          </cell>
          <cell r="B914" t="str">
            <v>VAR_fout</v>
          </cell>
          <cell r="C914" t="str">
            <v>AUX_ITOT-STG_OUT</v>
          </cell>
          <cell r="H914">
            <v>9.8942223027427534E-4</v>
          </cell>
          <cell r="I914">
            <v>7.4768597130730413E-3</v>
          </cell>
          <cell r="J914">
            <v>0.32715525974220061</v>
          </cell>
        </row>
        <row r="915">
          <cell r="A915" t="str">
            <v>ITOT-SWHSTG</v>
          </cell>
          <cell r="B915" t="str">
            <v>VAR_fin</v>
          </cell>
          <cell r="C915" t="str">
            <v>AUX_ITOT-STG_IN</v>
          </cell>
          <cell r="H915">
            <v>1.1005808457612292E-3</v>
          </cell>
          <cell r="I915">
            <v>8.0396341568012217E-3</v>
          </cell>
          <cell r="J915">
            <v>0.33045985221009733</v>
          </cell>
        </row>
        <row r="916">
          <cell r="A916" t="str">
            <v>ITOT-SWHSTG</v>
          </cell>
          <cell r="B916" t="str">
            <v>VAR_fin</v>
          </cell>
          <cell r="C916" t="str">
            <v>ITOT-SWH</v>
          </cell>
          <cell r="H916">
            <v>1.1005808457612292E-3</v>
          </cell>
          <cell r="I916">
            <v>8.0396341568012217E-3</v>
          </cell>
          <cell r="J916">
            <v>0.33045985221009733</v>
          </cell>
        </row>
        <row r="917">
          <cell r="A917" t="str">
            <v>ITOT-SWHSTG</v>
          </cell>
          <cell r="B917" t="str">
            <v>VAR_ncap</v>
          </cell>
          <cell r="C917" t="str">
            <v>-</v>
          </cell>
          <cell r="H917">
            <v>9.9769743044927808E-4</v>
          </cell>
          <cell r="I917">
            <v>5.8039087389242703E-4</v>
          </cell>
          <cell r="J917">
            <v>8.0853081395784093E-2</v>
          </cell>
        </row>
        <row r="918">
          <cell r="A918" t="str">
            <v>ITOT-SWHSTG</v>
          </cell>
          <cell r="B918" t="str">
            <v>VAR_cap</v>
          </cell>
          <cell r="C918" t="str">
            <v>-</v>
          </cell>
          <cell r="H918">
            <v>1.2114770725374549E-3</v>
          </cell>
          <cell r="I918">
            <v>1.5777785085405846E-3</v>
          </cell>
          <cell r="J918">
            <v>8.1692003719791434E-2</v>
          </cell>
        </row>
        <row r="919">
          <cell r="A919" t="str">
            <v>SCOM-SHLFOBR</v>
          </cell>
          <cell r="B919" t="str">
            <v>VAR_fout</v>
          </cell>
          <cell r="C919" t="str">
            <v>CO2_S</v>
          </cell>
          <cell r="H919">
            <v>634.95973685895694</v>
          </cell>
          <cell r="I919">
            <v>210.05480924914099</v>
          </cell>
          <cell r="J919">
            <v>16.309715327235601</v>
          </cell>
        </row>
        <row r="920">
          <cell r="A920" t="str">
            <v>SCOM-SHLFOBR</v>
          </cell>
          <cell r="B920" t="str">
            <v>VAR_fout</v>
          </cell>
          <cell r="C920" t="str">
            <v>SCOM-SHLFO</v>
          </cell>
          <cell r="H920">
            <v>7.0495698387781909</v>
          </cell>
          <cell r="I920">
            <v>2.3321101509495903</v>
          </cell>
          <cell r="J920">
            <v>0.1812322176358033</v>
          </cell>
        </row>
        <row r="921">
          <cell r="A921" t="str">
            <v>SCOM-SHLFOBR</v>
          </cell>
          <cell r="B921" t="str">
            <v>VAR_fin</v>
          </cell>
          <cell r="C921" t="str">
            <v>SLFO</v>
          </cell>
          <cell r="H921">
            <v>8.6154645435408028</v>
          </cell>
          <cell r="I921">
            <v>2.8501330970032779</v>
          </cell>
          <cell r="J921">
            <v>0.22129871543060523</v>
          </cell>
        </row>
        <row r="922">
          <cell r="A922" t="str">
            <v>SCOM-SHLFOBR</v>
          </cell>
          <cell r="B922" t="str">
            <v>VAR_ncap</v>
          </cell>
          <cell r="C922" t="str">
            <v>-</v>
          </cell>
          <cell r="H922">
            <v>0.19576394939822001</v>
          </cell>
          <cell r="I922">
            <v>4.0594174572463101E-6</v>
          </cell>
          <cell r="J922">
            <v>2.3589969453511099E-7</v>
          </cell>
        </row>
        <row r="923">
          <cell r="A923" t="str">
            <v>SCOM-SHLFOBR</v>
          </cell>
          <cell r="B923" t="str">
            <v>VAR_cap</v>
          </cell>
          <cell r="C923" t="str">
            <v>-</v>
          </cell>
          <cell r="H923">
            <v>0.60406011780375746</v>
          </cell>
          <cell r="I923">
            <v>0.19576789480423537</v>
          </cell>
          <cell r="J923">
            <v>3.0983895567349796E-2</v>
          </cell>
        </row>
        <row r="924">
          <cell r="A924" t="str">
            <v>RHNM-SHPLTBR</v>
          </cell>
          <cell r="B924" t="str">
            <v>VAR_fout</v>
          </cell>
          <cell r="C924" t="str">
            <v>RHNM-SHPLT</v>
          </cell>
        </row>
        <row r="925">
          <cell r="A925" t="str">
            <v>RHNM-SHPLTBR</v>
          </cell>
          <cell r="B925" t="str">
            <v>VAR_fin</v>
          </cell>
          <cell r="C925" t="str">
            <v>RPLT</v>
          </cell>
        </row>
        <row r="926">
          <cell r="A926" t="str">
            <v>RHNM-SHPLTBR</v>
          </cell>
          <cell r="B926" t="str">
            <v>VAR_fin</v>
          </cell>
          <cell r="C926" t="str">
            <v>RHNMPLTBRC</v>
          </cell>
        </row>
        <row r="927">
          <cell r="A927" t="str">
            <v>RHNM-SHPLTBR</v>
          </cell>
          <cell r="B927" t="str">
            <v>VAR_ncap</v>
          </cell>
          <cell r="C927" t="str">
            <v>-</v>
          </cell>
          <cell r="H927">
            <v>9.0827973255052704E-8</v>
          </cell>
          <cell r="I927">
            <v>9.0132997849912998E-8</v>
          </cell>
          <cell r="J927">
            <v>8.9863717764598399E-8</v>
          </cell>
        </row>
        <row r="928">
          <cell r="A928" t="str">
            <v>RHNM-SHPLTBR</v>
          </cell>
          <cell r="B928" t="str">
            <v>VAR_cap</v>
          </cell>
          <cell r="C928" t="str">
            <v>-</v>
          </cell>
          <cell r="H928">
            <v>1.0417384099900735E-6</v>
          </cell>
          <cell r="I928">
            <v>-7.9954202776580801E-7</v>
          </cell>
          <cell r="J928">
            <v>-6.40725488503747E-7</v>
          </cell>
        </row>
        <row r="929">
          <cell r="A929" t="str">
            <v>D-RHES_NKEV_GAS_ELC_CHP</v>
          </cell>
          <cell r="B929" t="str">
            <v>VAR_fout</v>
          </cell>
          <cell r="C929" t="str">
            <v>RHES_ELC</v>
          </cell>
          <cell r="H929">
            <v>1.5882772439485557E-3</v>
          </cell>
          <cell r="I929">
            <v>1.1007083409911359E-3</v>
          </cell>
          <cell r="J929">
            <v>9.5442487112165717E-4</v>
          </cell>
        </row>
        <row r="930">
          <cell r="A930" t="str">
            <v>D-RHES_NKEV_GAS_ELC_CHP</v>
          </cell>
          <cell r="B930" t="str">
            <v>VAR_fout</v>
          </cell>
          <cell r="C930" t="str">
            <v>ELC5</v>
          </cell>
          <cell r="H930">
            <v>6.5624678481030678E-4</v>
          </cell>
          <cell r="I930">
            <v>4.7371607837726546E-4</v>
          </cell>
          <cell r="J930">
            <v>3.4097574976198035E-4</v>
          </cell>
        </row>
        <row r="931">
          <cell r="A931" t="str">
            <v>D-RHES_NKEV_GAS_ELC_CHP</v>
          </cell>
          <cell r="B931" t="str">
            <v>VAR_fin</v>
          </cell>
          <cell r="C931" t="str">
            <v>RHES_NKEV_GAS_ELC_CHP</v>
          </cell>
          <cell r="H931">
            <v>2.2445240287588611E-3</v>
          </cell>
          <cell r="I931">
            <v>1.5744244193684012E-3</v>
          </cell>
          <cell r="J931">
            <v>1.2954006208836376E-3</v>
          </cell>
        </row>
        <row r="932">
          <cell r="A932" t="str">
            <v>SCOM-SHSTG-SOL</v>
          </cell>
          <cell r="B932" t="str">
            <v>VAR_fout</v>
          </cell>
          <cell r="C932" t="str">
            <v>SCOM-SHASOL</v>
          </cell>
          <cell r="H932">
            <v>2.2664316523267759E-5</v>
          </cell>
          <cell r="I932">
            <v>1.8823983628732741E-5</v>
          </cell>
          <cell r="J932">
            <v>1.3684319626446702E-5</v>
          </cell>
        </row>
        <row r="933">
          <cell r="A933" t="str">
            <v>SCOM-SHSTG-SOL</v>
          </cell>
          <cell r="B933" t="str">
            <v>VAR_fin</v>
          </cell>
          <cell r="C933" t="str">
            <v>SCOM-SHASOL</v>
          </cell>
          <cell r="H933">
            <v>1.8093723761918959E-5</v>
          </cell>
          <cell r="I933">
            <v>1.4491431202496651E-5</v>
          </cell>
          <cell r="J933">
            <v>7.6433058946321201E-6</v>
          </cell>
        </row>
        <row r="934">
          <cell r="A934" t="str">
            <v>SCOM-SHSTG-SOL</v>
          </cell>
          <cell r="B934" t="str">
            <v>VAR_ncap</v>
          </cell>
          <cell r="C934" t="str">
            <v>-</v>
          </cell>
          <cell r="H934">
            <v>2.00934810032149E-2</v>
          </cell>
          <cell r="I934">
            <v>1.7239240566673399E-2</v>
          </cell>
          <cell r="J934">
            <v>2.6818314977956101E-2</v>
          </cell>
        </row>
        <row r="935">
          <cell r="A935" t="str">
            <v>SCOM-SHSTG-SOL</v>
          </cell>
          <cell r="B935" t="str">
            <v>VAR_cap</v>
          </cell>
          <cell r="C935" t="str">
            <v>-</v>
          </cell>
          <cell r="H935">
            <v>3.3416733182366598E-2</v>
          </cell>
          <cell r="I935">
            <v>4.0327314494630097E-2</v>
          </cell>
          <cell r="J935">
            <v>4.7828844774579403E-2</v>
          </cell>
        </row>
        <row r="936">
          <cell r="A936" t="str">
            <v>RHNM-SHELCBRA</v>
          </cell>
          <cell r="B936" t="str">
            <v>VAR_fout</v>
          </cell>
          <cell r="C936" t="str">
            <v>RHNM-SHELCB</v>
          </cell>
          <cell r="H936">
            <v>2.0081976409963265E-3</v>
          </cell>
          <cell r="I936">
            <v>1.8997115762169278E-3</v>
          </cell>
          <cell r="J936">
            <v>1.2080842030432019E-3</v>
          </cell>
        </row>
        <row r="937">
          <cell r="A937" t="str">
            <v>RHNM-SHELCBRA</v>
          </cell>
          <cell r="B937" t="str">
            <v>VAR_fin</v>
          </cell>
          <cell r="C937" t="str">
            <v>RHNM-SHAELCB</v>
          </cell>
          <cell r="H937">
            <v>2.0081976409963265E-3</v>
          </cell>
          <cell r="I937">
            <v>1.8997115762169278E-3</v>
          </cell>
          <cell r="J937">
            <v>1.2080842030432019E-3</v>
          </cell>
        </row>
        <row r="938">
          <cell r="A938" t="str">
            <v>RHNM-SHELCBRA</v>
          </cell>
          <cell r="B938" t="str">
            <v>VAR_ncap</v>
          </cell>
          <cell r="C938" t="str">
            <v>-</v>
          </cell>
          <cell r="H938">
            <v>7.68558695310749E-4</v>
          </cell>
        </row>
        <row r="939">
          <cell r="A939" t="str">
            <v>RHNM-SHELCBRA</v>
          </cell>
          <cell r="B939" t="str">
            <v>VAR_cap</v>
          </cell>
          <cell r="C939" t="str">
            <v>-</v>
          </cell>
          <cell r="H939">
            <v>5.9640190935607903E-3</v>
          </cell>
          <cell r="I939">
            <v>7.3037565250150824E-4</v>
          </cell>
          <cell r="J939">
            <v>3.0824717520441309E-4</v>
          </cell>
        </row>
        <row r="940">
          <cell r="A940" t="str">
            <v>RHNM-SHSTG-SOL</v>
          </cell>
          <cell r="B940" t="str">
            <v>VAR_fout</v>
          </cell>
          <cell r="C940" t="str">
            <v>AUX_RHNM-SHSTG-SOL_OUT</v>
          </cell>
          <cell r="H940">
            <v>1.6357703229607316E-4</v>
          </cell>
          <cell r="I940">
            <v>1.576736279005672E-4</v>
          </cell>
          <cell r="J940">
            <v>1.15358629279322E-4</v>
          </cell>
        </row>
        <row r="941">
          <cell r="A941" t="str">
            <v>RHNM-SHSTG-SOL</v>
          </cell>
          <cell r="B941" t="str">
            <v>VAR_fout</v>
          </cell>
          <cell r="C941" t="str">
            <v>RHNM-SHASOL</v>
          </cell>
          <cell r="H941">
            <v>1.6341361867739575E-4</v>
          </cell>
          <cell r="I941">
            <v>1.5751611178877847E-4</v>
          </cell>
          <cell r="J941">
            <v>1.1524338589342867E-4</v>
          </cell>
        </row>
        <row r="942">
          <cell r="A942" t="str">
            <v>RHNM-SHSTG-SOL</v>
          </cell>
          <cell r="B942" t="str">
            <v>VAR_fin</v>
          </cell>
          <cell r="C942" t="str">
            <v>RHNM-SHASOL</v>
          </cell>
          <cell r="H942">
            <v>1.6220072007847353E-4</v>
          </cell>
          <cell r="I942">
            <v>1.5919173923564981E-4</v>
          </cell>
          <cell r="J942">
            <v>1.1932950953515605E-4</v>
          </cell>
        </row>
        <row r="943">
          <cell r="A943" t="str">
            <v>RHNM-SHSTG-SOL</v>
          </cell>
          <cell r="B943" t="str">
            <v>VAR_ncap</v>
          </cell>
          <cell r="C943" t="str">
            <v>-</v>
          </cell>
          <cell r="H943">
            <v>7.5982836475101699E-7</v>
          </cell>
          <cell r="I943">
            <v>2.7419545794221101E-5</v>
          </cell>
          <cell r="J943">
            <v>1.6454308685101499E-5</v>
          </cell>
        </row>
        <row r="944">
          <cell r="A944" t="str">
            <v>RHNM-SHSTG-SOL</v>
          </cell>
          <cell r="B944" t="str">
            <v>VAR_cap</v>
          </cell>
          <cell r="C944" t="str">
            <v>-</v>
          </cell>
          <cell r="H944">
            <v>1.70602969852813E-4</v>
          </cell>
          <cell r="I944">
            <v>5.3402735688152597E-5</v>
          </cell>
          <cell r="J944">
            <v>3.6674995611642298E-5</v>
          </cell>
        </row>
        <row r="945">
          <cell r="A945" t="str">
            <v>RHNS-SHELCHP</v>
          </cell>
          <cell r="B945" t="str">
            <v>VAR_fout</v>
          </cell>
          <cell r="C945" t="str">
            <v>RHNS-SHAELCH</v>
          </cell>
          <cell r="H945">
            <v>2.6486370716112111</v>
          </cell>
          <cell r="I945">
            <v>3.006885422708232</v>
          </cell>
          <cell r="J945">
            <v>3.2831872941513844</v>
          </cell>
        </row>
        <row r="946">
          <cell r="A946" t="str">
            <v>RHNS-SHELCHP</v>
          </cell>
          <cell r="B946" t="str">
            <v>VAR_fin</v>
          </cell>
          <cell r="C946" t="str">
            <v>RHNS_ELC</v>
          </cell>
          <cell r="H946">
            <v>0.69600594590538289</v>
          </cell>
          <cell r="I946">
            <v>0.76798789925202282</v>
          </cell>
          <cell r="J946">
            <v>0.77709467374209296</v>
          </cell>
        </row>
        <row r="947">
          <cell r="A947" t="str">
            <v>RHNS-SHELCHP</v>
          </cell>
          <cell r="B947" t="str">
            <v>VAR_fin</v>
          </cell>
          <cell r="C947" t="str">
            <v>RHNSELCHPC</v>
          </cell>
          <cell r="H947">
            <v>2.6486370716112111</v>
          </cell>
          <cell r="I947">
            <v>3.006885422708232</v>
          </cell>
          <cell r="J947">
            <v>3.2831872941513844</v>
          </cell>
        </row>
        <row r="948">
          <cell r="A948" t="str">
            <v>RHNS-SHELCHP</v>
          </cell>
          <cell r="B948" t="str">
            <v>VAR_ncap</v>
          </cell>
          <cell r="C948" t="str">
            <v>-</v>
          </cell>
          <cell r="H948">
            <v>6.6391470825313603E-2</v>
          </cell>
          <cell r="I948">
            <v>0.10694166268079899</v>
          </cell>
          <cell r="J948">
            <v>0.13348488485340201</v>
          </cell>
        </row>
        <row r="949">
          <cell r="A949" t="str">
            <v>RHNS-SHELCHP</v>
          </cell>
          <cell r="B949" t="str">
            <v>VAR_cap</v>
          </cell>
          <cell r="C949" t="str">
            <v>-</v>
          </cell>
          <cell r="H949">
            <v>0.19300136699280776</v>
          </cell>
          <cell r="I949">
            <v>0.22000380098843522</v>
          </cell>
          <cell r="J949">
            <v>0.23917916571204251</v>
          </cell>
        </row>
        <row r="950">
          <cell r="A950" t="str">
            <v>SCOM-SHBIOBR</v>
          </cell>
          <cell r="B950" t="str">
            <v>VAR_fout</v>
          </cell>
          <cell r="C950" t="str">
            <v>SCOM-SHBIO</v>
          </cell>
        </row>
        <row r="951">
          <cell r="A951" t="str">
            <v>SCOM-SHBIOBR</v>
          </cell>
          <cell r="B951" t="str">
            <v>VAR_fin</v>
          </cell>
          <cell r="C951" t="str">
            <v>SBIO</v>
          </cell>
        </row>
        <row r="952">
          <cell r="A952" t="str">
            <v>SCOM-SHBIOBR</v>
          </cell>
          <cell r="B952" t="str">
            <v>VAR_ncap</v>
          </cell>
          <cell r="C952" t="str">
            <v>-</v>
          </cell>
          <cell r="H952">
            <v>3.1016095830075398E-5</v>
          </cell>
          <cell r="I952">
            <v>3.2964930093031698E-5</v>
          </cell>
          <cell r="J952">
            <v>1.8772896801251E-5</v>
          </cell>
        </row>
        <row r="953">
          <cell r="A953" t="str">
            <v>SCOM-SHBIOBR</v>
          </cell>
          <cell r="B953" t="str">
            <v>VAR_cap</v>
          </cell>
          <cell r="C953" t="str">
            <v>-</v>
          </cell>
          <cell r="H953">
            <v>2.7338654739737817E-2</v>
          </cell>
          <cell r="I953">
            <v>6.311197081252744E-5</v>
          </cell>
          <cell r="J953">
            <v>5.4877683986477567E-5</v>
          </cell>
        </row>
        <row r="954">
          <cell r="A954" t="str">
            <v>RHES-SHDEM</v>
          </cell>
          <cell r="B954" t="str">
            <v>VAR_fout</v>
          </cell>
          <cell r="C954" t="str">
            <v>RHES-SHD</v>
          </cell>
          <cell r="H954">
            <v>52.569661236455588</v>
          </cell>
          <cell r="I954">
            <v>51.190858949160138</v>
          </cell>
          <cell r="J954">
            <v>49.5240769928213</v>
          </cell>
        </row>
        <row r="955">
          <cell r="A955" t="str">
            <v>RHES-SHDEM</v>
          </cell>
          <cell r="B955" t="str">
            <v>VAR_fin</v>
          </cell>
          <cell r="C955" t="str">
            <v>RHES-SHPLT</v>
          </cell>
          <cell r="H955">
            <v>1.0197020198523534E-2</v>
          </cell>
          <cell r="I955">
            <v>7.8305521398532533E-3</v>
          </cell>
          <cell r="J955">
            <v>3.5794633119220322E-3</v>
          </cell>
        </row>
        <row r="956">
          <cell r="A956" t="str">
            <v>RHES-SHDEM</v>
          </cell>
          <cell r="B956" t="str">
            <v>VAR_fin</v>
          </cell>
          <cell r="C956" t="str">
            <v>RHES-SHLTHC-NGA</v>
          </cell>
          <cell r="I956">
            <v>4.5001225606251582E-7</v>
          </cell>
        </row>
        <row r="957">
          <cell r="A957" t="str">
            <v>RHES-SHDEM</v>
          </cell>
          <cell r="B957" t="str">
            <v>VAR_fin</v>
          </cell>
          <cell r="C957" t="str">
            <v>RHES-SHSOL</v>
          </cell>
          <cell r="H957">
            <v>3.0572696554567957E-2</v>
          </cell>
          <cell r="I957">
            <v>3.1471724831837522E-2</v>
          </cell>
          <cell r="J957">
            <v>3.0742571078529183E-2</v>
          </cell>
        </row>
        <row r="958">
          <cell r="A958" t="str">
            <v>RHES-SHDEM</v>
          </cell>
          <cell r="B958" t="str">
            <v>VAR_fin</v>
          </cell>
          <cell r="C958" t="str">
            <v>RHES-SHLTHC-WOD</v>
          </cell>
          <cell r="I958">
            <v>3.6272020645500425E-7</v>
          </cell>
        </row>
        <row r="959">
          <cell r="A959" t="str">
            <v>RHES-SHDEM</v>
          </cell>
          <cell r="B959" t="str">
            <v>VAR_fin</v>
          </cell>
          <cell r="C959" t="str">
            <v>RHES-SHNGA</v>
          </cell>
          <cell r="H959">
            <v>4.0174432914370639</v>
          </cell>
          <cell r="I959">
            <v>1.5832514499059154</v>
          </cell>
          <cell r="J959">
            <v>0.70303355924140454</v>
          </cell>
        </row>
        <row r="960">
          <cell r="A960" t="str">
            <v>RHES-SHDEM</v>
          </cell>
          <cell r="B960" t="str">
            <v>VAR_fin</v>
          </cell>
          <cell r="C960" t="str">
            <v>RHES-SHNGAH</v>
          </cell>
          <cell r="H960">
            <v>1.4321678061648611</v>
          </cell>
          <cell r="I960">
            <v>1.3297666406012765</v>
          </cell>
          <cell r="J960">
            <v>1.0400840118569838</v>
          </cell>
        </row>
        <row r="961">
          <cell r="A961" t="str">
            <v>RHES-SHDEM</v>
          </cell>
          <cell r="B961" t="str">
            <v>VAR_fin</v>
          </cell>
          <cell r="C961" t="str">
            <v>RHES-SHCOA</v>
          </cell>
          <cell r="H961">
            <v>6.2694790902687183E-7</v>
          </cell>
          <cell r="I961">
            <v>9.6721181045989685E-7</v>
          </cell>
          <cell r="J961">
            <v>3.0760361964355116E-6</v>
          </cell>
        </row>
        <row r="962">
          <cell r="A962" t="str">
            <v>RHES-SHDEM</v>
          </cell>
          <cell r="B962" t="str">
            <v>VAR_fin</v>
          </cell>
          <cell r="C962" t="str">
            <v>RHES-SHLFO</v>
          </cell>
          <cell r="H962">
            <v>3.4789318244276854</v>
          </cell>
          <cell r="I962">
            <v>0.82980700420551567</v>
          </cell>
          <cell r="J962">
            <v>0.10718919618096326</v>
          </cell>
        </row>
        <row r="963">
          <cell r="A963" t="str">
            <v>RHES-SHDEM</v>
          </cell>
          <cell r="B963" t="str">
            <v>VAR_fin</v>
          </cell>
          <cell r="C963" t="str">
            <v>RHES-SHCON</v>
          </cell>
          <cell r="H963">
            <v>7.7627543933861949</v>
          </cell>
          <cell r="I963">
            <v>9.8591769966881486</v>
          </cell>
          <cell r="J963">
            <v>14.826388781155005</v>
          </cell>
        </row>
        <row r="964">
          <cell r="A964" t="str">
            <v>RHES-SHDEM</v>
          </cell>
          <cell r="B964" t="str">
            <v>VAR_fin</v>
          </cell>
          <cell r="C964" t="str">
            <v>RHES-SHWOD</v>
          </cell>
          <cell r="H964">
            <v>2.890959012907877</v>
          </cell>
          <cell r="I964">
            <v>2.0902385060841842</v>
          </cell>
          <cell r="J964">
            <v>0.91362233882927812</v>
          </cell>
        </row>
        <row r="965">
          <cell r="A965" t="str">
            <v>RHES-SHDEM</v>
          </cell>
          <cell r="B965" t="str">
            <v>VAR_fin</v>
          </cell>
          <cell r="C965" t="str">
            <v>RHES-SHLTHD</v>
          </cell>
          <cell r="H965">
            <v>3.5137448425113322</v>
          </cell>
          <cell r="I965">
            <v>3.7558815470433626</v>
          </cell>
          <cell r="J965">
            <v>3.2454075699120279</v>
          </cell>
        </row>
        <row r="966">
          <cell r="A966" t="str">
            <v>RHES-SHDEM</v>
          </cell>
          <cell r="B966" t="str">
            <v>VAR_fin</v>
          </cell>
          <cell r="C966" t="str">
            <v>RHES-SHELCB</v>
          </cell>
          <cell r="H966">
            <v>6.1065156603375961E-3</v>
          </cell>
          <cell r="I966">
            <v>2.0546376927120516E-3</v>
          </cell>
          <cell r="J966">
            <v>6.010166647286016E-4</v>
          </cell>
        </row>
        <row r="967">
          <cell r="A967" t="str">
            <v>RHES-SHDEM</v>
          </cell>
          <cell r="B967" t="str">
            <v>VAR_fin</v>
          </cell>
          <cell r="C967" t="str">
            <v>RHES-SHELCH</v>
          </cell>
          <cell r="H967">
            <v>29.427387639531165</v>
          </cell>
          <cell r="I967">
            <v>31.701814762018678</v>
          </cell>
          <cell r="J967">
            <v>28.653788561323026</v>
          </cell>
        </row>
        <row r="968">
          <cell r="A968" t="str">
            <v>RHES-SHDEM</v>
          </cell>
          <cell r="B968" t="str">
            <v>VAR_fin</v>
          </cell>
          <cell r="C968" t="str">
            <v>RHES-SHNST</v>
          </cell>
          <cell r="H968">
            <v>3.3629241452625665E-6</v>
          </cell>
          <cell r="I968">
            <v>1.221466070835226E-6</v>
          </cell>
          <cell r="J968">
            <v>1.1687997003387241E-6</v>
          </cell>
        </row>
        <row r="969">
          <cell r="A969" t="str">
            <v>D-RHEM_LTH_CHPNGA</v>
          </cell>
          <cell r="B969" t="str">
            <v>VAR_fout</v>
          </cell>
          <cell r="C969" t="str">
            <v>RHSA_LTH</v>
          </cell>
          <cell r="H969">
            <v>1.8620941336428871</v>
          </cell>
          <cell r="I969">
            <v>0.31338533377803013</v>
          </cell>
          <cell r="J969">
            <v>1.2569809506845191</v>
          </cell>
        </row>
        <row r="970">
          <cell r="A970" t="str">
            <v>D-RHEM_LTH_CHPNGA</v>
          </cell>
          <cell r="B970" t="str">
            <v>VAR_fout</v>
          </cell>
          <cell r="C970" t="str">
            <v>RHEM_LTH_CHPNGA_ON</v>
          </cell>
          <cell r="H970">
            <v>5.531522564592091E-2</v>
          </cell>
          <cell r="I970">
            <v>0.7802901227136253</v>
          </cell>
          <cell r="J970">
            <v>4.9954396578271783E-2</v>
          </cell>
        </row>
        <row r="971">
          <cell r="A971" t="str">
            <v>D-RHEM_LTH_CHPNGA</v>
          </cell>
          <cell r="B971" t="str">
            <v>VAR_fout</v>
          </cell>
          <cell r="C971" t="str">
            <v>LTH</v>
          </cell>
          <cell r="H971">
            <v>1.663745610393168E-3</v>
          </cell>
          <cell r="I971">
            <v>2.7350931985762844E-3</v>
          </cell>
          <cell r="J971">
            <v>2.0845697442463183E-3</v>
          </cell>
        </row>
        <row r="972">
          <cell r="A972" t="str">
            <v>D-RHEM_LTH_CHPNGA</v>
          </cell>
          <cell r="B972" t="str">
            <v>VAR_fin</v>
          </cell>
          <cell r="C972" t="str">
            <v>RHEM_LTH_CHPNGA</v>
          </cell>
          <cell r="H972">
            <v>1.9190731048992027</v>
          </cell>
          <cell r="I972">
            <v>1.0964107359476754</v>
          </cell>
          <cell r="J972">
            <v>1.3090199170070385</v>
          </cell>
        </row>
        <row r="973">
          <cell r="A973" t="str">
            <v>RHEM-SHLTHCHPNGA</v>
          </cell>
          <cell r="B973" t="str">
            <v>VAR_fout</v>
          </cell>
          <cell r="C973" t="str">
            <v>RHEM-SHLTHC-NGA</v>
          </cell>
        </row>
        <row r="974">
          <cell r="A974" t="str">
            <v>RHEM-SHLTHCHPNGA</v>
          </cell>
          <cell r="B974" t="str">
            <v>VAR_fin</v>
          </cell>
          <cell r="C974" t="str">
            <v>RHEM_LTH_CHPNGA_ON</v>
          </cell>
        </row>
        <row r="975">
          <cell r="A975" t="str">
            <v>RHEM-SHLTHCHPNGA</v>
          </cell>
          <cell r="B975" t="str">
            <v>VAR_fin</v>
          </cell>
          <cell r="C975" t="str">
            <v>RHEMLTHCHPC</v>
          </cell>
        </row>
        <row r="976">
          <cell r="A976" t="str">
            <v>RHEM-SHLTHCHPNGA</v>
          </cell>
          <cell r="B976" t="str">
            <v>VAR_ncap</v>
          </cell>
          <cell r="C976" t="str">
            <v>-</v>
          </cell>
          <cell r="H976">
            <v>3.9084952948769403E-2</v>
          </cell>
          <cell r="I976">
            <v>2.2606879798733499E-2</v>
          </cell>
          <cell r="J976">
            <v>1.5048097471275E-2</v>
          </cell>
        </row>
        <row r="977">
          <cell r="A977" t="str">
            <v>RHEM-SHLTHCHPNGA</v>
          </cell>
          <cell r="B977" t="str">
            <v>VAR_cap</v>
          </cell>
          <cell r="C977" t="str">
            <v>-</v>
          </cell>
          <cell r="H977">
            <v>6.661702186215078E-2</v>
          </cell>
          <cell r="I977">
            <v>6.1051706381180695E-2</v>
          </cell>
          <cell r="J977">
            <v>3.0560196777535902E-2</v>
          </cell>
        </row>
        <row r="978">
          <cell r="A978" t="str">
            <v>D-RHES_SOLELC</v>
          </cell>
          <cell r="B978" t="str">
            <v>VAR_fout</v>
          </cell>
          <cell r="C978" t="str">
            <v>RHES_ELC</v>
          </cell>
          <cell r="H978">
            <v>4.610051679619585</v>
          </cell>
          <cell r="I978">
            <v>4.8936607418566807</v>
          </cell>
          <cell r="J978">
            <v>5.5140573702820506</v>
          </cell>
        </row>
        <row r="979">
          <cell r="A979" t="str">
            <v>D-RHES_SOLELC</v>
          </cell>
          <cell r="B979" t="str">
            <v>VAR_fout</v>
          </cell>
          <cell r="C979" t="str">
            <v>ELC5</v>
          </cell>
          <cell r="H979">
            <v>9.1583957059870999E-4</v>
          </cell>
          <cell r="I979">
            <v>7.0085690765347227E-4</v>
          </cell>
          <cell r="J979">
            <v>4.2069914848186311E-4</v>
          </cell>
        </row>
        <row r="980">
          <cell r="A980" t="str">
            <v>D-RHES_SOLELC</v>
          </cell>
          <cell r="B980" t="str">
            <v>VAR_fin</v>
          </cell>
          <cell r="C980" t="str">
            <v>RHES_SOL_ELC</v>
          </cell>
          <cell r="H980">
            <v>4.6109675191901847</v>
          </cell>
          <cell r="I980">
            <v>4.8943615987643314</v>
          </cell>
          <cell r="J980">
            <v>5.5144780694305275</v>
          </cell>
        </row>
        <row r="981">
          <cell r="A981" t="str">
            <v>RHNM-SHCONBR1</v>
          </cell>
          <cell r="B981" t="str">
            <v>VAR_ncap</v>
          </cell>
          <cell r="C981" t="str">
            <v>-</v>
          </cell>
          <cell r="H981">
            <v>1.9456335274386301</v>
          </cell>
        </row>
        <row r="982">
          <cell r="A982" t="str">
            <v>RHNM-SHCONBR1</v>
          </cell>
          <cell r="B982" t="str">
            <v>VAR_cap</v>
          </cell>
          <cell r="C982" t="str">
            <v>-</v>
          </cell>
          <cell r="H982">
            <v>4.8945815352919908</v>
          </cell>
          <cell r="I982">
            <v>2.8320214803719637</v>
          </cell>
          <cell r="J982">
            <v>1.2717777909840038</v>
          </cell>
        </row>
        <row r="983">
          <cell r="A983" t="str">
            <v>ITOT-SWHHFOBR</v>
          </cell>
          <cell r="B983" t="str">
            <v>VAR_fout</v>
          </cell>
          <cell r="C983" t="str">
            <v>ITOT-SWH</v>
          </cell>
          <cell r="H983">
            <v>3.0756971893510334E-4</v>
          </cell>
          <cell r="I983">
            <v>3.9916281291193689E-6</v>
          </cell>
        </row>
        <row r="984">
          <cell r="A984" t="str">
            <v>ITOT-SWHHFOBR</v>
          </cell>
          <cell r="B984" t="str">
            <v>VAR_fout</v>
          </cell>
          <cell r="C984" t="str">
            <v>CO2_I</v>
          </cell>
          <cell r="H984">
            <v>3.3926572990244999E-2</v>
          </cell>
          <cell r="I984">
            <v>4.3573328505006699E-4</v>
          </cell>
        </row>
        <row r="985">
          <cell r="A985" t="str">
            <v>ITOT-SWHHFOBR</v>
          </cell>
          <cell r="B985" t="str">
            <v>VAR_fin</v>
          </cell>
          <cell r="C985" t="str">
            <v>IHFO</v>
          </cell>
          <cell r="H985">
            <v>4.4060484402915688E-4</v>
          </cell>
          <cell r="I985">
            <v>5.6588738318190595E-6</v>
          </cell>
        </row>
        <row r="986">
          <cell r="A986" t="str">
            <v>ITOT-SWHHFOBR</v>
          </cell>
          <cell r="B986" t="str">
            <v>VAR_ncap</v>
          </cell>
          <cell r="C986" t="str">
            <v>-</v>
          </cell>
          <cell r="H986">
            <v>1.64572742825282E-5</v>
          </cell>
          <cell r="I986">
            <v>4.57294722802867E-6</v>
          </cell>
          <cell r="J986">
            <v>1.2562159441020399E-6</v>
          </cell>
        </row>
        <row r="987">
          <cell r="A987" t="str">
            <v>ITOT-SWHHFOBR</v>
          </cell>
          <cell r="B987" t="str">
            <v>VAR_cap</v>
          </cell>
          <cell r="C987" t="str">
            <v>-</v>
          </cell>
          <cell r="H987">
            <v>2.8956331376586014E-5</v>
          </cell>
          <cell r="I987">
            <v>3.5880241590879587E-7</v>
          </cell>
          <cell r="J987">
            <v>-2.0032026828797004E-6</v>
          </cell>
        </row>
        <row r="988">
          <cell r="A988" t="str">
            <v>RHNM-SHCONBR2</v>
          </cell>
          <cell r="B988" t="str">
            <v>VAR_ncap</v>
          </cell>
          <cell r="C988" t="str">
            <v>-</v>
          </cell>
          <cell r="H988">
            <v>1.9456335274386301</v>
          </cell>
        </row>
        <row r="989">
          <cell r="A989" t="str">
            <v>RHNM-SHCONBR2</v>
          </cell>
          <cell r="B989" t="str">
            <v>VAR_cap</v>
          </cell>
          <cell r="C989" t="str">
            <v>-</v>
          </cell>
          <cell r="H989">
            <v>4.8945815352919908</v>
          </cell>
          <cell r="I989">
            <v>2.8320214803719637</v>
          </cell>
          <cell r="J989">
            <v>1.2717777909840038</v>
          </cell>
        </row>
        <row r="990">
          <cell r="A990" t="str">
            <v>RHSA-WHSTG-ELCHP</v>
          </cell>
          <cell r="B990" t="str">
            <v>VAR_fout</v>
          </cell>
          <cell r="C990" t="str">
            <v>AUX_RHSA-WHSTG-ELCHP_OUT</v>
          </cell>
          <cell r="H990">
            <v>1.9989503563223034</v>
          </cell>
          <cell r="I990">
            <v>2.8882784619592932</v>
          </cell>
          <cell r="J990">
            <v>2.7174087641811018</v>
          </cell>
        </row>
        <row r="991">
          <cell r="A991" t="str">
            <v>RHSA-WHSTG-ELCHP</v>
          </cell>
          <cell r="B991" t="str">
            <v>VAR_fout</v>
          </cell>
          <cell r="C991" t="str">
            <v>RHSA-WHAELCH</v>
          </cell>
          <cell r="H991">
            <v>1.9969534029193823</v>
          </cell>
          <cell r="I991">
            <v>2.8853930688904064</v>
          </cell>
          <cell r="J991">
            <v>2.7146940701109918</v>
          </cell>
        </row>
        <row r="992">
          <cell r="A992" t="str">
            <v>RHSA-WHSTG-ELCHP</v>
          </cell>
          <cell r="B992" t="str">
            <v>VAR_fin</v>
          </cell>
          <cell r="C992" t="str">
            <v>RHSA-WHAELCH</v>
          </cell>
          <cell r="H992">
            <v>1.9969621119196466</v>
          </cell>
          <cell r="I992">
            <v>2.8854021936334653</v>
          </cell>
          <cell r="J992">
            <v>2.71470155855341</v>
          </cell>
        </row>
        <row r="993">
          <cell r="A993" t="str">
            <v>RHSA-WHSTG-ELCHP</v>
          </cell>
          <cell r="B993" t="str">
            <v>VAR_ncap</v>
          </cell>
          <cell r="C993" t="str">
            <v>-</v>
          </cell>
          <cell r="H993">
            <v>9.1402101736840699E-2</v>
          </cell>
          <cell r="I993">
            <v>0.103793308837471</v>
          </cell>
          <cell r="J993">
            <v>0.15468964367058999</v>
          </cell>
        </row>
        <row r="994">
          <cell r="A994" t="str">
            <v>RHSA-WHSTG-ELCHP</v>
          </cell>
          <cell r="B994" t="str">
            <v>VAR_cap</v>
          </cell>
          <cell r="C994" t="str">
            <v>-</v>
          </cell>
          <cell r="H994">
            <v>0.19306558636139523</v>
          </cell>
          <cell r="I994">
            <v>0.24181932863899577</v>
          </cell>
          <cell r="J994">
            <v>0.26863062780591063</v>
          </cell>
        </row>
        <row r="995">
          <cell r="A995" t="str">
            <v>RHNM-SHCONBR3</v>
          </cell>
          <cell r="B995" t="str">
            <v>VAR_ncap</v>
          </cell>
          <cell r="C995" t="str">
            <v>-</v>
          </cell>
          <cell r="H995">
            <v>1.9456335274386301</v>
          </cell>
        </row>
        <row r="996">
          <cell r="A996" t="str">
            <v>RHNM-SHCONBR3</v>
          </cell>
          <cell r="B996" t="str">
            <v>VAR_cap</v>
          </cell>
          <cell r="C996" t="str">
            <v>-</v>
          </cell>
          <cell r="H996">
            <v>4.8945815352919908</v>
          </cell>
          <cell r="I996">
            <v>2.8320214803719637</v>
          </cell>
          <cell r="J996">
            <v>1.2717777909840038</v>
          </cell>
        </row>
        <row r="997">
          <cell r="A997" t="str">
            <v>RES-ELCSPECADV</v>
          </cell>
          <cell r="B997" t="str">
            <v>VAR_fout</v>
          </cell>
          <cell r="C997" t="str">
            <v>RHSA-ELS</v>
          </cell>
          <cell r="H997">
            <v>21.490380130494788</v>
          </cell>
          <cell r="I997">
            <v>31.665634038576027</v>
          </cell>
          <cell r="J997">
            <v>50.946310818140446</v>
          </cell>
        </row>
        <row r="998">
          <cell r="A998" t="str">
            <v>RES-ELCSPECADV</v>
          </cell>
          <cell r="B998" t="str">
            <v>VAR_fin</v>
          </cell>
          <cell r="C998" t="str">
            <v>RHSA_ELC</v>
          </cell>
          <cell r="H998">
            <v>14.32692008699652</v>
          </cell>
          <cell r="I998">
            <v>21.110422692384002</v>
          </cell>
          <cell r="J998">
            <v>33.964207212093662</v>
          </cell>
        </row>
        <row r="999">
          <cell r="A999" t="str">
            <v>RES-ELCSPECADV</v>
          </cell>
          <cell r="B999" t="str">
            <v>VAR_ncap</v>
          </cell>
          <cell r="C999" t="str">
            <v>-</v>
          </cell>
          <cell r="H999">
            <v>1.11363162464113</v>
          </cell>
          <cell r="I999">
            <v>1.0755174690995699</v>
          </cell>
          <cell r="J999">
            <v>2.43993920741744</v>
          </cell>
        </row>
        <row r="1000">
          <cell r="A1000" t="str">
            <v>RES-ELCSPECADV</v>
          </cell>
          <cell r="B1000" t="str">
            <v>VAR_cap</v>
          </cell>
          <cell r="C1000" t="str">
            <v>-</v>
          </cell>
          <cell r="H1000">
            <v>2.2715178028949792</v>
          </cell>
          <cell r="I1000">
            <v>3.3470352424860912</v>
          </cell>
          <cell r="J1000">
            <v>5.3849894149968449</v>
          </cell>
        </row>
        <row r="1001">
          <cell r="A1001" t="str">
            <v>ITOT-SWHSTG-ELCHP</v>
          </cell>
          <cell r="B1001" t="str">
            <v>VAR_fout</v>
          </cell>
          <cell r="C1001" t="str">
            <v>ITOT-SWHAELCH</v>
          </cell>
          <cell r="H1001">
            <v>4.5912466904063771E-4</v>
          </cell>
          <cell r="I1001">
            <v>2.4494184841565322E-3</v>
          </cell>
          <cell r="J1001">
            <v>2.2970123172072615E-2</v>
          </cell>
        </row>
        <row r="1002">
          <cell r="A1002" t="str">
            <v>ITOT-SWHSTG-ELCHP</v>
          </cell>
          <cell r="B1002" t="str">
            <v>VAR_fin</v>
          </cell>
          <cell r="C1002" t="str">
            <v>ITOT-SWHAELCH</v>
          </cell>
          <cell r="H1002">
            <v>5.665653181688953E-4</v>
          </cell>
          <cell r="I1002">
            <v>2.9143161564845429E-3</v>
          </cell>
          <cell r="J1002">
            <v>2.5545320614975497E-2</v>
          </cell>
        </row>
        <row r="1003">
          <cell r="A1003" t="str">
            <v>ITOT-SWHSTG-ELCHP</v>
          </cell>
          <cell r="B1003" t="str">
            <v>VAR_ncap</v>
          </cell>
          <cell r="C1003" t="str">
            <v>-</v>
          </cell>
          <cell r="H1003">
            <v>5.8581124073034098E-2</v>
          </cell>
          <cell r="I1003">
            <v>1.3488283154504401E-2</v>
          </cell>
          <cell r="J1003">
            <v>5.7034329204166102E-2</v>
          </cell>
        </row>
        <row r="1004">
          <cell r="A1004" t="str">
            <v>ITOT-SWHSTG-ELCHP</v>
          </cell>
          <cell r="B1004" t="str">
            <v>VAR_cap</v>
          </cell>
          <cell r="C1004" t="str">
            <v>-</v>
          </cell>
          <cell r="H1004">
            <v>9.1047712354611926E-2</v>
          </cell>
          <cell r="I1004">
            <v>9.1016771163109716E-2</v>
          </cell>
          <cell r="J1004">
            <v>9.1554414379028823E-2</v>
          </cell>
        </row>
        <row r="1005">
          <cell r="A1005" t="str">
            <v>D-RHNS_LTH_CHPWOD</v>
          </cell>
          <cell r="B1005" t="str">
            <v>VAR_fout</v>
          </cell>
          <cell r="C1005" t="str">
            <v>RHNS_LTH_CHPWOD_ON</v>
          </cell>
          <cell r="J1005">
            <v>1.7211295346068793E-4</v>
          </cell>
        </row>
        <row r="1006">
          <cell r="A1006" t="str">
            <v>D-RHNS_LTH_CHPWOD</v>
          </cell>
          <cell r="B1006" t="str">
            <v>VAR_fout</v>
          </cell>
          <cell r="C1006" t="str">
            <v>RHSA_LTH</v>
          </cell>
          <cell r="H1006">
            <v>2.8177794524248756E-3</v>
          </cell>
          <cell r="I1006">
            <v>4.4445225639087836E-3</v>
          </cell>
          <cell r="J1006">
            <v>2.0364249730092047E-3</v>
          </cell>
        </row>
        <row r="1007">
          <cell r="A1007" t="str">
            <v>D-RHNS_LTH_CHPWOD</v>
          </cell>
          <cell r="B1007" t="str">
            <v>VAR_fout</v>
          </cell>
          <cell r="C1007" t="str">
            <v>LTH</v>
          </cell>
          <cell r="H1007">
            <v>2.0492035667676471E-6</v>
          </cell>
          <cell r="I1007">
            <v>7.3063022035089451E-6</v>
          </cell>
          <cell r="J1007">
            <v>3.978707029539901E-6</v>
          </cell>
        </row>
        <row r="1008">
          <cell r="A1008" t="str">
            <v>D-RHNS_LTH_CHPWOD</v>
          </cell>
          <cell r="B1008" t="str">
            <v>VAR_fin</v>
          </cell>
          <cell r="C1008" t="str">
            <v>RHNS_LTH_CHPWOD</v>
          </cell>
          <cell r="H1008">
            <v>2.8205382922747491E-3</v>
          </cell>
          <cell r="I1008">
            <v>4.4523469456614643E-3</v>
          </cell>
          <cell r="J1008">
            <v>2.2129376424622539E-3</v>
          </cell>
        </row>
        <row r="1009">
          <cell r="A1009" t="str">
            <v>RHNM-SHCONBR4</v>
          </cell>
          <cell r="B1009" t="str">
            <v>VAR_ncap</v>
          </cell>
          <cell r="C1009" t="str">
            <v>-</v>
          </cell>
          <cell r="H1009">
            <v>1.9456335274386301</v>
          </cell>
        </row>
        <row r="1010">
          <cell r="A1010" t="str">
            <v>RHNM-SHCONBR4</v>
          </cell>
          <cell r="B1010" t="str">
            <v>VAR_cap</v>
          </cell>
          <cell r="C1010" t="str">
            <v>-</v>
          </cell>
          <cell r="H1010">
            <v>4.8945815352919908</v>
          </cell>
          <cell r="I1010">
            <v>2.8320214803719637</v>
          </cell>
          <cell r="J1010">
            <v>1.2717777909840038</v>
          </cell>
        </row>
        <row r="1011">
          <cell r="A1011" t="str">
            <v>D-SBIO</v>
          </cell>
          <cell r="B1011" t="str">
            <v>VAR_fout</v>
          </cell>
          <cell r="C1011" t="str">
            <v>SBIO</v>
          </cell>
          <cell r="H1011">
            <v>2.9902562189021307</v>
          </cell>
          <cell r="I1011">
            <v>2.9495686380498607</v>
          </cell>
          <cell r="J1011">
            <v>2.8712749994346187</v>
          </cell>
        </row>
        <row r="1012">
          <cell r="A1012" t="str">
            <v>D-SBIO</v>
          </cell>
          <cell r="B1012" t="str">
            <v>VAR_fin</v>
          </cell>
          <cell r="C1012" t="str">
            <v>BIO</v>
          </cell>
          <cell r="H1012">
            <v>2.9902562189021307</v>
          </cell>
          <cell r="I1012">
            <v>2.9495686380498607</v>
          </cell>
          <cell r="J1012">
            <v>2.8712749994346187</v>
          </cell>
        </row>
        <row r="1013">
          <cell r="A1013" t="str">
            <v>RHEM-SHDEM</v>
          </cell>
          <cell r="B1013" t="str">
            <v>VAR_fout</v>
          </cell>
          <cell r="C1013" t="str">
            <v>RHEM-SHD</v>
          </cell>
          <cell r="H1013">
            <v>60.548057348206136</v>
          </cell>
          <cell r="I1013">
            <v>58.274633374144329</v>
          </cell>
          <cell r="J1013">
            <v>55.58298635599111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RHEM-SHNST</v>
          </cell>
          <cell r="H1014">
            <v>4.9710326249229264E-6</v>
          </cell>
          <cell r="I1014">
            <v>6.3007320621380532E-7</v>
          </cell>
          <cell r="J1014">
            <v>9.1494245535819273E-7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RHEM-SHPLT</v>
          </cell>
          <cell r="H1015">
            <v>0.10413792770302029</v>
          </cell>
          <cell r="I1015">
            <v>7.4882840622409061E-2</v>
          </cell>
          <cell r="J1015">
            <v>2.5658173433130007E-2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RHEM-SHNGAH</v>
          </cell>
          <cell r="H1016">
            <v>4.4306209567617083</v>
          </cell>
          <cell r="I1016">
            <v>5.1955847894712299</v>
          </cell>
          <cell r="J1016">
            <v>4.1758202372932782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RHEM-SHLTHC-WOD</v>
          </cell>
          <cell r="I1017">
            <v>1.0730582045875776E-6</v>
          </cell>
          <cell r="J1017">
            <v>2.1466066460407924E-6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RHEM-SHSOL</v>
          </cell>
          <cell r="H1018">
            <v>1.6759739402322005E-2</v>
          </cell>
          <cell r="I1018">
            <v>1.6942537427394322E-2</v>
          </cell>
          <cell r="J1018">
            <v>1.5508336353041786E-2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RHEM-SHLTHD</v>
          </cell>
          <cell r="H1019">
            <v>7.4373349043003589</v>
          </cell>
          <cell r="I1019">
            <v>7.8997216360956086</v>
          </cell>
          <cell r="J1019">
            <v>6.6348209584576754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RHEM-SHNGA</v>
          </cell>
          <cell r="H1020">
            <v>7.3056266625618802</v>
          </cell>
          <cell r="I1020">
            <v>1.9495809523374465</v>
          </cell>
          <cell r="J1020">
            <v>0.70047824561785821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RHEM-SHELCB</v>
          </cell>
          <cell r="H1021">
            <v>4.306403404811485E-3</v>
          </cell>
          <cell r="I1021">
            <v>3.4144950305856473E-3</v>
          </cell>
          <cell r="J1021">
            <v>2.0125626295655441E-3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RHEM-SHELCH</v>
          </cell>
          <cell r="H1022">
            <v>22.670232563527247</v>
          </cell>
          <cell r="I1022">
            <v>27.237805767703957</v>
          </cell>
          <cell r="J1022">
            <v>24.798578614445034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RHEM-SHLFO</v>
          </cell>
          <cell r="H1023">
            <v>6.101365886662796</v>
          </cell>
          <cell r="I1023">
            <v>1.6931319323298404</v>
          </cell>
          <cell r="J1023">
            <v>0.21337984160213466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RHEM-SHCON</v>
          </cell>
          <cell r="H1024">
            <v>9.65950178171245</v>
          </cell>
          <cell r="I1024">
            <v>12.234466711466119</v>
          </cell>
          <cell r="J1024">
            <v>18.27565748197545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RHEM-SHWOD</v>
          </cell>
          <cell r="H1025">
            <v>2.8187784199886519</v>
          </cell>
          <cell r="I1025">
            <v>1.9695513371764326</v>
          </cell>
          <cell r="J1025">
            <v>0.7414528312831693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RHEM-SHLTHC-NGA</v>
          </cell>
          <cell r="I1026">
            <v>1.6997170649118808E-6</v>
          </cell>
          <cell r="J1026">
            <v>2.0019238128877878E-6</v>
          </cell>
        </row>
        <row r="1027">
          <cell r="A1027" t="str">
            <v>ITOT-SWHH2BR</v>
          </cell>
          <cell r="B1027" t="str">
            <v>VAR_fout</v>
          </cell>
          <cell r="C1027" t="str">
            <v>ITOT-SWH</v>
          </cell>
          <cell r="H1027">
            <v>0.28708380974365438</v>
          </cell>
          <cell r="I1027">
            <v>5.6498257550283091</v>
          </cell>
          <cell r="J1027">
            <v>5.6497978780686742</v>
          </cell>
        </row>
        <row r="1028">
          <cell r="A1028" t="str">
            <v>ITOT-SWHH2BR</v>
          </cell>
          <cell r="B1028" t="str">
            <v>VAR_fin</v>
          </cell>
          <cell r="C1028" t="str">
            <v>IH2</v>
          </cell>
          <cell r="H1028">
            <v>0.3558456907285435</v>
          </cell>
          <cell r="I1028">
            <v>6.987805723096276</v>
          </cell>
          <cell r="J1028">
            <v>6.9574544381590684</v>
          </cell>
        </row>
        <row r="1029">
          <cell r="A1029" t="str">
            <v>ITOT-SWHH2BR</v>
          </cell>
          <cell r="B1029" t="str">
            <v>VAR_ncap</v>
          </cell>
          <cell r="C1029" t="str">
            <v>-</v>
          </cell>
          <cell r="H1029">
            <v>2.4063887851548799E-2</v>
          </cell>
          <cell r="I1029">
            <v>0.451149711171144</v>
          </cell>
          <cell r="J1029">
            <v>0.10752299180814601</v>
          </cell>
        </row>
        <row r="1030">
          <cell r="A1030" t="str">
            <v>ITOT-SWHH2BR</v>
          </cell>
          <cell r="B1030" t="str">
            <v>VAR_cap</v>
          </cell>
          <cell r="C1030" t="str">
            <v>-</v>
          </cell>
          <cell r="H1030">
            <v>2.4063887851548799E-2</v>
          </cell>
          <cell r="I1030">
            <v>0.4752090492814145</v>
          </cell>
          <cell r="J1030">
            <v>0.4451058003421316</v>
          </cell>
        </row>
        <row r="1031">
          <cell r="A1031" t="str">
            <v>RHNS-SHSTG-ELC</v>
          </cell>
          <cell r="B1031" t="str">
            <v>VAR_fout</v>
          </cell>
          <cell r="C1031" t="str">
            <v>RHNS-SHAELCB</v>
          </cell>
          <cell r="H1031">
            <v>2.1739735805206932E-3</v>
          </cell>
          <cell r="I1031">
            <v>1.2567955172873917E-3</v>
          </cell>
          <cell r="J1031">
            <v>7.3580957098894463E-4</v>
          </cell>
        </row>
        <row r="1032">
          <cell r="A1032" t="str">
            <v>RHNS-SHSTG-ELC</v>
          </cell>
          <cell r="B1032" t="str">
            <v>VAR_fout</v>
          </cell>
          <cell r="C1032" t="str">
            <v>AUX_RHNS-SHSTG-ELC_OUT</v>
          </cell>
          <cell r="H1032">
            <v>2.1761475541012157E-3</v>
          </cell>
          <cell r="I1032">
            <v>1.2580523128046795E-3</v>
          </cell>
          <cell r="J1032">
            <v>7.3654538055993341E-4</v>
          </cell>
        </row>
        <row r="1033">
          <cell r="A1033" t="str">
            <v>RHNS-SHSTG-ELC</v>
          </cell>
          <cell r="B1033" t="str">
            <v>VAR_fin</v>
          </cell>
          <cell r="C1033" t="str">
            <v>RHNS-SHAELCB</v>
          </cell>
          <cell r="H1033">
            <v>2.1739780824161221E-3</v>
          </cell>
          <cell r="I1033">
            <v>1.2577022249560766E-3</v>
          </cell>
          <cell r="J1033">
            <v>7.3764947290216876E-4</v>
          </cell>
        </row>
        <row r="1034">
          <cell r="A1034" t="str">
            <v>RHNS-SHSTG-ELC</v>
          </cell>
          <cell r="B1034" t="str">
            <v>VAR_ncap</v>
          </cell>
          <cell r="C1034" t="str">
            <v>-</v>
          </cell>
          <cell r="H1034">
            <v>2.28939609719244E-4</v>
          </cell>
          <cell r="I1034">
            <v>6.0007176520648199E-5</v>
          </cell>
          <cell r="J1034">
            <v>2.35651224600611E-5</v>
          </cell>
        </row>
        <row r="1035">
          <cell r="A1035" t="str">
            <v>RHNS-SHSTG-ELC</v>
          </cell>
          <cell r="B1035" t="str">
            <v>VAR_cap</v>
          </cell>
          <cell r="C1035" t="str">
            <v>-</v>
          </cell>
          <cell r="H1035">
            <v>7.5711563368269111E-4</v>
          </cell>
          <cell r="I1035">
            <v>2.9675057216201127E-4</v>
          </cell>
          <cell r="J1035">
            <v>1.2590120614313158E-4</v>
          </cell>
        </row>
        <row r="1036">
          <cell r="A1036" t="str">
            <v>RHES-SHCOABR</v>
          </cell>
          <cell r="B1036" t="str">
            <v>VAR_fout</v>
          </cell>
          <cell r="C1036" t="str">
            <v>CO2_R</v>
          </cell>
        </row>
        <row r="1037">
          <cell r="A1037" t="str">
            <v>RHES-SHCOABR</v>
          </cell>
          <cell r="B1037" t="str">
            <v>VAR_fout</v>
          </cell>
          <cell r="C1037" t="str">
            <v>RHES-SHCOA</v>
          </cell>
        </row>
        <row r="1038">
          <cell r="A1038" t="str">
            <v>RHES-SHCOABR</v>
          </cell>
          <cell r="B1038" t="str">
            <v>VAR_fin</v>
          </cell>
          <cell r="C1038" t="str">
            <v>RCOA</v>
          </cell>
        </row>
        <row r="1039">
          <cell r="A1039" t="str">
            <v>RHES-SHCOABR</v>
          </cell>
          <cell r="B1039" t="str">
            <v>VAR_cap</v>
          </cell>
          <cell r="C1039" t="str">
            <v>-</v>
          </cell>
          <cell r="H1039">
            <v>-4.1634671080008866E-7</v>
          </cell>
        </row>
        <row r="1040">
          <cell r="A1040" t="str">
            <v>D-INGA</v>
          </cell>
          <cell r="B1040" t="str">
            <v>VAR_fout</v>
          </cell>
          <cell r="C1040" t="str">
            <v>CO2</v>
          </cell>
          <cell r="H1040">
            <v>701.48002116569796</v>
          </cell>
          <cell r="I1040">
            <v>117.389450624921</v>
          </cell>
          <cell r="J1040">
            <v>1067.26560350912</v>
          </cell>
        </row>
        <row r="1041">
          <cell r="A1041" t="str">
            <v>D-INGA</v>
          </cell>
          <cell r="B1041" t="str">
            <v>VAR_fout</v>
          </cell>
          <cell r="C1041" t="str">
            <v>IH2</v>
          </cell>
          <cell r="H1041">
            <v>0.15198523815019274</v>
          </cell>
          <cell r="I1041">
            <v>0.10955763991849335</v>
          </cell>
          <cell r="J1041">
            <v>0.4621242699073797</v>
          </cell>
        </row>
        <row r="1042">
          <cell r="A1042" t="str">
            <v>D-INGA</v>
          </cell>
          <cell r="B1042" t="str">
            <v>VAR_fout</v>
          </cell>
          <cell r="C1042" t="str">
            <v>INGA</v>
          </cell>
          <cell r="H1042">
            <v>13.853513358770986</v>
          </cell>
          <cell r="I1042">
            <v>3.5303775036617528</v>
          </cell>
          <cell r="J1042">
            <v>20.31730511815136</v>
          </cell>
        </row>
        <row r="1043">
          <cell r="A1043" t="str">
            <v>D-INGA</v>
          </cell>
          <cell r="B1043" t="str">
            <v>VAR_fin</v>
          </cell>
          <cell r="C1043" t="str">
            <v>NGA</v>
          </cell>
          <cell r="H1043">
            <v>12.437589027760577</v>
          </cell>
          <cell r="I1043">
            <v>2.0813732380305106</v>
          </cell>
          <cell r="J1043">
            <v>18.923148998388651</v>
          </cell>
        </row>
        <row r="1044">
          <cell r="A1044" t="str">
            <v>D-INGA</v>
          </cell>
          <cell r="B1044" t="str">
            <v>VAR_fin</v>
          </cell>
          <cell r="C1044" t="str">
            <v>BNGA</v>
          </cell>
          <cell r="H1044">
            <v>1.4608391122777344</v>
          </cell>
          <cell r="I1044">
            <v>1.4608395596868444</v>
          </cell>
          <cell r="J1044">
            <v>1.4608404191008182</v>
          </cell>
        </row>
        <row r="1045">
          <cell r="A1045" t="str">
            <v>D-INGA</v>
          </cell>
          <cell r="B1045" t="str">
            <v>VAR_fin</v>
          </cell>
          <cell r="C1045" t="str">
            <v>H2</v>
          </cell>
          <cell r="H1045">
            <v>0.15198227982652407</v>
          </cell>
          <cell r="I1045">
            <v>0.10955678404830285</v>
          </cell>
          <cell r="J1045">
            <v>0.46212426990722888</v>
          </cell>
        </row>
        <row r="1046">
          <cell r="A1046" t="str">
            <v>D-INGA</v>
          </cell>
          <cell r="B1046" t="str">
            <v>VAR_ncap</v>
          </cell>
          <cell r="C1046" t="str">
            <v>-</v>
          </cell>
          <cell r="H1046">
            <v>1.5300002568914899E-6</v>
          </cell>
          <cell r="I1046">
            <v>1.9384971100051398E-6</v>
          </cell>
          <cell r="J1046">
            <v>0.28899578383396701</v>
          </cell>
        </row>
        <row r="1047">
          <cell r="A1047" t="str">
            <v>D-INGA</v>
          </cell>
          <cell r="B1047" t="str">
            <v>VAR_cap</v>
          </cell>
          <cell r="C1047" t="str">
            <v>-</v>
          </cell>
          <cell r="H1047">
            <v>1.9844871842264322</v>
          </cell>
          <cell r="I1047">
            <v>1.9844891227235422</v>
          </cell>
          <cell r="J1047">
            <v>1.3844609737373288</v>
          </cell>
        </row>
        <row r="1048">
          <cell r="A1048" t="str">
            <v>RHEM-SHNGAHP</v>
          </cell>
          <cell r="B1048" t="str">
            <v>VAR_fout</v>
          </cell>
          <cell r="C1048" t="str">
            <v>CO2_R</v>
          </cell>
          <cell r="H1048">
            <v>125.385661242734</v>
          </cell>
          <cell r="I1048">
            <v>144.85081332758199</v>
          </cell>
          <cell r="J1048">
            <v>110.700199955081</v>
          </cell>
        </row>
        <row r="1049">
          <cell r="A1049" t="str">
            <v>RHEM-SHNGAHP</v>
          </cell>
          <cell r="B1049" t="str">
            <v>VAR_fout</v>
          </cell>
          <cell r="C1049" t="str">
            <v>RHEM-SHANGAH</v>
          </cell>
          <cell r="H1049">
            <v>4.4306307797843356</v>
          </cell>
          <cell r="I1049">
            <v>5.1955885898364675</v>
          </cell>
          <cell r="J1049">
            <v>4.1758304597883171</v>
          </cell>
        </row>
        <row r="1050">
          <cell r="A1050" t="str">
            <v>RHEM-SHNGAHP</v>
          </cell>
          <cell r="B1050" t="str">
            <v>VAR_fin</v>
          </cell>
          <cell r="C1050" t="str">
            <v>RHEMELCHPC</v>
          </cell>
          <cell r="H1050">
            <v>4.4306307797843356</v>
          </cell>
          <cell r="I1050">
            <v>5.1955885898364675</v>
          </cell>
          <cell r="J1050">
            <v>4.1758304597883171</v>
          </cell>
        </row>
        <row r="1051">
          <cell r="A1051" t="str">
            <v>RHEM-SHNGAHP</v>
          </cell>
          <cell r="B1051" t="str">
            <v>VAR_fin</v>
          </cell>
          <cell r="C1051" t="str">
            <v>RNGA</v>
          </cell>
          <cell r="H1051">
            <v>2.2231500220342952</v>
          </cell>
          <cell r="I1051">
            <v>2.5682768320493325</v>
          </cell>
          <cell r="J1051">
            <v>1.9627695027496657</v>
          </cell>
        </row>
        <row r="1052">
          <cell r="A1052" t="str">
            <v>RHEM-SHNGAHP</v>
          </cell>
          <cell r="B1052" t="str">
            <v>VAR_ncap</v>
          </cell>
          <cell r="C1052" t="str">
            <v>-</v>
          </cell>
          <cell r="H1052">
            <v>5.16229015610086E-2</v>
          </cell>
          <cell r="I1052">
            <v>0.21331709299327101</v>
          </cell>
          <cell r="J1052">
            <v>0.118234966570021</v>
          </cell>
        </row>
        <row r="1053">
          <cell r="A1053" t="str">
            <v>RHEM-SHNGAHP</v>
          </cell>
          <cell r="B1053" t="str">
            <v>VAR_cap</v>
          </cell>
          <cell r="C1053" t="str">
            <v>-</v>
          </cell>
          <cell r="H1053">
            <v>0.31288707104147373</v>
          </cell>
          <cell r="I1053">
            <v>0.36855661052673394</v>
          </cell>
          <cell r="J1053">
            <v>0.29488242780052099</v>
          </cell>
        </row>
        <row r="1054">
          <cell r="A1054" t="str">
            <v>D-SPLT</v>
          </cell>
          <cell r="B1054" t="str">
            <v>VAR_fout</v>
          </cell>
          <cell r="C1054" t="str">
            <v>SPLT</v>
          </cell>
          <cell r="H1054">
            <v>0.19842300619504027</v>
          </cell>
          <cell r="I1054">
            <v>0.12679112258837641</v>
          </cell>
          <cell r="J1054">
            <v>4.0572822894145814E-2</v>
          </cell>
        </row>
        <row r="1055">
          <cell r="A1055" t="str">
            <v>D-SPLT</v>
          </cell>
          <cell r="B1055" t="str">
            <v>VAR_fin</v>
          </cell>
          <cell r="C1055" t="str">
            <v>PLT</v>
          </cell>
          <cell r="H1055">
            <v>0.19842300619504027</v>
          </cell>
          <cell r="I1055">
            <v>0.12679112258837641</v>
          </cell>
          <cell r="J1055">
            <v>4.0572822894145814E-2</v>
          </cell>
        </row>
        <row r="1056">
          <cell r="A1056" t="str">
            <v>RHES-SHCONBR</v>
          </cell>
          <cell r="B1056" t="str">
            <v>VAR_fout</v>
          </cell>
          <cell r="C1056" t="str">
            <v>RHES-SHCON</v>
          </cell>
          <cell r="H1056">
            <v>1.3829819498626772E-4</v>
          </cell>
          <cell r="I1056">
            <v>1.349223859050028E-4</v>
          </cell>
          <cell r="J1056">
            <v>1.3512613749283215E-4</v>
          </cell>
        </row>
        <row r="1057">
          <cell r="A1057" t="str">
            <v>RHES-SHCONBR</v>
          </cell>
          <cell r="B1057" t="str">
            <v>VAR_fin</v>
          </cell>
          <cell r="C1057" t="str">
            <v>CON</v>
          </cell>
          <cell r="H1057">
            <v>1.3829819498626772E-4</v>
          </cell>
          <cell r="I1057">
            <v>1.349223859050028E-4</v>
          </cell>
          <cell r="J1057">
            <v>1.3512613749283215E-4</v>
          </cell>
        </row>
        <row r="1058">
          <cell r="A1058" t="str">
            <v>RHES-SHCONBR</v>
          </cell>
          <cell r="B1058" t="str">
            <v>VAR_ncap</v>
          </cell>
          <cell r="C1058" t="str">
            <v>-</v>
          </cell>
          <cell r="H1058">
            <v>5.2527899814539401E-6</v>
          </cell>
          <cell r="I1058">
            <v>5.7569397809019304E-7</v>
          </cell>
          <cell r="J1058">
            <v>6.0802581667929405E-7</v>
          </cell>
        </row>
        <row r="1059">
          <cell r="A1059" t="str">
            <v>RHES-SHCONBR</v>
          </cell>
          <cell r="B1059" t="str">
            <v>VAR_cap</v>
          </cell>
          <cell r="C1059" t="str">
            <v>-</v>
          </cell>
          <cell r="H1059">
            <v>7.6301563333818934E-6</v>
          </cell>
          <cell r="I1059">
            <v>8.1903367841358029E-6</v>
          </cell>
          <cell r="J1059">
            <v>8.8797130774712694E-6</v>
          </cell>
        </row>
        <row r="1060">
          <cell r="A1060" t="str">
            <v>RHSA-WHSOLBR</v>
          </cell>
          <cell r="B1060" t="str">
            <v>VAR_fout</v>
          </cell>
          <cell r="C1060" t="str">
            <v>RHSA-WHASOL</v>
          </cell>
          <cell r="H1060">
            <v>1.8201734141539712</v>
          </cell>
          <cell r="I1060">
            <v>2.1519456072784324</v>
          </cell>
          <cell r="J1060">
            <v>2.4412517398255731</v>
          </cell>
        </row>
        <row r="1061">
          <cell r="A1061" t="str">
            <v>RHSA-WHSOLBR</v>
          </cell>
          <cell r="B1061" t="str">
            <v>VAR_fin</v>
          </cell>
          <cell r="C1061" t="str">
            <v>SOL</v>
          </cell>
          <cell r="H1061">
            <v>1.8201734141539712</v>
          </cell>
          <cell r="I1061">
            <v>2.1519456072784324</v>
          </cell>
          <cell r="J1061">
            <v>2.4412517398255731</v>
          </cell>
        </row>
        <row r="1062">
          <cell r="A1062" t="str">
            <v>RHSA-WHSOLBR</v>
          </cell>
          <cell r="B1062" t="str">
            <v>VAR_fin</v>
          </cell>
          <cell r="C1062" t="str">
            <v>RHSASOLBRC</v>
          </cell>
          <cell r="H1062">
            <v>1.8201734141539712</v>
          </cell>
          <cell r="I1062">
            <v>2.1519456072784324</v>
          </cell>
          <cell r="J1062">
            <v>2.4412517398255731</v>
          </cell>
        </row>
        <row r="1063">
          <cell r="A1063" t="str">
            <v>RHSA-WHSOLBR</v>
          </cell>
          <cell r="B1063" t="str">
            <v>VAR_ncap</v>
          </cell>
          <cell r="C1063" t="str">
            <v>-</v>
          </cell>
          <cell r="H1063">
            <v>0.329023064092272</v>
          </cell>
          <cell r="I1063">
            <v>0.25522119083691303</v>
          </cell>
          <cell r="J1063">
            <v>0.41321718015723602</v>
          </cell>
        </row>
        <row r="1064">
          <cell r="A1064" t="str">
            <v>RHSA-WHSOLBR</v>
          </cell>
          <cell r="B1064" t="str">
            <v>VAR_cap</v>
          </cell>
          <cell r="C1064" t="str">
            <v>-</v>
          </cell>
          <cell r="H1064">
            <v>0.48009822436546501</v>
          </cell>
          <cell r="I1064">
            <v>0.613667475642655</v>
          </cell>
          <cell r="J1064">
            <v>0.73761448222300474</v>
          </cell>
        </row>
        <row r="1065">
          <cell r="A1065" t="str">
            <v>SCOM-SHCONBR</v>
          </cell>
          <cell r="B1065" t="str">
            <v>VAR_ncap</v>
          </cell>
          <cell r="C1065" t="str">
            <v>-</v>
          </cell>
          <cell r="H1065">
            <v>4.0942706832645998E-7</v>
          </cell>
          <cell r="I1065">
            <v>1.06077505402939E-7</v>
          </cell>
          <cell r="J1065">
            <v>1.5539698814899101E-7</v>
          </cell>
        </row>
        <row r="1066">
          <cell r="A1066" t="str">
            <v>SCOM-SHCONBR</v>
          </cell>
          <cell r="B1066" t="str">
            <v>VAR_cap</v>
          </cell>
          <cell r="C1066" t="str">
            <v>-</v>
          </cell>
          <cell r="H1066">
            <v>4.1841080458632484E-7</v>
          </cell>
          <cell r="I1066">
            <v>5.2740427473047842E-7</v>
          </cell>
          <cell r="J1066">
            <v>7.2824402834899199E-7</v>
          </cell>
        </row>
        <row r="1067">
          <cell r="A1067" t="str">
            <v>RHNM-SHNGABR</v>
          </cell>
          <cell r="B1067" t="str">
            <v>VAR_fout</v>
          </cell>
          <cell r="C1067" t="str">
            <v>CO2_R</v>
          </cell>
          <cell r="H1067">
            <v>1.14267253568701</v>
          </cell>
        </row>
        <row r="1068">
          <cell r="A1068" t="str">
            <v>RHNM-SHNGABR</v>
          </cell>
          <cell r="B1068" t="str">
            <v>VAR_fout</v>
          </cell>
          <cell r="C1068" t="str">
            <v>RHNM-SHNGA</v>
          </cell>
          <cell r="H1068">
            <v>1.945029679168532E-2</v>
          </cell>
        </row>
        <row r="1069">
          <cell r="A1069" t="str">
            <v>RHNM-SHNGABR</v>
          </cell>
          <cell r="B1069" t="str">
            <v>VAR_fin</v>
          </cell>
          <cell r="C1069" t="str">
            <v>RNGA</v>
          </cell>
          <cell r="H1069">
            <v>2.0260151341968208E-2</v>
          </cell>
        </row>
        <row r="1070">
          <cell r="A1070" t="str">
            <v>RHNM-SHNGABR</v>
          </cell>
          <cell r="B1070" t="str">
            <v>VAR_ncap</v>
          </cell>
          <cell r="C1070" t="str">
            <v>-</v>
          </cell>
          <cell r="H1070">
            <v>4.2344869314208699E-7</v>
          </cell>
          <cell r="I1070">
            <v>4.4652242142972099E-7</v>
          </cell>
          <cell r="J1070">
            <v>3.1944863056353099E-7</v>
          </cell>
        </row>
        <row r="1071">
          <cell r="A1071" t="str">
            <v>RHNM-SHNGABR</v>
          </cell>
          <cell r="B1071" t="str">
            <v>VAR_cap</v>
          </cell>
          <cell r="C1071" t="str">
            <v>-</v>
          </cell>
          <cell r="H1071">
            <v>2.5483940215475995E-3</v>
          </cell>
          <cell r="I1071">
            <v>2.5984672775606693E-7</v>
          </cell>
          <cell r="J1071">
            <v>3.000064142028401E-8</v>
          </cell>
        </row>
        <row r="1072">
          <cell r="A1072" t="str">
            <v>RHES-SHSOLBR</v>
          </cell>
          <cell r="B1072" t="str">
            <v>VAR_fout</v>
          </cell>
          <cell r="C1072" t="str">
            <v>RHES-SHASOL</v>
          </cell>
          <cell r="H1072">
            <v>3.0565501968024357E-2</v>
          </cell>
          <cell r="I1072">
            <v>3.1465789133484981E-2</v>
          </cell>
          <cell r="J1072">
            <v>3.0739842148974916E-2</v>
          </cell>
        </row>
        <row r="1073">
          <cell r="A1073" t="str">
            <v>RHES-SHSOLBR</v>
          </cell>
          <cell r="B1073" t="str">
            <v>VAR_fin</v>
          </cell>
          <cell r="C1073" t="str">
            <v>SOL</v>
          </cell>
          <cell r="H1073">
            <v>3.0565501968024357E-2</v>
          </cell>
          <cell r="I1073">
            <v>3.1465789133484981E-2</v>
          </cell>
          <cell r="J1073">
            <v>3.0739842148974916E-2</v>
          </cell>
        </row>
        <row r="1074">
          <cell r="A1074" t="str">
            <v>RHES-SHSOLBR</v>
          </cell>
          <cell r="B1074" t="str">
            <v>VAR_ncap</v>
          </cell>
          <cell r="C1074" t="str">
            <v>-</v>
          </cell>
          <cell r="H1074">
            <v>8.5455785782380503E-7</v>
          </cell>
          <cell r="I1074">
            <v>4.6026374571773599E-3</v>
          </cell>
          <cell r="J1074">
            <v>1.13934279808534E-3</v>
          </cell>
        </row>
        <row r="1075">
          <cell r="A1075" t="str">
            <v>RHES-SHSOLBR</v>
          </cell>
          <cell r="B1075" t="str">
            <v>VAR_cap</v>
          </cell>
          <cell r="C1075" t="str">
            <v>-</v>
          </cell>
          <cell r="H1075">
            <v>1.8520735739556995E-2</v>
          </cell>
          <cell r="I1075">
            <v>4.603403393160896E-3</v>
          </cell>
          <cell r="J1075">
            <v>4.4798694875116561E-3</v>
          </cell>
        </row>
        <row r="1076">
          <cell r="A1076" t="str">
            <v>SCOM-SHSOLBR</v>
          </cell>
          <cell r="B1076" t="str">
            <v>VAR_fout</v>
          </cell>
          <cell r="C1076" t="str">
            <v>SCOM-SHASOL</v>
          </cell>
          <cell r="H1076">
            <v>0.97753096960154828</v>
          </cell>
          <cell r="I1076">
            <v>1.1797518218286733</v>
          </cell>
          <cell r="J1076">
            <v>1.2936570882993319</v>
          </cell>
        </row>
        <row r="1077">
          <cell r="A1077" t="str">
            <v>SCOM-SHSOLBR</v>
          </cell>
          <cell r="B1077" t="str">
            <v>VAR_fin</v>
          </cell>
          <cell r="C1077" t="str">
            <v>SOL</v>
          </cell>
          <cell r="H1077">
            <v>0.97753096960154828</v>
          </cell>
          <cell r="I1077">
            <v>1.1797518218286733</v>
          </cell>
          <cell r="J1077">
            <v>1.2936570882993319</v>
          </cell>
        </row>
        <row r="1078">
          <cell r="A1078" t="str">
            <v>SCOM-SHSOLBR</v>
          </cell>
          <cell r="B1078" t="str">
            <v>VAR_ncap</v>
          </cell>
          <cell r="C1078" t="str">
            <v>-</v>
          </cell>
          <cell r="H1078">
            <v>9.5276586311163897E-2</v>
          </cell>
          <cell r="I1078">
            <v>6.3385641109668003E-2</v>
          </cell>
          <cell r="J1078">
            <v>0.11696682183452201</v>
          </cell>
        </row>
        <row r="1079">
          <cell r="A1079" t="str">
            <v>SCOM-SHSOLBR</v>
          </cell>
          <cell r="B1079" t="str">
            <v>VAR_cap</v>
          </cell>
          <cell r="C1079" t="str">
            <v>-</v>
          </cell>
          <cell r="H1079">
            <v>0.14201478393678063</v>
          </cell>
          <cell r="I1079">
            <v>0.17138639440292591</v>
          </cell>
          <cell r="J1079">
            <v>0.20326912526322899</v>
          </cell>
        </row>
        <row r="1080">
          <cell r="A1080" t="str">
            <v>RHEM-SHSTG-ELCHP</v>
          </cell>
          <cell r="B1080" t="str">
            <v>VAR_fout</v>
          </cell>
          <cell r="C1080" t="str">
            <v>RHEM-SHAELCH</v>
          </cell>
          <cell r="H1080">
            <v>3.1783475534197341</v>
          </cell>
          <cell r="I1080">
            <v>4.5316239978414847</v>
          </cell>
          <cell r="J1080">
            <v>3.8884227599582664</v>
          </cell>
        </row>
        <row r="1081">
          <cell r="A1081" t="str">
            <v>RHEM-SHSTG-ELCHP</v>
          </cell>
          <cell r="B1081" t="str">
            <v>VAR_fout</v>
          </cell>
          <cell r="C1081" t="str">
            <v>AUX_RHEM-SHSTG-ELCHP_OUT</v>
          </cell>
          <cell r="H1081">
            <v>3.181525900973154</v>
          </cell>
          <cell r="I1081">
            <v>4.5361556218393231</v>
          </cell>
          <cell r="J1081">
            <v>3.8923111827182244</v>
          </cell>
        </row>
        <row r="1082">
          <cell r="A1082" t="str">
            <v>RHEM-SHSTG-ELCHP</v>
          </cell>
          <cell r="B1082" t="str">
            <v>VAR_fin</v>
          </cell>
          <cell r="C1082" t="str">
            <v>RHEM-SHAELCH</v>
          </cell>
          <cell r="H1082">
            <v>3.1783625481634927</v>
          </cell>
          <cell r="I1082">
            <v>4.5316354701886175</v>
          </cell>
          <cell r="J1082">
            <v>3.8884358633743616</v>
          </cell>
        </row>
        <row r="1083">
          <cell r="A1083" t="str">
            <v>RHEM-SHSTG-ELCHP</v>
          </cell>
          <cell r="B1083" t="str">
            <v>VAR_ncap</v>
          </cell>
          <cell r="C1083" t="str">
            <v>-</v>
          </cell>
          <cell r="H1083">
            <v>0.20195757543517301</v>
          </cell>
          <cell r="I1083">
            <v>0.165972520683174</v>
          </cell>
          <cell r="J1083">
            <v>0.20620608052905001</v>
          </cell>
        </row>
        <row r="1084">
          <cell r="A1084" t="str">
            <v>RHEM-SHSTG-ELCHP</v>
          </cell>
          <cell r="B1084" t="str">
            <v>VAR_cap</v>
          </cell>
          <cell r="C1084" t="str">
            <v>-</v>
          </cell>
          <cell r="H1084">
            <v>0.37667086290501478</v>
          </cell>
          <cell r="I1084">
            <v>0.45285603354758358</v>
          </cell>
          <cell r="J1084">
            <v>0.4120297839134538</v>
          </cell>
        </row>
        <row r="1085">
          <cell r="A1085" t="str">
            <v>ITOT-SWHELCBR</v>
          </cell>
          <cell r="B1085" t="str">
            <v>VAR_fout</v>
          </cell>
          <cell r="C1085" t="str">
            <v>ITOT-SWHAELC</v>
          </cell>
          <cell r="H1085">
            <v>10.335535508757168</v>
          </cell>
          <cell r="I1085">
            <v>10.33553515661672</v>
          </cell>
          <cell r="J1085">
            <v>10.335533695465246</v>
          </cell>
        </row>
        <row r="1086">
          <cell r="A1086" t="str">
            <v>ITOT-SWHELCBR</v>
          </cell>
          <cell r="B1086" t="str">
            <v>VAR_fin</v>
          </cell>
          <cell r="C1086" t="str">
            <v>ITOT_ELC</v>
          </cell>
          <cell r="H1086">
            <v>12.217415151114794</v>
          </cell>
          <cell r="I1086">
            <v>12.201299467480117</v>
          </cell>
          <cell r="J1086">
            <v>12.169194416933125</v>
          </cell>
        </row>
        <row r="1087">
          <cell r="A1087" t="str">
            <v>ITOT-SWHELCBR</v>
          </cell>
          <cell r="B1087" t="str">
            <v>VAR_ncap</v>
          </cell>
          <cell r="C1087" t="str">
            <v>-</v>
          </cell>
          <cell r="H1087">
            <v>0.57031444402881104</v>
          </cell>
          <cell r="I1087">
            <v>0.21691383922213001</v>
          </cell>
          <cell r="J1087">
            <v>0.51666472715193501</v>
          </cell>
        </row>
        <row r="1088">
          <cell r="A1088" t="str">
            <v>ITOT-SWHELCBR</v>
          </cell>
          <cell r="B1088" t="str">
            <v>VAR_cap</v>
          </cell>
          <cell r="C1088" t="str">
            <v>-</v>
          </cell>
          <cell r="H1088">
            <v>0.82236291761040148</v>
          </cell>
          <cell r="I1088">
            <v>0.78733384637798165</v>
          </cell>
          <cell r="J1088">
            <v>0.91531287834526165</v>
          </cell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J4">
            <v>-286472.61967288342</v>
          </cell>
          <cell r="K4">
            <v>-202.81544949557733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2373.8902836972802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218.80028184783285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1887.6615421861595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351.85577461790075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3.4781198441496879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383.67130390287878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1328.9710992395451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1031.8726323905942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9.097596411434674E-3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7580.1491708160647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J15">
            <v>-286472.61967288342</v>
          </cell>
          <cell r="K15">
            <v>-201.55962438670147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-286472.61967288342</v>
          </cell>
          <cell r="K16">
            <v>-202.81544949557733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I17">
            <v>9.5215788092209905</v>
          </cell>
          <cell r="J17">
            <v>5.2208734237461298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I18">
            <v>24.360893110219202</v>
          </cell>
          <cell r="J18">
            <v>28.1137613635326</v>
          </cell>
          <cell r="K18">
            <v>27.755565124014598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I19">
            <v>6.0321346113231998E-2</v>
          </cell>
          <cell r="J19">
            <v>5.9475288119144799E-2</v>
          </cell>
          <cell r="K19">
            <v>4.6710764068157898E-2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I20">
            <v>0.367870859186333</v>
          </cell>
          <cell r="J20">
            <v>0.22635515624844799</v>
          </cell>
          <cell r="K20">
            <v>0.184527759723006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I21">
            <v>22.335060562277999</v>
          </cell>
          <cell r="J21">
            <v>98.224919218330896</v>
          </cell>
          <cell r="K21">
            <v>127.07258041577199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I22">
            <v>437.01643791949903</v>
          </cell>
          <cell r="J22">
            <v>116.621900383407</v>
          </cell>
          <cell r="K22">
            <v>41.901595577253097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I23">
            <v>70.289590438653406</v>
          </cell>
          <cell r="J23">
            <v>82.239622331505998</v>
          </cell>
          <cell r="K23">
            <v>69.416457559001998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I24">
            <v>515.95311530540403</v>
          </cell>
          <cell r="J24">
            <v>143.17655679670301</v>
          </cell>
          <cell r="K24">
            <v>18.043611877429999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I25">
            <v>42.434361485032603</v>
          </cell>
          <cell r="J25">
            <v>37.639780497030699</v>
          </cell>
          <cell r="K25">
            <v>27.485014342632599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I26">
            <v>3.05265814335297</v>
          </cell>
          <cell r="J26">
            <v>3.1708858820743302</v>
          </cell>
          <cell r="K26">
            <v>2.1600734570675999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I27">
            <v>3.1959352444548701</v>
          </cell>
          <cell r="J27">
            <v>2.39020786297203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I28">
            <v>6.06141056961612E-2</v>
          </cell>
          <cell r="J28">
            <v>5.98202764359618E-2</v>
          </cell>
          <cell r="K28">
            <v>4.73326012568063E-2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I29">
            <v>166.45717615337199</v>
          </cell>
          <cell r="J29">
            <v>25.679816206132202</v>
          </cell>
          <cell r="K29">
            <v>26.798305209836599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I30">
            <v>29.768615336551399</v>
          </cell>
          <cell r="J30">
            <v>33.553896234637101</v>
          </cell>
          <cell r="K30">
            <v>31.501896831699799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I31">
            <v>247.06075347619401</v>
          </cell>
          <cell r="J31">
            <v>97.365005382590297</v>
          </cell>
          <cell r="K31">
            <v>42.351059924635699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I32">
            <v>183.82746717216901</v>
          </cell>
          <cell r="J32">
            <v>80.863285344329498</v>
          </cell>
          <cell r="K32">
            <v>36.222687979499398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I33">
            <v>172.212402841645</v>
          </cell>
          <cell r="J33">
            <v>63.507535661608998</v>
          </cell>
          <cell r="K33">
            <v>4.6935015955526698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I34">
            <v>296.50186632361999</v>
          </cell>
          <cell r="J34">
            <v>70.847794506994902</v>
          </cell>
          <cell r="K34">
            <v>9.1321171310379707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I35">
            <v>0.33061025207959599</v>
          </cell>
          <cell r="J35">
            <v>0.24659876085158</v>
          </cell>
          <cell r="K35">
            <v>0.17659521782956999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I36">
            <v>22.8339742446347</v>
          </cell>
          <cell r="J36">
            <v>98.164648298307398</v>
          </cell>
          <cell r="K36">
            <v>125.673938495988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I37">
            <v>165.677315578182</v>
          </cell>
          <cell r="J37">
            <v>26.661312890537399</v>
          </cell>
          <cell r="K37">
            <v>27.819027933675301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I39">
            <v>125.385661242734</v>
          </cell>
          <cell r="J39">
            <v>144.85081332758199</v>
          </cell>
          <cell r="K39">
            <v>110.700199955081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I40">
            <v>1.14267253568701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I41">
            <v>2539.8469524859802</v>
          </cell>
          <cell r="J41">
            <v>1158.88486509368</v>
          </cell>
          <cell r="K41">
            <v>729.18279975305597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I42">
            <v>135.22252704738901</v>
          </cell>
          <cell r="J42">
            <v>155.03251213535501</v>
          </cell>
          <cell r="K42">
            <v>124.6573933839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I43">
            <v>0.22226082950749201</v>
          </cell>
          <cell r="J43">
            <v>0.11415774348146999</v>
          </cell>
          <cell r="K43">
            <v>4.46885765171929E-2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I44">
            <v>408.10691466345401</v>
          </cell>
          <cell r="J44">
            <v>126.091141484443</v>
          </cell>
          <cell r="K44">
            <v>50.574363546076903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I45">
            <v>0.10968583278144201</v>
          </cell>
          <cell r="J45">
            <v>6.9831671197243803E-2</v>
          </cell>
          <cell r="K45">
            <v>156.91470909616899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I46">
            <v>634.95973685895694</v>
          </cell>
          <cell r="J46">
            <v>210.05480924914099</v>
          </cell>
          <cell r="K46">
            <v>16.309715327235601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I47">
            <v>1178.62112523209</v>
          </cell>
          <cell r="J47">
            <v>491.36245228361901</v>
          </cell>
          <cell r="K47">
            <v>348.50086992989901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I49">
            <v>1.0584074874128711</v>
          </cell>
          <cell r="J49">
            <v>1.3531130164789662</v>
          </cell>
          <cell r="K49">
            <v>1.257721064523321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I50">
            <v>7.8823723455834105E-2</v>
          </cell>
          <cell r="J50">
            <v>4.4312531178233708E-2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I51">
            <v>1.04490359696672</v>
          </cell>
          <cell r="J51">
            <v>8.6369240158155502E-2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I52">
            <v>41.824258507388713</v>
          </cell>
          <cell r="J52">
            <v>3.1578942232030465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I53">
            <v>2.3254572961458155</v>
          </cell>
          <cell r="J53">
            <v>0.12301000720666666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I54">
            <v>410.49821750524478</v>
          </cell>
          <cell r="J54">
            <v>502.59703018295579</v>
          </cell>
          <cell r="K54">
            <v>133.62970132449612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I57">
            <v>2.3993283889221267E-2</v>
          </cell>
          <cell r="J57">
            <v>1.1814183876144855E-2</v>
          </cell>
          <cell r="K57">
            <v>2.1049965795210202E-3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I58">
            <v>9.2746051560592374E-2</v>
          </cell>
          <cell r="J58">
            <v>4.1607724290815495E-2</v>
          </cell>
          <cell r="K58">
            <v>7.3475573977839397E-3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I59">
            <v>0.27814628295297972</v>
          </cell>
          <cell r="J59">
            <v>0.1560056950444047</v>
          </cell>
          <cell r="K59">
            <v>5.0297007872729685E-2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I60">
            <v>0.9210317845818381</v>
          </cell>
          <cell r="J60">
            <v>0.48008369903497172</v>
          </cell>
          <cell r="K60">
            <v>3.5208023961071998E-2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I61">
            <v>7.0113300771685863</v>
          </cell>
          <cell r="J61">
            <v>5.7880551834593339</v>
          </cell>
          <cell r="K61">
            <v>1.1241173710258601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I62">
            <v>8.9918834405912917E-2</v>
          </cell>
          <cell r="J62">
            <v>3.3931530842099669E-2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I63">
            <v>9.7890533712800126E-2</v>
          </cell>
          <cell r="J63">
            <v>3.626500776161104E-2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I64">
            <v>7.2385228702144769E-2</v>
          </cell>
          <cell r="J64">
            <v>2.755054508655444E-2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I65">
            <v>0.10818503737421567</v>
          </cell>
          <cell r="J65">
            <v>3.8382568769474372E-2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I66">
            <v>8.782137593656815E-2</v>
          </cell>
          <cell r="J66">
            <v>3.4683437809490236E-2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I67">
            <v>0.1599575898775725</v>
          </cell>
          <cell r="J67">
            <v>6.2988861122673212E-2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I68">
            <v>9.251375574969696E-2</v>
          </cell>
          <cell r="J68">
            <v>3.4424879341892201E-2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I69">
            <v>0.2420172567941577</v>
          </cell>
          <cell r="J69">
            <v>0.10777373723627889</v>
          </cell>
          <cell r="K69">
            <v>6.9451758288278027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I70">
            <v>4.5057088847568885E-2</v>
          </cell>
          <cell r="J70">
            <v>1.467850349097595E-2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I71">
            <v>0.22620072028158439</v>
          </cell>
          <cell r="J71">
            <v>0.16951768759004629</v>
          </cell>
          <cell r="K71">
            <v>7.5963326745134799E-2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I72">
            <v>0.61470779191598002</v>
          </cell>
          <cell r="J72">
            <v>4.1379736252904751</v>
          </cell>
          <cell r="K72">
            <v>1.279955364531411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I73">
            <v>3.248043360253635E-3</v>
          </cell>
          <cell r="J73">
            <v>5.2302165654152001E-3</v>
          </cell>
          <cell r="K73">
            <v>6.1680731473813001E-4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5.3117733318224403E-4</v>
          </cell>
          <cell r="J75">
            <v>0.94847293028959601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28.012558130185731</v>
          </cell>
          <cell r="J76">
            <v>6.0859162708225938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771.48152741319097</v>
          </cell>
          <cell r="J77">
            <v>564.24674260485199</v>
          </cell>
          <cell r="K77">
            <v>149.71949996090399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0.73194294050405095</v>
          </cell>
          <cell r="J78">
            <v>2.3362765163380012E-2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0.58687689139463595</v>
          </cell>
          <cell r="J79">
            <v>0.27433487368797616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2.4502322764914002</v>
          </cell>
          <cell r="J81">
            <v>2.4437229544982926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0.86687699976883692</v>
          </cell>
          <cell r="J84">
            <v>1.2089105271398177</v>
          </cell>
          <cell r="K84">
            <v>0.22161887532712729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I85">
            <v>1.7838097386884279E-2</v>
          </cell>
          <cell r="J85">
            <v>1.3650227376573905E-2</v>
          </cell>
          <cell r="K85">
            <v>1.7913106054112032E-2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I86">
            <v>3.0768115845088068E-2</v>
          </cell>
          <cell r="J86">
            <v>2.3933635493584082E-2</v>
          </cell>
          <cell r="K86">
            <v>1.7828131319365881E-2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I87">
            <v>24.745184480822424</v>
          </cell>
          <cell r="J87">
            <v>43.41001836763445</v>
          </cell>
          <cell r="K87">
            <v>3.6115862433667496E-2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I88">
            <v>3.08913579206548E-2</v>
          </cell>
          <cell r="J88">
            <v>4.1794374401927202E-2</v>
          </cell>
          <cell r="K88">
            <v>2.5602559113694343E-2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I89">
            <v>2.7476679435819249</v>
          </cell>
          <cell r="J89">
            <v>0.60106585221853559</v>
          </cell>
          <cell r="K89">
            <v>2.7726172516832251E-2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I90">
            <v>1.4842123750578699E-3</v>
          </cell>
          <cell r="J90">
            <v>2.8581902733864099E-3</v>
          </cell>
          <cell r="K90">
            <v>2.1290485238432499E-4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I91">
            <v>87.973216719004895</v>
          </cell>
          <cell r="J91">
            <v>47.92434462615887</v>
          </cell>
          <cell r="K91">
            <v>2.6644572276848362E-2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I92">
            <v>3.0602006322531039E-3</v>
          </cell>
          <cell r="J92">
            <v>3.9288558483229199E-3</v>
          </cell>
          <cell r="K92">
            <v>6.2793522160153E-5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48.569684092007122</v>
          </cell>
          <cell r="J97">
            <v>5.3106750696466056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59.94561141246011</v>
          </cell>
          <cell r="J98">
            <v>8.3705341427389612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12.614066902795411</v>
          </cell>
          <cell r="J99">
            <v>0.36758387304577533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0.17561764349762435</v>
          </cell>
          <cell r="J100">
            <v>5.4472419304987467E-2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103.13593267067041</v>
          </cell>
          <cell r="J101">
            <v>10.754485878439718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2.1810135229895278</v>
          </cell>
          <cell r="J102">
            <v>6.649176701148693E-2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1821.6262590859326</v>
          </cell>
          <cell r="J103">
            <v>1272.1770076717269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10.230919395740971</v>
          </cell>
          <cell r="J104">
            <v>5.7832764906093341E-2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5.7164413885866301</v>
          </cell>
          <cell r="J105">
            <v>3.2947965755089903E-2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I107">
            <v>0.41457897441472169</v>
          </cell>
          <cell r="J107">
            <v>0.1533869538155061</v>
          </cell>
          <cell r="K107">
            <v>24.926278512525016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I108">
            <v>0.31483565427144516</v>
          </cell>
          <cell r="J108">
            <v>0.13441311688071972</v>
          </cell>
          <cell r="K108">
            <v>4.9834080668252803E-2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I109">
            <v>57.852097020923836</v>
          </cell>
          <cell r="J109">
            <v>69.804203854907101</v>
          </cell>
          <cell r="K109">
            <v>5.27337098279658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144.40215279444843</v>
          </cell>
          <cell r="J110">
            <v>102.29534848790716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I111">
            <v>2.3879975308528202E-3</v>
          </cell>
          <cell r="J111">
            <v>3.1578252628082699E-3</v>
          </cell>
          <cell r="K111">
            <v>8.9438182693388202E-5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I112">
            <v>6.4693940742763401E-3</v>
          </cell>
          <cell r="J112">
            <v>7.8429527445806092E-3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64.037472173705979</v>
          </cell>
          <cell r="J113">
            <v>16.727332491018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22.971253710281193</v>
          </cell>
          <cell r="J114">
            <v>93.605185975963025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19.004182981982034</v>
          </cell>
          <cell r="J115">
            <v>4.9264391881855191E-2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373.16542558190645</v>
          </cell>
          <cell r="J116">
            <v>164.97083604088695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1.2433792137479556</v>
          </cell>
          <cell r="J117">
            <v>5.5977329195336427E-2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0.52893444986827876</v>
          </cell>
          <cell r="J118">
            <v>4.9561450112933128E-2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0.99470491520694793</v>
          </cell>
          <cell r="J119">
            <v>5.5968227978601889E-2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1095.1775241554731</v>
          </cell>
          <cell r="J120">
            <v>1136.758346692651</v>
          </cell>
          <cell r="K120">
            <v>173.27906598263411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6.1745419312578702E-2</v>
          </cell>
          <cell r="J121">
            <v>9.7306041434600199E-2</v>
          </cell>
          <cell r="K121">
            <v>2.1734267319978302E-2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7.9513143600802597E-2</v>
          </cell>
          <cell r="J122">
            <v>4.550932626258257E-2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0.23217399386834725</v>
          </cell>
          <cell r="J123">
            <v>0.10234502558433387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247.07648064654592</v>
          </cell>
          <cell r="J124">
            <v>81.393343496802842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I125">
            <v>24.386399502236273</v>
          </cell>
          <cell r="J125">
            <v>23.799047315822477</v>
          </cell>
          <cell r="K125">
            <v>2.9311467340122122E-2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0.53498535087256271</v>
          </cell>
          <cell r="J126">
            <v>0.14645706730541747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I127">
            <v>17.635007058068506</v>
          </cell>
          <cell r="J127">
            <v>12.785112738953741</v>
          </cell>
          <cell r="K127">
            <v>3.3281068548925923E-2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I128">
            <v>11.57574945857916</v>
          </cell>
          <cell r="J128">
            <v>5.9585695447766227</v>
          </cell>
          <cell r="K128">
            <v>4.1219337212730592E-2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I129">
            <v>4.2812533718606305E-3</v>
          </cell>
          <cell r="J129">
            <v>6.87683312638253E-3</v>
          </cell>
          <cell r="K129">
            <v>3.9906812890280698E-4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I130">
            <v>5.0824049201831437E-2</v>
          </cell>
          <cell r="J130">
            <v>3.0900084671560836E-2</v>
          </cell>
          <cell r="K130">
            <v>8.1722259016127716E-2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I131">
            <v>5.4054327209133501E-2</v>
          </cell>
          <cell r="J131">
            <v>3.953527674459173E-2</v>
          </cell>
          <cell r="K131">
            <v>2.4742200218228878E-2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I133">
            <v>0.1133924674070169</v>
          </cell>
          <cell r="J133">
            <v>0.170203364991835</v>
          </cell>
          <cell r="K133">
            <v>4.4250407501633796E-2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I134">
            <v>1.4218983844904393E-3</v>
          </cell>
          <cell r="J134">
            <v>2.0834957316139997E-3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I135">
            <v>5718.4706380560801</v>
          </cell>
          <cell r="J135">
            <v>4346.6180114047702</v>
          </cell>
          <cell r="K135">
            <v>621.39516634920301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  <cell r="K136">
            <v>-2373.8902836972802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I137">
            <v>8047.47124545322</v>
          </cell>
          <cell r="J137">
            <v>3680.9891652673</v>
          </cell>
          <cell r="K137">
            <v>3975.4906292812402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I138">
            <v>3.0420725169640599E-2</v>
          </cell>
          <cell r="J138">
            <v>5.2477034406727796E-4</v>
          </cell>
          <cell r="K138">
            <v>1.5582277832096101E-2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  <cell r="K139">
            <v>-218.80028184783299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K140">
            <v>-1887.66154218616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I141">
            <v>200.60968765004699</v>
          </cell>
          <cell r="J141">
            <v>136.79022456876501</v>
          </cell>
          <cell r="K141">
            <v>109.50903959441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268.04771226332201</v>
          </cell>
          <cell r="J142">
            <v>115.816323979448</v>
          </cell>
          <cell r="K142">
            <v>8.0348712667086496E-4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K143">
            <v>-351.85577461790098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K144">
            <v>-3.4781198441496901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3080.9534421476401</v>
          </cell>
          <cell r="J145">
            <v>2704.7549615796102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2085.5355896593701</v>
          </cell>
          <cell r="J146">
            <v>2077.4141039474098</v>
          </cell>
          <cell r="K146">
            <v>2063.7554016399199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0.28417905177504799</v>
          </cell>
          <cell r="J147">
            <v>3.12309884773532E-2</v>
          </cell>
          <cell r="K147">
            <v>2.7812775679008001E-2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8.2720643325634597</v>
          </cell>
          <cell r="J148">
            <v>9.2364316687870307</v>
          </cell>
          <cell r="K148">
            <v>2.8575622624631301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516.76069884175604</v>
          </cell>
          <cell r="J149">
            <v>282.202794850099</v>
          </cell>
          <cell r="K149">
            <v>333.26952882910302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-4401.3443705119198</v>
          </cell>
          <cell r="J150">
            <v>-950.48445778712005</v>
          </cell>
          <cell r="K150">
            <v>-3975.4906292812402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1498.2988298185801</v>
          </cell>
          <cell r="J151">
            <v>876.52684298058705</v>
          </cell>
          <cell r="K151">
            <v>699.54227493505596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3.45028101288129E-2</v>
          </cell>
          <cell r="J152">
            <v>4.4625626689785101E-4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645.70208204840901</v>
          </cell>
          <cell r="J153">
            <v>213.59300732036201</v>
          </cell>
          <cell r="K153">
            <v>8.42084874162047E-4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K155">
            <v>-383.671303902879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1014.28236865424</v>
          </cell>
          <cell r="J156">
            <v>289.956146555749</v>
          </cell>
          <cell r="K156">
            <v>1.0175866800104501E-3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2228.7465059072501</v>
          </cell>
          <cell r="J157">
            <v>1129.12879999084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K158">
            <v>-1328.9710992395401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K159">
            <v>-1031.8726323906001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1011.77304643985</v>
          </cell>
          <cell r="J160">
            <v>996.69826572580405</v>
          </cell>
          <cell r="K160">
            <v>986.585107539761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I161">
            <v>100.46150554312101</v>
          </cell>
          <cell r="J161">
            <v>24.803139581643201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I162">
            <v>701.48002116569796</v>
          </cell>
          <cell r="J162">
            <v>117.389450624921</v>
          </cell>
          <cell r="K162">
            <v>1067.26560350912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  <cell r="K163">
            <v>-9.0975964114346792E-3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I164">
            <v>2262.8577221926498</v>
          </cell>
          <cell r="J164">
            <v>2266.0985864700901</v>
          </cell>
          <cell r="K164">
            <v>2317.3910001824102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I165">
            <v>19270.2572541929</v>
          </cell>
          <cell r="J165">
            <v>13970.9459893394</v>
          </cell>
          <cell r="K165">
            <v>8.8139685763387505E-4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I166">
            <v>-8.0277944606727894E-2</v>
          </cell>
          <cell r="J166">
            <v>-0.13925391538953799</v>
          </cell>
          <cell r="K166">
            <v>-1.1252167301691101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  <cell r="K167">
            <v>7580.1491708160647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  <cell r="K168">
            <v>7580.1491708160647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  <cell r="J169">
            <v>-286415.0191042354</v>
          </cell>
          <cell r="K169">
            <v>-141.60550758585379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I170">
            <v>4066.9012930635413</v>
          </cell>
          <cell r="J170">
            <v>3307.3191153041994</v>
          </cell>
          <cell r="K170">
            <v>4117.6224984537612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I171">
            <v>2512.581198472823</v>
          </cell>
          <cell r="J171">
            <v>1166.4829895363364</v>
          </cell>
          <cell r="K171">
            <v>699.54329252173522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I172">
            <v>5416.9571251237994</v>
          </cell>
          <cell r="J172">
            <v>3867.5588232839632</v>
          </cell>
          <cell r="K172">
            <v>2.8575622624631305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I173">
            <v>2463.7515888944699</v>
          </cell>
          <cell r="J173">
            <v>2402.9200420273328</v>
          </cell>
          <cell r="K173">
            <v>2426.9278525524996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I174">
            <v>1162.4627808901648</v>
          </cell>
          <cell r="J174">
            <v>495.7958021704614</v>
          </cell>
          <cell r="K174">
            <v>333.27037091397727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I175">
            <v>2463.7515888944699</v>
          </cell>
          <cell r="J175">
            <v>2402.9200420273328</v>
          </cell>
          <cell r="K175">
            <v>-3382.4006123597933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4066.763873463492</v>
          </cell>
          <cell r="J176">
            <v>3307.8458938599665</v>
          </cell>
          <cell r="K176">
            <v>2346.7359931124515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22153.16944880275</v>
          </cell>
          <cell r="J177">
            <v>16950.842708209595</v>
          </cell>
          <cell r="K177">
            <v>6544.5569574570982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1272.9499267478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K180">
            <v>7580.1491708160602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0.50001124575842204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2085.5355896593701</v>
          </cell>
          <cell r="J182">
            <v>2077.4141039474134</v>
          </cell>
          <cell r="K182">
            <v>2063.7554016399222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2085.5355896593701</v>
          </cell>
          <cell r="J183">
            <v>2077.4141039474134</v>
          </cell>
          <cell r="K183">
            <v>2063.7554016399222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K184">
            <v>2513.4492517889498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  <cell r="J185">
            <v>1.1464847965378399E-3</v>
          </cell>
          <cell r="K185">
            <v>246.78310434072301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  <cell r="K186">
            <v>2120.9680249282701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I187">
            <v>284.98614252581899</v>
          </cell>
          <cell r="J187">
            <v>231.96473114561101</v>
          </cell>
          <cell r="K187">
            <v>5.3226690463649097E-3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I188">
            <v>2561.2920382969701</v>
          </cell>
          <cell r="J188">
            <v>2541.4888287355502</v>
          </cell>
          <cell r="K188">
            <v>0.10638610026989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I189">
            <v>0.50055251085303498</v>
          </cell>
          <cell r="J189">
            <v>2.1847091066530998E-2</v>
          </cell>
          <cell r="K189">
            <v>8.7719878536195495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I190">
            <v>1964.42443947574</v>
          </cell>
          <cell r="J190">
            <v>1990.7090358376799</v>
          </cell>
          <cell r="K190">
            <v>0.26302204352632302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  <cell r="J191">
            <v>1.64389759906775E-2</v>
          </cell>
          <cell r="K191">
            <v>2.7718428087960998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I192">
            <v>8.4480081955539705E-3</v>
          </cell>
          <cell r="J192">
            <v>1.4458582089078901E-3</v>
          </cell>
          <cell r="K192">
            <v>4.5618489667999501E-4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  <cell r="J193">
            <v>5.0074795481510198E-3</v>
          </cell>
          <cell r="K193">
            <v>67.173695846883405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0.118408524887421</v>
          </cell>
          <cell r="J194">
            <v>1.49696479747342E-2</v>
          </cell>
          <cell r="K194">
            <v>1.6608096872464301E-2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I195">
            <v>0.18263999493765601</v>
          </cell>
          <cell r="J195">
            <v>1.37623267873814E-2</v>
          </cell>
          <cell r="K195">
            <v>1.17347745971775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0.153229455641678</v>
          </cell>
          <cell r="J196">
            <v>1.5794010361332201E-2</v>
          </cell>
          <cell r="K196">
            <v>1.1343883179437299E-2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4811.6658987930396</v>
          </cell>
          <cell r="J197">
            <v>4764.2530075935701</v>
          </cell>
          <cell r="K197">
            <v>4961.49452400476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1.86798583300212</v>
          </cell>
          <cell r="J198">
            <v>0.87850490100342005</v>
          </cell>
          <cell r="K198">
            <v>6.0914934547632402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779.38610489765301</v>
          </cell>
          <cell r="J199">
            <v>198.18924152624399</v>
          </cell>
          <cell r="K199">
            <v>87.364111664119207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K200">
            <v>485.35297231177901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309.777821873356</v>
          </cell>
          <cell r="J201">
            <v>189.77193841046901</v>
          </cell>
          <cell r="K201">
            <v>27.9285231531017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1.63432164687087E-3</v>
          </cell>
          <cell r="K202">
            <v>3.91269630621967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4.1842043978333E-2</v>
          </cell>
          <cell r="J203">
            <v>3.3693291639660901E-2</v>
          </cell>
          <cell r="K203">
            <v>1048.11893623436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3.0420725169640599E-2</v>
          </cell>
          <cell r="J204">
            <v>5.1803282599828396E-4</v>
          </cell>
          <cell r="K204">
            <v>1.5582277832096101E-2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29.714952537660199</v>
          </cell>
          <cell r="J205">
            <v>3.2802291869695098E-2</v>
          </cell>
          <cell r="K205">
            <v>47.995297537954499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1010.77700307128</v>
          </cell>
          <cell r="J206">
            <v>824.656234253805</v>
          </cell>
          <cell r="K206">
            <v>501.11512181989002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4.3656918645863997E-2</v>
          </cell>
          <cell r="J207">
            <v>1.6172306025825801E-2</v>
          </cell>
          <cell r="K207">
            <v>0.41354520573984499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1.0008020315656501</v>
          </cell>
          <cell r="J208">
            <v>172.04793187045999</v>
          </cell>
          <cell r="K208">
            <v>0.132483381382522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3.3926572990244999E-2</v>
          </cell>
          <cell r="J209">
            <v>4.3573328505006699E-4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2132.6745165052998</v>
          </cell>
          <cell r="J210">
            <v>1385.6291069392701</v>
          </cell>
          <cell r="K210">
            <v>2208.4407633471401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4.5444270595706502E-7</v>
          </cell>
          <cell r="J4">
            <v>3.1768852286348002E-7</v>
          </cell>
          <cell r="K4">
            <v>2.4716356147363901E-7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3.73180030938305E-3</v>
          </cell>
          <cell r="K5">
            <v>6.3981596920496104E-4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5.4426935086657596E-6</v>
          </cell>
          <cell r="J6">
            <v>0.41187204342662898</v>
          </cell>
          <cell r="K6">
            <v>1.4621502636174299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1.3824914264543799E-6</v>
          </cell>
          <cell r="J7">
            <v>5.5363450272888401E-7</v>
          </cell>
          <cell r="K7">
            <v>3.6571732303721E-7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9.8330393590951005E-7</v>
          </cell>
          <cell r="J8">
            <v>1.27372952757528E-6</v>
          </cell>
          <cell r="K8">
            <v>2.2202358817771298E-6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9.7783362272928793E-7</v>
          </cell>
          <cell r="K9">
            <v>1.58142225157239E-4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0.15825953378026</v>
          </cell>
          <cell r="J10">
            <v>5.6598416855664101E-2</v>
          </cell>
          <cell r="K10">
            <v>0.16594749639930001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I11">
            <v>1.8678975854302102E-2</v>
          </cell>
          <cell r="J11">
            <v>2.2235782765672799E-2</v>
          </cell>
          <cell r="K11">
            <v>0.135796346906884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I12">
            <v>1.5122388464989101E-7</v>
          </cell>
          <cell r="J12">
            <v>1.5891287074039001E-7</v>
          </cell>
          <cell r="K12">
            <v>3.2754445466231999E-7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I13">
            <v>1.2546671521926601E-6</v>
          </cell>
          <cell r="J13">
            <v>7.4777621892087398E-7</v>
          </cell>
          <cell r="K13">
            <v>5.6919451047352401E-7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I14">
            <v>3.0117003426535102E-8</v>
          </cell>
          <cell r="J14">
            <v>4.0043861528392298E-8</v>
          </cell>
          <cell r="K14">
            <v>5.3765658386538698E-8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I15">
            <v>2.9016239781405802E-7</v>
          </cell>
          <cell r="J15">
            <v>3.21259578575387E-7</v>
          </cell>
          <cell r="K15">
            <v>6.6318744885259304E-7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I16">
            <v>6.2304850228387896E-6</v>
          </cell>
          <cell r="J16">
            <v>0.14518533602261199</v>
          </cell>
          <cell r="K16">
            <v>0.10696276128858399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I17">
            <v>1.12387443765255E-7</v>
          </cell>
          <cell r="J17">
            <v>1.5330381244931701E-7</v>
          </cell>
          <cell r="K17">
            <v>2.5986959308067E-7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I18">
            <v>1.9234878663958E-2</v>
          </cell>
          <cell r="J18">
            <v>0.34215102982516099</v>
          </cell>
          <cell r="K18">
            <v>0.59346087954759097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I19">
            <v>2.8987719118672901E-6</v>
          </cell>
          <cell r="J19">
            <v>1.6201965864144501E-2</v>
          </cell>
          <cell r="K19">
            <v>1.72168756972821E-2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I20">
            <v>1.5300002568914899E-6</v>
          </cell>
          <cell r="J20">
            <v>1.9384971100051398E-6</v>
          </cell>
          <cell r="K20">
            <v>0.28899578383396701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I21">
            <v>1.3240115390047099E-6</v>
          </cell>
          <cell r="J21">
            <v>7.5689574925147301E-7</v>
          </cell>
          <cell r="K21">
            <v>5.9307701864085702E-7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  <cell r="J22">
            <v>1.45599674171033E-5</v>
          </cell>
          <cell r="K22">
            <v>1.4024234169569599E-3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I23">
            <v>5.3908031632976106E-7</v>
          </cell>
          <cell r="J23">
            <v>5.1690017484261204E-7</v>
          </cell>
          <cell r="K23">
            <v>3.7792608187720508E-7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  <cell r="J24">
            <v>3.73180030938305E-3</v>
          </cell>
          <cell r="K24">
            <v>4.3715793645094014E-3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I25">
            <v>7.334912199282359E-6</v>
          </cell>
          <cell r="J25">
            <v>0.4118791153366983</v>
          </cell>
          <cell r="K25">
            <v>1.8740266689987868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I26">
            <v>1.978707213567601E-6</v>
          </cell>
          <cell r="J26">
            <v>2.002748043863261E-6</v>
          </cell>
          <cell r="K26">
            <v>1.3186264412999202E-6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I27">
            <v>1.0275162265199733</v>
          </cell>
          <cell r="J27">
            <v>1.0275175002495009</v>
          </cell>
          <cell r="K27">
            <v>0.72468440725916261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  <cell r="J28">
            <v>9.7783362272928793E-7</v>
          </cell>
          <cell r="K28">
            <v>1.5912005877996799E-4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I29">
            <v>0.29244750898900612</v>
          </cell>
          <cell r="J29">
            <v>0.31763584355681451</v>
          </cell>
          <cell r="K29">
            <v>0.37190851017277471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I30">
            <v>0.14376578490708425</v>
          </cell>
          <cell r="J30">
            <v>0.10336342738163956</v>
          </cell>
          <cell r="K30">
            <v>0.17417806420841805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I31">
            <v>0.95961832730727514</v>
          </cell>
          <cell r="J31">
            <v>0.95961848622014589</v>
          </cell>
          <cell r="K31">
            <v>0.48125447011854455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I32">
            <v>1.632984474371268E-6</v>
          </cell>
          <cell r="J32">
            <v>1.7237068506560657E-6</v>
          </cell>
          <cell r="K32">
            <v>1.2010032252446201E-6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I33">
            <v>5.5050056398261099E-8</v>
          </cell>
          <cell r="J33">
            <v>9.5093917926653403E-8</v>
          </cell>
          <cell r="K33">
            <v>1.4885957631319199E-7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I34">
            <v>2.2350535800083007</v>
          </cell>
          <cell r="J34">
            <v>2.2350539012678792</v>
          </cell>
          <cell r="K34">
            <v>1.120892865319048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I35">
            <v>0.16240422563464965</v>
          </cell>
          <cell r="J35">
            <v>0.22095938664132089</v>
          </cell>
          <cell r="K35">
            <v>0.25215234218235122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I36">
            <v>3.0972405482859418</v>
          </cell>
          <cell r="J36">
            <v>3.0972407015897545</v>
          </cell>
          <cell r="K36">
            <v>1.5532832020996474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I37">
            <v>1.9594032013600434E-2</v>
          </cell>
          <cell r="J37">
            <v>0.36152004417484718</v>
          </cell>
          <cell r="K37">
            <v>0.95094236561868406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I38">
            <v>-1.1519069649003344E-7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I39">
            <v>5.4687012094439574E-2</v>
          </cell>
          <cell r="J39">
            <v>4.4505456911754504E-2</v>
          </cell>
          <cell r="K39">
            <v>3.3420328452442832E-2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I41">
            <v>1.9844871842264322</v>
          </cell>
          <cell r="J41">
            <v>1.9844891227235422</v>
          </cell>
          <cell r="K41">
            <v>1.3844609737373288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I42">
            <v>1.6201095150993949E-6</v>
          </cell>
          <cell r="J42">
            <v>1.5947943902035E-6</v>
          </cell>
          <cell r="K42">
            <v>1.1409112306807301E-6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  <cell r="J43">
            <v>1.45599674171033E-5</v>
          </cell>
          <cell r="K43">
            <v>1.4084444618655898E-3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I44">
            <v>0.15482503277852663</v>
          </cell>
          <cell r="J44">
            <v>0.16816015161571327</v>
          </cell>
          <cell r="K44">
            <v>0.19689273327407245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I45">
            <v>0.64448877047008091</v>
          </cell>
          <cell r="J45">
            <v>13.20727863831341</v>
          </cell>
          <cell r="K45">
            <v>13.247175409342693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  <cell r="K46">
            <v>9.097596411434674E-3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I47">
            <v>13.310529246588187</v>
          </cell>
          <cell r="J47">
            <v>14.601538371619109</v>
          </cell>
          <cell r="K47">
            <v>17.096510135824214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  <cell r="J48">
            <v>0.14458417866901269</v>
          </cell>
          <cell r="K48">
            <v>0.1693753256287541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I49">
            <v>13.310529246588187</v>
          </cell>
          <cell r="J49">
            <v>14.456968463190888</v>
          </cell>
          <cell r="K49">
            <v>16.927149554905238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I50">
            <v>1.9412109869259109E-3</v>
          </cell>
          <cell r="J50">
            <v>2.1328045232852456E-4</v>
          </cell>
          <cell r="K50">
            <v>1.4432771814315904E-4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I51">
            <v>3.5569093554972921</v>
          </cell>
          <cell r="J51">
            <v>2.4253585916447746</v>
          </cell>
          <cell r="K51">
            <v>1.9416496381987516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I52">
            <v>0.14666780731495502</v>
          </cell>
          <cell r="J52">
            <v>0.16376651895012465</v>
          </cell>
          <cell r="K52">
            <v>5.066599756140306E-2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I53">
            <v>9.162423738329009</v>
          </cell>
          <cell r="J53">
            <v>5.003595653370553</v>
          </cell>
          <cell r="K53">
            <v>5.9090341990975732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I54">
            <v>26.565582088981948</v>
          </cell>
          <cell r="J54">
            <v>15.541256081216082</v>
          </cell>
          <cell r="K54">
            <v>12.403231825089652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I55">
            <v>12.437589027760577</v>
          </cell>
          <cell r="J55">
            <v>2.0813732380305106</v>
          </cell>
          <cell r="K55">
            <v>18.923148998388651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I56">
            <v>200.60968765004699</v>
          </cell>
          <cell r="J56">
            <v>136.79022456876501</v>
          </cell>
          <cell r="K56">
            <v>109.50903959441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I57">
            <v>268.04771226332201</v>
          </cell>
          <cell r="J57">
            <v>115.816323979448</v>
          </cell>
          <cell r="K57">
            <v>8.0348712667086496E-4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I58">
            <v>8.2720643325634597</v>
          </cell>
          <cell r="J58">
            <v>9.2364316687870307</v>
          </cell>
          <cell r="K58">
            <v>2.8575622624631301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I59">
            <v>516.76069884175604</v>
          </cell>
          <cell r="J59">
            <v>282.202794850099</v>
          </cell>
          <cell r="K59">
            <v>333.26952882910302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I60">
            <v>1498.2988298185801</v>
          </cell>
          <cell r="J60">
            <v>876.52684298058705</v>
          </cell>
          <cell r="K60">
            <v>699.54227493505596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I61">
            <v>645.70208204840901</v>
          </cell>
          <cell r="J61">
            <v>213.59300732036201</v>
          </cell>
          <cell r="K61">
            <v>8.42084874162047E-4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I62">
            <v>1014.28236865424</v>
          </cell>
          <cell r="J62">
            <v>289.956146555749</v>
          </cell>
          <cell r="K62">
            <v>1.0175866800104501E-3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I63">
            <v>2228.7465059072501</v>
          </cell>
          <cell r="J63">
            <v>1129.12879999084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I64">
            <v>701.48002116569796</v>
          </cell>
          <cell r="J64">
            <v>117.389450624921</v>
          </cell>
          <cell r="K64">
            <v>1067.26560350912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  <cell r="K65">
            <v>-9.0975964114346792E-3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I66">
            <v>5.065069092413804</v>
          </cell>
          <cell r="J66">
            <v>4.1138766385385139</v>
          </cell>
          <cell r="K66">
            <v>5.792019869410483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I67">
            <v>4.6064002047825428</v>
          </cell>
          <cell r="J67">
            <v>2.5753429837399895</v>
          </cell>
          <cell r="K67">
            <v>1.0301342981095596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  <cell r="K68">
            <v>5.7985991553537826E-5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  <cell r="K69">
            <v>5.7985991553537826E-5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  <cell r="J70">
            <v>0.12764329490473422</v>
          </cell>
          <cell r="K70">
            <v>0.11939206696363946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I71">
            <v>1.7828965093345859</v>
          </cell>
          <cell r="J71">
            <v>1.1884952413154297</v>
          </cell>
          <cell r="K71">
            <v>6.7592877191983334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I72">
            <v>1.8269972897280142</v>
          </cell>
          <cell r="J72">
            <v>2.13521213500412</v>
          </cell>
          <cell r="K72">
            <v>2.1353743613925205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I73">
            <v>4.3992104504995639</v>
          </cell>
          <cell r="J73">
            <v>3.1628994676210911</v>
          </cell>
          <cell r="K73">
            <v>5.3298381168873892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I74">
            <v>1.5243456607927202</v>
          </cell>
          <cell r="J74">
            <v>1.7020912735150853</v>
          </cell>
          <cell r="K74">
            <v>3.8692730970669467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I75">
            <v>3.611469514135645E-2</v>
          </cell>
          <cell r="J75">
            <v>8.4912309753521718E-5</v>
          </cell>
          <cell r="K75">
            <v>1.7167503244454365E-4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I76">
            <v>0.50777607777276379</v>
          </cell>
          <cell r="J76">
            <v>9.5523269883384805E-5</v>
          </cell>
          <cell r="K76">
            <v>2.3313007486328973E-4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I77">
            <v>0.87034944958500016</v>
          </cell>
          <cell r="J77">
            <v>9.679792068750417E-5</v>
          </cell>
          <cell r="K77">
            <v>2.3007978233349478E-4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I78">
            <v>1.4608391122777344</v>
          </cell>
          <cell r="J78">
            <v>1.4608395596868444</v>
          </cell>
          <cell r="K78">
            <v>1.4608404191008182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I79">
            <v>3.6370110212119715</v>
          </cell>
          <cell r="J79">
            <v>1.5714562276722994</v>
          </cell>
          <cell r="K79">
            <v>1.0902131976538207E-5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I80">
            <v>8.7612222801683739</v>
          </cell>
          <cell r="J80">
            <v>2.8981412119452106</v>
          </cell>
          <cell r="K80">
            <v>1.1425846325129549E-5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I81">
            <v>13.762311650668114</v>
          </cell>
          <cell r="J81">
            <v>3.9342760726695905</v>
          </cell>
          <cell r="K81">
            <v>1.3807146268798456E-5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I82">
            <v>12.540438421620154</v>
          </cell>
          <cell r="J82">
            <v>17.062376775203589</v>
          </cell>
          <cell r="K82">
            <v>19.471158614175458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I83">
            <v>0.18221518772412085</v>
          </cell>
          <cell r="J83">
            <v>0.16331367316091877</v>
          </cell>
          <cell r="K83">
            <v>5.0752621539846061E-2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I84">
            <v>1.3704730549661381</v>
          </cell>
          <cell r="J84">
            <v>1.2142367898168482</v>
          </cell>
          <cell r="K84">
            <v>0.98064509757754315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I85">
            <v>30.199817153214806</v>
          </cell>
          <cell r="J85">
            <v>15.299848238358303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I86">
            <v>1.4257497002192556</v>
          </cell>
          <cell r="J86">
            <v>1.4257475367564416</v>
          </cell>
          <cell r="K86">
            <v>1.4257461648438061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I87">
            <v>9.6393691397576529</v>
          </cell>
          <cell r="J87">
            <v>4.9877054175400746</v>
          </cell>
          <cell r="K87">
            <v>5.8898977642654717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I88">
            <v>1.163465842124751E-5</v>
          </cell>
          <cell r="J88">
            <v>3.0707727160986755E-5</v>
          </cell>
          <cell r="K88">
            <v>9.2002245904095481E-6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I89">
            <v>5.7071694760958287E-5</v>
          </cell>
          <cell r="J89">
            <v>1.0960395429920107</v>
          </cell>
          <cell r="K89">
            <v>5.9099069052149886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I90">
            <v>1.0258930106626938E-5</v>
          </cell>
          <cell r="J90">
            <v>1.309623516795987E-5</v>
          </cell>
          <cell r="K90">
            <v>9.2042780651291417E-6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I91">
            <v>1.1383123918828191E-5</v>
          </cell>
          <cell r="J91">
            <v>2.7552725950166107E-5</v>
          </cell>
          <cell r="K91">
            <v>9.247638929307209E-6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I92">
            <v>2.3794982314255684E-5</v>
          </cell>
          <cell r="J92">
            <v>1.0959681863037296</v>
          </cell>
          <cell r="K92">
            <v>5.9098792530734006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I93">
            <v>1.2688335451470468E-5</v>
          </cell>
          <cell r="J93">
            <v>3.119175226536146E-5</v>
          </cell>
          <cell r="K93">
            <v>1.666411451161681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I94">
            <v>5.6417674193310194E-5</v>
          </cell>
          <cell r="J94">
            <v>1.0850808489655797</v>
          </cell>
          <cell r="K94">
            <v>5.8508743611249203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I95">
            <v>2.1367260564401321E-5</v>
          </cell>
          <cell r="J95">
            <v>1.0849985321075533</v>
          </cell>
          <cell r="K95">
            <v>2.4214815834149044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I96">
            <v>1.3293796785534305E-5</v>
          </cell>
          <cell r="J96">
            <v>2.957911873360712E-5</v>
          </cell>
          <cell r="K96">
            <v>1.762966278302595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I97">
            <v>9.0682813919041458E-6</v>
          </cell>
          <cell r="J97">
            <v>2.1545987027232415E-5</v>
          </cell>
          <cell r="K97">
            <v>1.5048245733987428E-5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I98">
            <v>0.36091371146324558</v>
          </cell>
          <cell r="J98">
            <v>7.3960760374555132</v>
          </cell>
          <cell r="K98">
            <v>7.4184135930967772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I99">
            <v>1.163465842124751E-5</v>
          </cell>
          <cell r="J99">
            <v>3.0707727160986755E-5</v>
          </cell>
          <cell r="K99">
            <v>9.2002245904095481E-6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I100">
            <v>5.7071694760958287E-5</v>
          </cell>
          <cell r="J100">
            <v>1.0960395429920107</v>
          </cell>
          <cell r="K100">
            <v>5.9099069052149886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I101">
            <v>1.0258930106626938E-5</v>
          </cell>
          <cell r="J101">
            <v>1.309623516795987E-5</v>
          </cell>
          <cell r="K101">
            <v>9.2042780651291417E-6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I102">
            <v>1.1383123918828191E-5</v>
          </cell>
          <cell r="J102">
            <v>2.7552725950166107E-5</v>
          </cell>
          <cell r="K102">
            <v>9.247638929307209E-6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I103">
            <v>2.3794982314255684E-5</v>
          </cell>
          <cell r="J103">
            <v>1.0959681863037296</v>
          </cell>
          <cell r="K103">
            <v>5.9098792530734006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  <cell r="J104">
            <v>0.12763620281859134</v>
          </cell>
          <cell r="K104">
            <v>0.11938556149416843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I105">
            <v>8.2055825598742813E-5</v>
          </cell>
          <cell r="J105">
            <v>4.2321856192173126E-5</v>
          </cell>
          <cell r="K105">
            <v>8.7043705919079701E-5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I106">
            <v>6.6125733564674385E-4</v>
          </cell>
          <cell r="J106">
            <v>2.7599378563829833E-4</v>
          </cell>
          <cell r="K106">
            <v>1.4672509650188877E-3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I107">
            <v>8.1356054411690242E-4</v>
          </cell>
          <cell r="J107">
            <v>3.4192435702492868E-4</v>
          </cell>
          <cell r="K107">
            <v>4.1286914075070805E-3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  <cell r="I108">
            <v>0.15198227982652407</v>
          </cell>
          <cell r="J108">
            <v>0.10955678404830285</v>
          </cell>
          <cell r="K108">
            <v>0.46212426990722888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I109">
            <v>1.2688335451470468E-5</v>
          </cell>
          <cell r="J109">
            <v>3.119175226536146E-5</v>
          </cell>
          <cell r="K109">
            <v>1.666411451161681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I110">
            <v>5.6417674193310194E-5</v>
          </cell>
          <cell r="J110">
            <v>1.0850808489655797</v>
          </cell>
          <cell r="K110">
            <v>5.8508743611249203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I111">
            <v>2.1367260564401321E-5</v>
          </cell>
          <cell r="J111">
            <v>1.0849985321075533</v>
          </cell>
          <cell r="K111">
            <v>2.4214815834149044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I112">
            <v>1.3293796785534305E-5</v>
          </cell>
          <cell r="J112">
            <v>2.957911873360714E-5</v>
          </cell>
          <cell r="K112">
            <v>1.762966278302595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I113">
            <v>9.0682813919041458E-6</v>
          </cell>
          <cell r="J113">
            <v>2.1545987027232426E-5</v>
          </cell>
          <cell r="K113">
            <v>1.5048245733987428E-5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I114">
            <v>27.348517957267468</v>
          </cell>
          <cell r="J114">
            <v>15.491801014709285</v>
          </cell>
          <cell r="K114">
            <v>12.363577081899598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I115">
            <v>1.3704730549661381</v>
          </cell>
          <cell r="J115">
            <v>1.2142367898168482</v>
          </cell>
          <cell r="K115">
            <v>0.98064509757754315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I117">
            <v>1.3704730549661381</v>
          </cell>
          <cell r="J117">
            <v>1.2142367898168482</v>
          </cell>
          <cell r="K117">
            <v>0.98064509757754315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I119">
            <v>4.0668272542335524</v>
          </cell>
          <cell r="J119">
            <v>4.0662103107922141</v>
          </cell>
          <cell r="K119">
            <v>10.288507204351589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I121">
            <v>1.0476281166295607</v>
          </cell>
          <cell r="J121">
            <v>1.0476285236848197</v>
          </cell>
          <cell r="K121">
            <v>1.047628734273429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I122">
            <v>5.750387385941838E-4</v>
          </cell>
          <cell r="J122">
            <v>4.0166273109127102E-4</v>
          </cell>
          <cell r="K122">
            <v>0.22504808372640048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I123">
            <v>5.7586825187272699E-4</v>
          </cell>
          <cell r="J123">
            <v>4.0595922493051595E-4</v>
          </cell>
          <cell r="K123">
            <v>0.43975355921697296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I124">
            <v>3.018056857022597</v>
          </cell>
          <cell r="J124">
            <v>3.0177832512679066</v>
          </cell>
          <cell r="K124">
            <v>8.5760981433765995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  <cell r="J125">
            <v>0.10120892506830888</v>
          </cell>
          <cell r="K125">
            <v>0.11856272794012777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I126">
            <v>7.7412516389263306</v>
          </cell>
          <cell r="J126">
            <v>8.4080075807856662</v>
          </cell>
          <cell r="K126">
            <v>9.8446366637036178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I127">
            <v>1.8269972897280142</v>
          </cell>
          <cell r="J127">
            <v>2.13521213500412</v>
          </cell>
          <cell r="K127">
            <v>2.1353743613925205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I128">
            <v>4.3847686788881752</v>
          </cell>
          <cell r="J128">
            <v>5.9658660053159416</v>
          </cell>
          <cell r="K128">
            <v>6.808097417543868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I129">
            <v>1.4257497002192556</v>
          </cell>
          <cell r="J129">
            <v>1.4257475367564416</v>
          </cell>
          <cell r="K129">
            <v>1.4257461648438061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I130">
            <v>6.9021032853310098</v>
          </cell>
          <cell r="J130">
            <v>8.7697148064837318</v>
          </cell>
          <cell r="K130">
            <v>8.7697091332085702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I131">
            <v>4.8202572788380724</v>
          </cell>
          <cell r="J131">
            <v>3.4656194225266734</v>
          </cell>
          <cell r="K131">
            <v>5.8399549798845394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I132">
            <v>2.9902562189021307</v>
          </cell>
          <cell r="J132">
            <v>2.9495686380498607</v>
          </cell>
          <cell r="K132">
            <v>2.8712749994346187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I133">
            <v>17.276137233557701</v>
          </cell>
          <cell r="J133">
            <v>29.138468482673801</v>
          </cell>
          <cell r="K133">
            <v>57.958627493208098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I134">
            <v>6.9021032853310098</v>
          </cell>
          <cell r="J134">
            <v>8.7697148064837318</v>
          </cell>
          <cell r="K134">
            <v>8.7697091332085702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I135">
            <v>1.1511973661715555</v>
          </cell>
          <cell r="J135">
            <v>1.0199589034461531</v>
          </cell>
          <cell r="K135">
            <v>0.82374188196513587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I136">
            <v>8.6154645435408028</v>
          </cell>
          <cell r="J136">
            <v>2.8501330970032779</v>
          </cell>
          <cell r="K136">
            <v>0.22129871543060523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I137">
            <v>2.1599248593719307</v>
          </cell>
          <cell r="J137">
            <v>4.3455610691852078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I139">
            <v>2.1599248593719307</v>
          </cell>
          <cell r="J139">
            <v>4.3455610691852078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I140">
            <v>31.884179854940239</v>
          </cell>
          <cell r="J140">
            <v>19.356697857998753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I141">
            <v>13.533031132533418</v>
          </cell>
          <cell r="J141">
            <v>3.8689681627654897</v>
          </cell>
          <cell r="K141">
            <v>0.43241631703443489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  <cell r="J142">
            <v>2.0253902927591199E-8</v>
          </cell>
          <cell r="K142">
            <v>2.0217305646540224E-7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I143">
            <v>4.8202572788380724</v>
          </cell>
          <cell r="J143">
            <v>3.4656194225266734</v>
          </cell>
          <cell r="K143">
            <v>5.8399549798845394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I144">
            <v>4.8202572788380724</v>
          </cell>
          <cell r="J144">
            <v>3.4656194225266734</v>
          </cell>
          <cell r="K144">
            <v>5.8399549798845394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I145">
            <v>6.6443079973720499E-4</v>
          </cell>
          <cell r="J145">
            <v>2.8040767346391006E-4</v>
          </cell>
          <cell r="K145">
            <v>1.4687731374359257E-3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I146">
            <v>8.1490959673760546E-4</v>
          </cell>
          <cell r="J146">
            <v>3.4305905739804047E-4</v>
          </cell>
          <cell r="K146">
            <v>4.1286914075070484E-3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  <cell r="K148">
            <v>3.242910348057371E-5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I149">
            <v>1.9412109869259109E-3</v>
          </cell>
          <cell r="J149">
            <v>2.1328045232852456E-4</v>
          </cell>
          <cell r="K149">
            <v>1.4432771814315904E-4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  <cell r="I150">
            <v>0.15198523815019274</v>
          </cell>
          <cell r="J150">
            <v>0.10955763991849335</v>
          </cell>
          <cell r="K150">
            <v>0.4621242699073797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  <cell r="K151">
            <v>3.6090127402344034E-5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  <cell r="J152">
            <v>2.0253902927591199E-8</v>
          </cell>
          <cell r="K152">
            <v>2.0217305646540224E-7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I153">
            <v>1.1908066462975899</v>
          </cell>
          <cell r="J153">
            <v>1.78493924524043</v>
          </cell>
          <cell r="K153">
            <v>1.69077873593883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I154">
            <v>17.276137233557701</v>
          </cell>
          <cell r="J154">
            <v>29.138468482673801</v>
          </cell>
          <cell r="K154">
            <v>57.958627493208098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I155">
            <v>17.276137233557701</v>
          </cell>
          <cell r="J155">
            <v>29.138468482673801</v>
          </cell>
          <cell r="K155">
            <v>57.958627493208098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I156">
            <v>0.64448877047008091</v>
          </cell>
          <cell r="J156">
            <v>13.20727863831341</v>
          </cell>
          <cell r="K156">
            <v>13.247175409342693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I157">
            <v>0.64448877047008091</v>
          </cell>
          <cell r="J157">
            <v>13.20727863831341</v>
          </cell>
          <cell r="K157">
            <v>13.247167130529959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  <cell r="K160">
            <v>8.2788127344055569E-6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I161">
            <v>2.9902562189021307</v>
          </cell>
          <cell r="J161">
            <v>2.9495686380498607</v>
          </cell>
          <cell r="K161">
            <v>2.8712749994346187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I162">
            <v>13.853513358770986</v>
          </cell>
          <cell r="J162">
            <v>3.5303775036617528</v>
          </cell>
          <cell r="K162">
            <v>20.31730511815136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I163">
            <v>13.310529246588187</v>
          </cell>
          <cell r="J163">
            <v>14.601538371619109</v>
          </cell>
          <cell r="K163">
            <v>17.096510135824214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  <cell r="J164">
            <v>2.0253902927591299E-8</v>
          </cell>
          <cell r="K164">
            <v>2.02173056465402E-7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1.0584074874128711</v>
          </cell>
          <cell r="I8">
            <v>1.3531130164789662</v>
          </cell>
          <cell r="J8">
            <v>1.257721064523321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2.1632311576234588E-3</v>
          </cell>
          <cell r="I9">
            <v>2.8407217331018648E-3</v>
          </cell>
          <cell r="J9">
            <v>2.8698731030695592E-3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1.8766090202355874E-2</v>
          </cell>
          <cell r="I10">
            <v>2.3991365540407195E-2</v>
          </cell>
          <cell r="J10">
            <v>2.2300018874526928E-2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4.32712798859075E-5</v>
          </cell>
          <cell r="I11">
            <v>2.4713981171510699E-5</v>
          </cell>
          <cell r="J11">
            <v>4.99287048052135E-5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5.4249741746023803E-5</v>
          </cell>
          <cell r="I12">
            <v>5.4267672934868697E-5</v>
          </cell>
          <cell r="J12">
            <v>5.42657276591253E-5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1.061044277702884E-3</v>
          </cell>
          <cell r="I13">
            <v>6.9516516406163155E-4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1.061044277702884E-3</v>
          </cell>
          <cell r="I14">
            <v>6.9516516406163155E-4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6.3476009698984698E-5</v>
          </cell>
          <cell r="I15">
            <v>2.4198481639753001E-5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1.5431665035036098E-4</v>
          </cell>
          <cell r="I16">
            <v>1.0136043054699563E-4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6.4560562259602296E-4</v>
          </cell>
          <cell r="I17">
            <v>5.9180769585120128E-4</v>
          </cell>
          <cell r="J17">
            <v>2.3680591155434447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2.1312711547773391E-3</v>
          </cell>
          <cell r="I18">
            <v>1.9057241142987355E-3</v>
          </cell>
          <cell r="J18">
            <v>6.9769085779854212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1.04463803601552E-5</v>
          </cell>
          <cell r="I19">
            <v>6.0697703110444602E-6</v>
          </cell>
          <cell r="J19">
            <v>4.4547751646822002E-2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1.2514919307118E-5</v>
          </cell>
          <cell r="I20">
            <v>1.3196292570925484E-5</v>
          </cell>
          <cell r="J20">
            <v>4.4548816822536703E-2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1.2426096029165556E-2</v>
          </cell>
          <cell r="I21">
            <v>1.2127363125139627E-3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1.2426096029165556E-2</v>
          </cell>
          <cell r="I22">
            <v>1.2127363125139627E-3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7.8526733799763506E-5</v>
          </cell>
          <cell r="I23">
            <v>7.0912562786855997E-6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1.0959538884772412E-3</v>
          </cell>
          <cell r="I24">
            <v>1.0860853888891643E-4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49.496826504340049</v>
          </cell>
          <cell r="I25">
            <v>57.674610098526415</v>
          </cell>
          <cell r="J25">
            <v>77.722746553808292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1.4248097087795101E-4</v>
          </cell>
          <cell r="I26">
            <v>2.54325668293124E-2</v>
          </cell>
          <cell r="J26">
            <v>0.35935926536887203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18.750487360772855</v>
          </cell>
          <cell r="I27">
            <v>15.67050699500367</v>
          </cell>
          <cell r="J27">
            <v>39.979888299692199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1.6683498976150484E-3</v>
          </cell>
          <cell r="I28">
            <v>1.7705301578928112E-3</v>
          </cell>
          <cell r="J28">
            <v>9.3119273598261465E-4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1.5879787864114665E-2</v>
          </cell>
          <cell r="I29">
            <v>4.5520547799385198E-2</v>
          </cell>
          <cell r="J29">
            <v>0.22247619974680671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30.728950263175509</v>
          </cell>
          <cell r="I30">
            <v>41.98226128588739</v>
          </cell>
          <cell r="J30">
            <v>37.878834307546043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0.51599931651593633</v>
          </cell>
          <cell r="I31">
            <v>4.9996471789073835E-2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0.51599931651593633</v>
          </cell>
          <cell r="I32">
            <v>4.9996471789073835E-2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8.2122586775013097E-5</v>
          </cell>
          <cell r="I33">
            <v>1.1707963035796499E-5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3.5499270255361301E-2</v>
          </cell>
          <cell r="I34">
            <v>3.4470443976017022E-3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1.0988775324357596E-3</v>
          </cell>
          <cell r="I35">
            <v>7.3215995548500342E-4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1.0988775324357596E-3</v>
          </cell>
          <cell r="I36">
            <v>7.3215995548500342E-4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6.9358850013493195E-5</v>
          </cell>
          <cell r="I37">
            <v>2.48544512296971E-5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1.6003881411170252E-4</v>
          </cell>
          <cell r="I38">
            <v>1.0695851102786122E-4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2.6278832771802443E-2</v>
          </cell>
          <cell r="I39">
            <v>1.6795856132797353E-3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2.6278832771802443E-2</v>
          </cell>
          <cell r="I40">
            <v>1.6795856132797353E-3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7.5802044316745603E-5</v>
          </cell>
          <cell r="I41">
            <v>1.23112318684611E-5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2.1067163840648435E-3</v>
          </cell>
          <cell r="I42">
            <v>1.4328066211610744E-4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2.7999448037046132E-3</v>
          </cell>
          <cell r="I43">
            <v>1.4695392448401195E-3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2.7999448037046132E-3</v>
          </cell>
          <cell r="I44">
            <v>1.4695392448401195E-3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9.5645073209872202E-5</v>
          </cell>
          <cell r="I45">
            <v>6.98519227052752E-6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2.3216785589894826E-4</v>
          </cell>
          <cell r="I46">
            <v>1.3257526381662673E-4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0.24931030862351192</v>
          </cell>
          <cell r="I47">
            <v>0.26429350058564927</v>
          </cell>
          <cell r="J47">
            <v>0.2882551734928312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9.8719623621199712</v>
          </cell>
          <cell r="I48">
            <v>10.472825316303267</v>
          </cell>
          <cell r="J48">
            <v>11.43887760769892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3.1289101700304598E-4</v>
          </cell>
          <cell r="I49">
            <v>1.6088310381344399E-4</v>
          </cell>
          <cell r="J49">
            <v>1.34032542763816E-3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2.6769823275055631E-3</v>
          </cell>
          <cell r="I50">
            <v>2.8378654313190067E-3</v>
          </cell>
          <cell r="J50">
            <v>3.0951554809083999E-3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3.1129743717065619</v>
          </cell>
          <cell r="I51">
            <v>1.3203916582787436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3.1129743717065619</v>
          </cell>
          <cell r="I52">
            <v>1.3203916582787436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1.04507509715758E-4</v>
          </cell>
          <cell r="I53">
            <v>1.1828066856955299E-5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0.21405285746155545</v>
          </cell>
          <cell r="I54">
            <v>9.0796797781555486E-2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6.1396780817192312E-3</v>
          </cell>
          <cell r="I55">
            <v>2.0344608904433849E-3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6.1396780817192312E-3</v>
          </cell>
          <cell r="I56">
            <v>2.0344608904433849E-3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9.0076537093355098E-5</v>
          </cell>
          <cell r="I57">
            <v>1.22660472460577E-5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5.0957189516758253E-4</v>
          </cell>
          <cell r="I58">
            <v>1.7208280390814651E-4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H59">
            <v>4.3304940554873599E-8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H60">
            <v>6.4050493427166202E-8</v>
          </cell>
          <cell r="I60">
            <v>1.1365419074347802E-8</v>
          </cell>
          <cell r="J60">
            <v>7.5995249640428502E-9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H61">
            <v>7.9225940248600591E-4</v>
          </cell>
          <cell r="I61">
            <v>4.5590695216752273E-4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H62">
            <v>7.8823723455834105E-2</v>
          </cell>
          <cell r="I62">
            <v>4.4312531178233708E-2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H63">
            <v>1.068072133547888E-3</v>
          </cell>
          <cell r="I63">
            <v>6.0044080187308555E-4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  <cell r="H64">
            <v>-1.57163083052791E-8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H65">
            <v>1.04490359696672</v>
          </cell>
          <cell r="I65">
            <v>8.6369240158155502E-2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H66">
            <v>8.7641735641547213E-3</v>
          </cell>
          <cell r="I66">
            <v>7.3513865151663056E-4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H67">
            <v>1.4158585324752313E-2</v>
          </cell>
          <cell r="I67">
            <v>1.1703149072920815E-3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H68">
            <v>-1.9204242998400401E-8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1.2366387250889502E-3</v>
          </cell>
          <cell r="I69">
            <v>1.333416614991858E-3</v>
          </cell>
          <cell r="J69">
            <v>4.6099091483093815E-4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1.23663872508895E-3</v>
          </cell>
          <cell r="I70">
            <v>1.3334166149918578E-3</v>
          </cell>
          <cell r="J70">
            <v>4.6099091483093804E-4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1.2404747555214029E-3</v>
          </cell>
          <cell r="I71">
            <v>1.3340504409465109E-3</v>
          </cell>
          <cell r="J71">
            <v>4.6168953130038405E-4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1.2404747555214029E-3</v>
          </cell>
          <cell r="I72">
            <v>1.3340504409465109E-3</v>
          </cell>
          <cell r="J72">
            <v>4.6168953130038405E-4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5.8714712816351896E-3</v>
          </cell>
          <cell r="I73">
            <v>2.1205965109131401E-3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1.7705072706511255E-2</v>
          </cell>
          <cell r="I74">
            <v>1.1870686460190401E-2</v>
          </cell>
          <cell r="J74">
            <v>4.0169460876139703E-3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41.824258507388713</v>
          </cell>
          <cell r="I75">
            <v>3.1578942232030465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0.32758647378333394</v>
          </cell>
          <cell r="I76">
            <v>2.6040495774986509E-2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0.5667243700188177</v>
          </cell>
          <cell r="I77">
            <v>4.2789894623347507E-2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-1.52534964936282E-8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3.6715319882794136E-3</v>
          </cell>
          <cell r="I79">
            <v>2.4752949544803041E-3</v>
          </cell>
          <cell r="J79">
            <v>1.7023287565870343E-3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3.6715319882794132E-3</v>
          </cell>
          <cell r="I80">
            <v>2.4752949544803037E-3</v>
          </cell>
          <cell r="J80">
            <v>1.7023287565870336E-3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3.6732833921751459E-3</v>
          </cell>
          <cell r="I81">
            <v>2.4761886864233936E-3</v>
          </cell>
          <cell r="J81">
            <v>1.7033289013668801E-3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3.6732833921751459E-3</v>
          </cell>
          <cell r="I82">
            <v>2.4761886864233936E-3</v>
          </cell>
          <cell r="J82">
            <v>1.7033289013668801E-3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1.6381390707442399E-2</v>
          </cell>
          <cell r="I83">
            <v>1.0683722387348001E-2</v>
          </cell>
          <cell r="J83">
            <v>6.6144940157504203E-3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8.3189406026997231E-2</v>
          </cell>
          <cell r="I84">
            <v>4.7590233316302515E-2</v>
          </cell>
          <cell r="J84">
            <v>2.127750117956366E-2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2.3254572961458155</v>
          </cell>
          <cell r="I85">
            <v>0.12301000720666666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1.7276509374993261E-2</v>
          </cell>
          <cell r="I86">
            <v>9.2989296549056324E-4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3.1510261465390522E-2</v>
          </cell>
          <cell r="I87">
            <v>1.6668022656729903E-3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0.93399617263298951</v>
          </cell>
          <cell r="I88">
            <v>0.57097984683289227</v>
          </cell>
          <cell r="J88">
            <v>6.1522435171393005E-4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0.93399617263298951</v>
          </cell>
          <cell r="I89">
            <v>0.57097984683289216</v>
          </cell>
          <cell r="J89">
            <v>6.1522435171392994E-4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0.93409209028136186</v>
          </cell>
          <cell r="I90">
            <v>0.57103733063238471</v>
          </cell>
          <cell r="J90">
            <v>6.1598907367284078E-4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0.93409209028136186</v>
          </cell>
          <cell r="I91">
            <v>0.57103733063238471</v>
          </cell>
          <cell r="J91">
            <v>6.1598907367284078E-4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1.55201139152687E-2</v>
          </cell>
          <cell r="I92">
            <v>1.99942774737989E-3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30.005076390090952</v>
          </cell>
          <cell r="I93">
            <v>14.51231626593944</v>
          </cell>
          <cell r="J93">
            <v>8.0006550259316776E-3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410.49821750524478</v>
          </cell>
          <cell r="I94">
            <v>502.59703018295579</v>
          </cell>
          <cell r="J94">
            <v>133.62970132449612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2.5804130350010115</v>
          </cell>
          <cell r="I95">
            <v>3.1593509368169803</v>
          </cell>
          <cell r="J95">
            <v>0.84000321671705269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5.6002485334958347</v>
          </cell>
          <cell r="I96">
            <v>6.8567125536555986</v>
          </cell>
          <cell r="J96">
            <v>1.8230518598157737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0.16157463895123</v>
          </cell>
          <cell r="I97">
            <v>0.110187951166362</v>
          </cell>
          <cell r="J97">
            <v>8.1645015606524602E-6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0.25692076873390357</v>
          </cell>
          <cell r="I98">
            <v>0.28419109898456674</v>
          </cell>
          <cell r="J98">
            <v>8.362251020729719E-2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I99">
            <v>2.7915882887455378E-5</v>
          </cell>
          <cell r="J99">
            <v>3.421011660434351E-5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I100">
            <v>1.3865761828847707E-4</v>
          </cell>
          <cell r="J100">
            <v>1.5770814060818664E-4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2.0654858753776001E-7</v>
          </cell>
          <cell r="I101">
            <v>4.9748725302708497E-7</v>
          </cell>
          <cell r="J101">
            <v>6.2931970254195196E-7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1.9477729414724379E-7</v>
          </cell>
          <cell r="I102">
            <v>6.3855711059411205E-7</v>
          </cell>
          <cell r="J102">
            <v>7.1662306216397495E-7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8.4804592472860606E-3</v>
          </cell>
          <cell r="I103">
            <v>2.3057272792767983E-3</v>
          </cell>
          <cell r="J103">
            <v>5.78269110901857E-4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8.4804592472860589E-3</v>
          </cell>
          <cell r="I104">
            <v>2.3057272792767979E-3</v>
          </cell>
          <cell r="J104">
            <v>5.7826911090185689E-4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8.4838350731138365E-3</v>
          </cell>
          <cell r="I105">
            <v>2.3063379795890144E-3</v>
          </cell>
          <cell r="J105">
            <v>5.7903013696709155E-4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8.4838350731138365E-3</v>
          </cell>
          <cell r="I106">
            <v>2.3063379795890144E-3</v>
          </cell>
          <cell r="J106">
            <v>5.7903013696709155E-4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1.40185821242953E-2</v>
          </cell>
          <cell r="I107">
            <v>2.1969709792921698E-3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9.16065788509004E-2</v>
          </cell>
          <cell r="I108">
            <v>4.0329838930383201E-2</v>
          </cell>
          <cell r="J108">
            <v>7.5104865071706477E-3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3.3098108089591086E-2</v>
          </cell>
          <cell r="I113">
            <v>3.3880230117904683E-2</v>
          </cell>
          <cell r="J113">
            <v>3.6423618231117581E-2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1.9814442198661759</v>
          </cell>
          <cell r="I114">
            <v>2.0282665689876755</v>
          </cell>
          <cell r="J114">
            <v>2.1805284947195247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1.3425492312084099E-4</v>
          </cell>
          <cell r="I115">
            <v>7.2194406055656906E-5</v>
          </cell>
          <cell r="J115">
            <v>1.49577276635229E-3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3.0555697663188471E-3</v>
          </cell>
          <cell r="I116">
            <v>3.1277641723745039E-3</v>
          </cell>
          <cell r="J116">
            <v>3.3625473061197298E-3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2.3993283889221267E-2</v>
          </cell>
          <cell r="I121">
            <v>1.1814183876144855E-2</v>
          </cell>
          <cell r="J121">
            <v>2.1049965795210202E-3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2.4734816677315138E-4</v>
          </cell>
          <cell r="I122">
            <v>1.2364634836667837E-4</v>
          </cell>
          <cell r="J122">
            <v>2.281745434818197E-5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4.2541283491527034E-4</v>
          </cell>
          <cell r="I123">
            <v>2.0947134532171716E-4</v>
          </cell>
          <cell r="J123">
            <v>3.7322634388670569E-5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1.2713283405728999E-5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3.4119387606963883E-5</v>
          </cell>
          <cell r="I125">
            <v>1.7240359130405177E-5</v>
          </cell>
          <cell r="J125">
            <v>3.1709773473819067E-6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30.34881119295407</v>
          </cell>
          <cell r="I126">
            <v>36.861584396594466</v>
          </cell>
          <cell r="J126">
            <v>41.623932756038975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30.34881119295407</v>
          </cell>
          <cell r="I127">
            <v>36.861584396594466</v>
          </cell>
          <cell r="J127">
            <v>41.623932756038975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16.668308000988699</v>
          </cell>
          <cell r="I128">
            <v>13.710893254893699</v>
          </cell>
          <cell r="J128">
            <v>29.5518691673403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22.190244838813108</v>
          </cell>
          <cell r="I129">
            <v>33.426815089362201</v>
          </cell>
          <cell r="J129">
            <v>46.552929176060701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9.2746051560592374E-2</v>
          </cell>
          <cell r="I130">
            <v>4.1607724290815495E-2</v>
          </cell>
          <cell r="J130">
            <v>7.3475573977839397E-3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8.2334092758934386E-4</v>
          </cell>
          <cell r="I131">
            <v>3.5034289738480412E-4</v>
          </cell>
          <cell r="J131">
            <v>6.3747665741681223E-5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1.6444335383083756E-3</v>
          </cell>
          <cell r="I132">
            <v>7.3772560799318472E-4</v>
          </cell>
          <cell r="J132">
            <v>1.3027584038623988E-4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2.4204859116316401E-5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7.1081059283094905E-5</v>
          </cell>
          <cell r="I134">
            <v>3.0457987931177783E-5</v>
          </cell>
          <cell r="J134">
            <v>6.0424117494699899E-6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0.27814628295297972</v>
          </cell>
          <cell r="I135">
            <v>0.1560056950444047</v>
          </cell>
          <cell r="J135">
            <v>5.0297007872729685E-2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1.2981975478205711E-3</v>
          </cell>
          <cell r="I136">
            <v>7.2812840999542333E-4</v>
          </cell>
          <cell r="J136">
            <v>2.3475220157490975E-4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3.7946286896722988E-3</v>
          </cell>
          <cell r="I137">
            <v>2.1283178041528587E-3</v>
          </cell>
          <cell r="J137">
            <v>6.8618018925961427E-4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3.0556600652666897E-5</v>
          </cell>
          <cell r="I138">
            <v>2.4793664832016501E-5</v>
          </cell>
          <cell r="J138">
            <v>3.6926852065228401E-6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1.2314083854544279E-4</v>
          </cell>
          <cell r="I139">
            <v>6.3603977195195632E-5</v>
          </cell>
          <cell r="J139">
            <v>2.1477550296655738E-5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0.9210317845818381</v>
          </cell>
          <cell r="I140">
            <v>0.48008369903497172</v>
          </cell>
          <cell r="J140">
            <v>3.5208023961071998E-2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7.2599552772642222E-3</v>
          </cell>
          <cell r="I141">
            <v>3.7726599733348175E-3</v>
          </cell>
          <cell r="J141">
            <v>2.9325924245685291E-4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1.6330350790458133E-2</v>
          </cell>
          <cell r="I142">
            <v>8.5121223233151008E-3</v>
          </cell>
          <cell r="J142">
            <v>6.2425574399063764E-4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1.02696938984392E-4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5.0816105632936546E-4</v>
          </cell>
          <cell r="I144">
            <v>2.637773615349859E-4</v>
          </cell>
          <cell r="J144">
            <v>2.5636885047415499E-5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7.0113300771685863</v>
          </cell>
          <cell r="I145">
            <v>5.7880551834593339</v>
          </cell>
          <cell r="J145">
            <v>1.1241173710258601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5.8519601830494726E-2</v>
          </cell>
          <cell r="I146">
            <v>4.8414094297802766E-2</v>
          </cell>
          <cell r="J146">
            <v>9.4496043927356273E-3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0.12431436307036504</v>
          </cell>
          <cell r="I147">
            <v>0.10262509190530734</v>
          </cell>
          <cell r="J147">
            <v>1.993115906074221E-2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4.2426232567716196E-3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4.6363308290207992E-3</v>
          </cell>
          <cell r="I149">
            <v>3.8233144996343889E-3</v>
          </cell>
          <cell r="J149">
            <v>1.05911282078112E-3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8.9918834405912917E-2</v>
          </cell>
          <cell r="I150">
            <v>3.3931530842099669E-2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7.1753561875911376E-4</v>
          </cell>
          <cell r="I151">
            <v>2.7801710225760373E-4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1.2184123903240234E-3</v>
          </cell>
          <cell r="I152">
            <v>4.5977684067885732E-4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1.05297023642899E-4</v>
          </cell>
          <cell r="I154">
            <v>4.0739486805744699E-5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3.3377943963007015E-2</v>
          </cell>
          <cell r="I155">
            <v>3.4523476991223531E-2</v>
          </cell>
          <cell r="J155">
            <v>3.6192278140061748E-2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0.49261136197989641</v>
          </cell>
          <cell r="I156">
            <v>0.50951781331339152</v>
          </cell>
          <cell r="J156">
            <v>0.53414696386004867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9.7890533712800126E-2</v>
          </cell>
          <cell r="I157">
            <v>3.626500776161104E-2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6.3128637017644332E-4</v>
          </cell>
          <cell r="I158">
            <v>2.4054982736758103E-4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1.3264299961084009E-3</v>
          </cell>
          <cell r="I159">
            <v>4.913957691275217E-4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5.8932741392406598E-5</v>
          </cell>
          <cell r="I161">
            <v>2.2208595664567599E-5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7.2385228702144769E-2</v>
          </cell>
          <cell r="I162">
            <v>2.755054508655444E-2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6.1736590038281424E-4</v>
          </cell>
          <cell r="I163">
            <v>2.4015062334836079E-4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9.8752017328983298E-4</v>
          </cell>
          <cell r="I164">
            <v>3.7586009667877875E-4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9.0137138427722296E-5</v>
          </cell>
          <cell r="I166">
            <v>3.4949607355562497E-5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0.10818503737421567</v>
          </cell>
          <cell r="I167">
            <v>3.8382568769474372E-2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6.4650161239687698E-4</v>
          </cell>
          <cell r="I168">
            <v>2.3682343334779343E-4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1.4659219156397786E-3</v>
          </cell>
          <cell r="I169">
            <v>5.2008900771645437E-4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5.0896993139259099E-5</v>
          </cell>
          <cell r="I171">
            <v>1.8205785778979E-5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8.782137593656815E-2</v>
          </cell>
          <cell r="I172">
            <v>3.4683437809490236E-2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6.0673143028293418E-4</v>
          </cell>
          <cell r="I173">
            <v>2.4496617560037517E-4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1.1981088122314902E-3</v>
          </cell>
          <cell r="I174">
            <v>4.7317104787844815E-4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5.5746230125970998E-5</v>
          </cell>
          <cell r="I176">
            <v>2.16114590733735E-5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0.1599575898775725</v>
          </cell>
          <cell r="I177">
            <v>6.2988861122673212E-2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9.7284232328387625E-4</v>
          </cell>
          <cell r="I178">
            <v>3.9318976351076547E-4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2.1674470173112872E-3</v>
          </cell>
          <cell r="I179">
            <v>8.5350760328825538E-4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9.5481978795644202E-5</v>
          </cell>
          <cell r="I181">
            <v>3.7166074537354299E-5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9.251375574969696E-2</v>
          </cell>
          <cell r="I182">
            <v>3.4424879341892201E-2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5.9297934449083331E-4</v>
          </cell>
          <cell r="I183">
            <v>2.2618309840495202E-4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1.2621249079085542E-3</v>
          </cell>
          <cell r="I184">
            <v>4.6964364722908901E-4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4.5816211418501598E-5</v>
          </cell>
          <cell r="I186">
            <v>1.6957500787168201E-5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0.2420172567941577</v>
          </cell>
          <cell r="I187">
            <v>0.10777373723627889</v>
          </cell>
          <cell r="J187">
            <v>6.9451758288278027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6.0572306643525222E-4</v>
          </cell>
          <cell r="I188">
            <v>2.8793080133823718E-4</v>
          </cell>
          <cell r="J188">
            <v>2.1304577067012689E-2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3.301736109060819E-3</v>
          </cell>
          <cell r="I189">
            <v>1.4703101942193566E-3</v>
          </cell>
          <cell r="J189">
            <v>9.4750011307336957E-2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3.01541107419988E-6</v>
          </cell>
          <cell r="I190">
            <v>2.3131039091790899E-6</v>
          </cell>
          <cell r="J190">
            <v>4.62139000729027E-4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1.3854447351888301E-5</v>
          </cell>
          <cell r="I191">
            <v>6.6202007005997749E-6</v>
          </cell>
          <cell r="J191">
            <v>4.63828204953112E-4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4.5057088847568885E-2</v>
          </cell>
          <cell r="I192">
            <v>1.467850349097595E-2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2.7051107988449531E-4</v>
          </cell>
          <cell r="I193">
            <v>9.1035159019843976E-5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6.146942544006666E-4</v>
          </cell>
          <cell r="I194">
            <v>2.0025243507470626E-4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2.50854689083356E-5</v>
          </cell>
          <cell r="I196">
            <v>8.1847189110019908E-6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0.22620072028158439</v>
          </cell>
          <cell r="I197">
            <v>0.16951768759004629</v>
          </cell>
          <cell r="J197">
            <v>7.5963326745134799E-2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4.1142950266665639E-4</v>
          </cell>
          <cell r="I198">
            <v>3.2750598199548451E-4</v>
          </cell>
          <cell r="J198">
            <v>1.5633135598991884E-4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3.0859579847419358E-3</v>
          </cell>
          <cell r="I199">
            <v>2.3126560380633864E-3</v>
          </cell>
          <cell r="J199">
            <v>1.0363346077098894E-3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3.0743919978285598E-6</v>
          </cell>
          <cell r="I200">
            <v>3.2550688395417599E-6</v>
          </cell>
          <cell r="J200">
            <v>1.38246301268476E-6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9.2230397334390829E-6</v>
          </cell>
          <cell r="I201">
            <v>7.2396228426937485E-6</v>
          </cell>
          <cell r="J201">
            <v>3.5544181141756201E-6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3080.9534421476401</v>
          </cell>
          <cell r="I205">
            <v>2704.7549615796102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41.414398740711839</v>
          </cell>
          <cell r="I206">
            <v>36.357511587936877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42.032106987007346</v>
          </cell>
          <cell r="I207">
            <v>36.899794837375303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0.61470779191598002</v>
          </cell>
          <cell r="I208">
            <v>4.1379736252904751</v>
          </cell>
          <cell r="J208">
            <v>1.279955364531411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7.7668390483162479E-4</v>
          </cell>
          <cell r="I209">
            <v>5.5417345784231639E-3</v>
          </cell>
          <cell r="J209">
            <v>1.7274317173423389E-3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8.3861908856204658E-3</v>
          </cell>
          <cell r="I210">
            <v>5.6452573332748661E-2</v>
          </cell>
          <cell r="J210">
            <v>1.7461874004521337E-2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1.3157602410268E-5</v>
          </cell>
          <cell r="I211">
            <v>1.07328174012668E-4</v>
          </cell>
          <cell r="J211">
            <v>8.3219137682872804E-7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1.6999681090218002E-5</v>
          </cell>
          <cell r="I212">
            <v>1.20485776422936E-4</v>
          </cell>
          <cell r="J212">
            <v>3.7594371350441499E-5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1.1980091870412948E-2</v>
          </cell>
          <cell r="I213">
            <v>1.2748095948285668E-2</v>
          </cell>
          <cell r="J213">
            <v>1.3811499519584403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1.1980091870412948E-2</v>
          </cell>
          <cell r="I214">
            <v>1.2748095948285666E-2</v>
          </cell>
          <cell r="J214">
            <v>1.3811499519584403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1.1997332786013329E-2</v>
          </cell>
          <cell r="I215">
            <v>1.2761784465647493E-2</v>
          </cell>
          <cell r="J215">
            <v>1.3812991846050715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1.1997332786013329E-2</v>
          </cell>
          <cell r="I216">
            <v>1.2761784465647493E-2</v>
          </cell>
          <cell r="J216">
            <v>1.3812991846050715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8.1101682677901504E-3</v>
          </cell>
          <cell r="I217">
            <v>1.57022767591995E-2</v>
          </cell>
          <cell r="J217">
            <v>32.193607611819203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3.045127834015951E-2</v>
          </cell>
          <cell r="I218">
            <v>2.7820209703280613E-2</v>
          </cell>
          <cell r="J218">
            <v>27.486154895166141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H219">
            <v>3.248043360253635E-3</v>
          </cell>
          <cell r="I219">
            <v>5.2302165654152001E-3</v>
          </cell>
          <cell r="J219">
            <v>6.1680731473813001E-4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H220">
            <v>2.7963219169562779E-6</v>
          </cell>
          <cell r="I220">
            <v>4.672421228569577E-6</v>
          </cell>
          <cell r="J220">
            <v>6.0380840745626239E-7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H221">
            <v>4.4311642022559814E-5</v>
          </cell>
          <cell r="I221">
            <v>7.135356842312692E-5</v>
          </cell>
          <cell r="J221">
            <v>8.4148337617753014E-6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H222">
            <v>8.0683286935670102E-8</v>
          </cell>
          <cell r="I222">
            <v>8.7020526655098401E-8</v>
          </cell>
          <cell r="J222">
            <v>2.2816532371615401E-8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H223">
            <v>9.7160986650028695E-8</v>
          </cell>
          <cell r="I223">
            <v>1.4212610705018901E-7</v>
          </cell>
          <cell r="J223">
            <v>3.8087645926467101E-8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6.5239248216661597E-6</v>
          </cell>
          <cell r="I228">
            <v>1.1649153128437E-2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5.3117733318224403E-4</v>
          </cell>
          <cell r="I229">
            <v>0.94847293028959601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7.1975248398677879E-6</v>
          </cell>
          <cell r="I230">
            <v>1.2851936724791289E-2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6.2965969770380702E-6</v>
          </cell>
          <cell r="I231">
            <v>1.1604714289031801E-2</v>
          </cell>
          <cell r="J231">
            <v>1.1698796736487801E-6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9.6064605380252743E-5</v>
          </cell>
          <cell r="I232">
            <v>1.1642589284155069E-2</v>
          </cell>
          <cell r="J232">
            <v>5.0931437532014678E-6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8.8939878721824801</v>
          </cell>
          <cell r="I233">
            <v>11.242470322830616</v>
          </cell>
          <cell r="J233">
            <v>11.520591674196403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8.8939878721824801</v>
          </cell>
          <cell r="I234">
            <v>11.242470322830613</v>
          </cell>
          <cell r="J234">
            <v>11.520591674196403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8.8948917839406754</v>
          </cell>
          <cell r="I235">
            <v>11.243607643852776</v>
          </cell>
          <cell r="J235">
            <v>11.521753697760316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8.8948917839406754</v>
          </cell>
          <cell r="I236">
            <v>11.243607643852776</v>
          </cell>
          <cell r="J236">
            <v>11.521753697760316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102.82287744038599</v>
          </cell>
          <cell r="I237">
            <v>142.55656577553501</v>
          </cell>
          <cell r="J237">
            <v>184.99275216277101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136.14862758179652</v>
          </cell>
          <cell r="I238">
            <v>240.72611696487786</v>
          </cell>
          <cell r="J238">
            <v>246.9683027647539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28.012558130185731</v>
          </cell>
          <cell r="I239">
            <v>6.0859162708225938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0.75682934197669793</v>
          </cell>
          <cell r="I240">
            <v>0.16624033223976983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0.3795739584036002</v>
          </cell>
          <cell r="I241">
            <v>8.2464990119547082E-2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3.1292615695171999E-2</v>
          </cell>
          <cell r="I242">
            <v>1.1729110105861999E-4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0.36381292559376455</v>
          </cell>
          <cell r="I243">
            <v>7.9846593712066108E-2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10.4015263231567</v>
          </cell>
          <cell r="I244">
            <v>7.6074761836992604</v>
          </cell>
          <cell r="J244">
            <v>2.0185983262035099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771.48152741319097</v>
          </cell>
          <cell r="I245">
            <v>564.24674260485199</v>
          </cell>
          <cell r="J245">
            <v>149.71949996090399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10.524986731421457</v>
          </cell>
          <cell r="I246">
            <v>7.6977727504072595</v>
          </cell>
          <cell r="J246">
            <v>2.0425579803670293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9.2955184105904699E-6</v>
          </cell>
          <cell r="I247">
            <v>3.9677195398373502</v>
          </cell>
          <cell r="J247">
            <v>2.2971269885493302E-6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10.401537302712489</v>
          </cell>
          <cell r="I248">
            <v>7.6074700499314982</v>
          </cell>
          <cell r="J248">
            <v>2.0185786309545999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11.224471626107318</v>
          </cell>
          <cell r="I249">
            <v>13.102462425015348</v>
          </cell>
          <cell r="J249">
            <v>11.932025387522486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11.224471626107318</v>
          </cell>
          <cell r="I250">
            <v>13.102462425015341</v>
          </cell>
          <cell r="J250">
            <v>11.932025387522486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11.225608394190187</v>
          </cell>
          <cell r="I251">
            <v>13.103785798589653</v>
          </cell>
          <cell r="J251">
            <v>11.933228544721521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11.225608394190187</v>
          </cell>
          <cell r="I252">
            <v>13.103785798589653</v>
          </cell>
          <cell r="J252">
            <v>11.933228544721521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131.76507966709701</v>
          </cell>
          <cell r="I253">
            <v>66.447670534258506</v>
          </cell>
          <cell r="J253">
            <v>135.725668844213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164.5425411740755</v>
          </cell>
          <cell r="I254">
            <v>182.66650337117329</v>
          </cell>
          <cell r="J254">
            <v>178.83540539167021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0.73194294050405095</v>
          </cell>
          <cell r="I255">
            <v>2.3362765163380012E-2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1.1008744696881186E-2</v>
          </cell>
          <cell r="I256">
            <v>3.7201616964985484E-4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9.9179260230901102E-3</v>
          </cell>
          <cell r="I257">
            <v>3.1656863365013517E-4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6.6594103956716993E-5</v>
          </cell>
          <cell r="I258">
            <v>3.23154751413927E-5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5.2166586957336884E-3</v>
          </cell>
          <cell r="I259">
            <v>1.49107265423419E-4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9.2680075881552693</v>
          </cell>
          <cell r="I260">
            <v>11.923166203610403</v>
          </cell>
          <cell r="J260">
            <v>16.782675466647976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9.2680075881552693</v>
          </cell>
          <cell r="I261">
            <v>11.923166203610403</v>
          </cell>
          <cell r="J261">
            <v>16.782675466647973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9.2689486411942958</v>
          </cell>
          <cell r="I262">
            <v>11.9243702073304</v>
          </cell>
          <cell r="J262">
            <v>16.784363761393926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9.2689486411942958</v>
          </cell>
          <cell r="I263">
            <v>11.9243702073304</v>
          </cell>
          <cell r="J263">
            <v>16.784363761393926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117.89821249341399</v>
          </cell>
          <cell r="I264">
            <v>89.805482154264496</v>
          </cell>
          <cell r="J264">
            <v>320.914303267695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147.43584336027493</v>
          </cell>
          <cell r="I265">
            <v>188.72507408421546</v>
          </cell>
          <cell r="J265">
            <v>347.22313204174355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0.58687689139463595</v>
          </cell>
          <cell r="I266">
            <v>0.27433487368797616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5.8265970246812902E-3</v>
          </cell>
          <cell r="I267">
            <v>2.7323047547063851E-3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7.9522614010113374E-3</v>
          </cell>
          <cell r="I268">
            <v>3.7172747112191912E-3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2.29011184350468E-5</v>
          </cell>
          <cell r="I269">
            <v>1.24908501575865E-5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2.711651626751535E-3</v>
          </cell>
          <cell r="I270">
            <v>1.2492416009868799E-3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2.4502322764914002</v>
          </cell>
          <cell r="I275">
            <v>2.4437229544982926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2.2504425439247751E-2</v>
          </cell>
          <cell r="I276">
            <v>2.2446089871454803E-2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3.3200979356252047E-2</v>
          </cell>
          <cell r="I277">
            <v>3.3112777161223426E-2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1.0626635387813E-5</v>
          </cell>
          <cell r="I278">
            <v>5.3531858766563902E-6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1.0759293637718801E-2</v>
          </cell>
          <cell r="I279">
            <v>1.0718677302604351E-2</v>
          </cell>
          <cell r="J279">
            <v>-1.7347234759768071E-18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2.7077580146839546E-4</v>
          </cell>
          <cell r="I284">
            <v>2.4311563344869667E-4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1.4515518916653378E-4</v>
          </cell>
          <cell r="I285">
            <v>1.2735682416760945E-4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3.6637360755735035E-3</v>
          </cell>
          <cell r="I286">
            <v>4.8134891024656962E-4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2.3476707362836365E-3</v>
          </cell>
          <cell r="I287">
            <v>3.0459050082995345E-4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2.8113520546979896E-4</v>
          </cell>
          <cell r="I288">
            <v>2.5553992838307392E-4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1.5070462980900707E-4</v>
          </cell>
          <cell r="I289">
            <v>1.3385556277171351E-4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4.0928719476428004E-2</v>
          </cell>
          <cell r="I290">
            <v>4.2119135360366218E-2</v>
          </cell>
          <cell r="J290">
            <v>4.4155096622090266E-2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0.81049220903668817</v>
          </cell>
          <cell r="I291">
            <v>0.83406545569057244</v>
          </cell>
          <cell r="J291">
            <v>0.87438264033834123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0.1884147731734919</v>
          </cell>
          <cell r="I292">
            <v>2.3959996464289965E-2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0.12819027362791427</v>
          </cell>
          <cell r="I293">
            <v>1.5645190072001186E-2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8.2616262486021042E-4</v>
          </cell>
          <cell r="I294">
            <v>5.814492033136998E-4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5.3510766155160045E-4</v>
          </cell>
          <cell r="I295">
            <v>3.6769334857684343E-4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9.0044267761978571E-3</v>
          </cell>
          <cell r="I300">
            <v>7.5314834965184993E-4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6.4577761699679773E-3</v>
          </cell>
          <cell r="I301">
            <v>5.3489575114785656E-4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1.1366865737192819</v>
          </cell>
          <cell r="I302">
            <v>0.63311470515821411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0.7730198489631841</v>
          </cell>
          <cell r="I303">
            <v>0.41123177628419416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2.1038725570601503E-3</v>
          </cell>
          <cell r="I304">
            <v>9.0647986297125605E-4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1.5236858217093905E-3</v>
          </cell>
          <cell r="I305">
            <v>6.4312277945665199E-4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0.86687699976883692</v>
          </cell>
          <cell r="I306">
            <v>1.2089105271398177</v>
          </cell>
          <cell r="J306">
            <v>0.22161887532712729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4.9273185292574634E-3</v>
          </cell>
          <cell r="I307">
            <v>6.8714330201157378E-3</v>
          </cell>
          <cell r="J307">
            <v>1.2596790445746542E-3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1.5370159570369456E-2</v>
          </cell>
          <cell r="I308">
            <v>2.1434583814535828E-2</v>
          </cell>
          <cell r="J308">
            <v>3.9294126831050918E-3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H309">
            <v>4.7947155445687698E-4</v>
          </cell>
          <cell r="I309">
            <v>5.7254069772683498E-6</v>
          </cell>
          <cell r="J309">
            <v>3.0498857185624098E-5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4.8588119012152098E-4</v>
          </cell>
          <cell r="I310">
            <v>4.8588554449629557E-4</v>
          </cell>
          <cell r="J310">
            <v>1.1750110817692503E-4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2.0213172385200937</v>
          </cell>
          <cell r="I311">
            <v>1.8432226795748483</v>
          </cell>
          <cell r="J311">
            <v>4.6543963126140779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2.9666027467152563</v>
          </cell>
          <cell r="I312">
            <v>2.7052208133534092</v>
          </cell>
          <cell r="J312">
            <v>6.831062745703198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8.5892746880881096E-2</v>
          </cell>
          <cell r="I313">
            <v>8.3892892898166996E-2</v>
          </cell>
          <cell r="J313">
            <v>0.37200979832488001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0.15921042381797329</v>
          </cell>
          <cell r="I314">
            <v>0.18261094462353211</v>
          </cell>
          <cell r="J314">
            <v>0.42915572142730946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1.3958094634206166E-2</v>
          </cell>
          <cell r="I315">
            <v>1.3492623221993674E-2</v>
          </cell>
          <cell r="J315">
            <v>4.1721966088431636E-2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2.9757616014972618E-2</v>
          </cell>
          <cell r="I316">
            <v>2.8597354565616562E-2</v>
          </cell>
          <cell r="J316">
            <v>7.7602867020967636E-2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2.8230406828258199E-4</v>
          </cell>
          <cell r="I317">
            <v>1.0455555997712799E-5</v>
          </cell>
          <cell r="J317">
            <v>8.5220893934734895E-4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3.0631207153056488E-4</v>
          </cell>
          <cell r="I318">
            <v>2.9364389716094488E-4</v>
          </cell>
          <cell r="J318">
            <v>9.069562203636672E-4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3.228091751480279E-2</v>
          </cell>
          <cell r="I319">
            <v>3.7840650902044207E-2</v>
          </cell>
          <cell r="J319">
            <v>5.576831959330638E-2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9.4616693713125852E-2</v>
          </cell>
          <cell r="I320">
            <v>0.11005204945843984</v>
          </cell>
          <cell r="J320">
            <v>0.14495718026800913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6.95522107065244E-4</v>
          </cell>
          <cell r="I321">
            <v>1.2584858936428599E-4</v>
          </cell>
          <cell r="J321">
            <v>1.02681066949703E-3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7.0231434649404233E-4</v>
          </cell>
          <cell r="I322">
            <v>8.2245235666215933E-4</v>
          </cell>
          <cell r="J322">
            <v>1.2119783268095573E-3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4.4110068956324547E-4</v>
          </cell>
          <cell r="I323">
            <v>8.8149888416459959E-4</v>
          </cell>
          <cell r="J323">
            <v>1.0174375127887028E-2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1.9500970831069415E-3</v>
          </cell>
          <cell r="I324">
            <v>3.7702977166931824E-3</v>
          </cell>
          <cell r="J324">
            <v>3.8873764289624177E-2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8.5768988454076608E-6</v>
          </cell>
          <cell r="I325">
            <v>1.06638019328992E-5</v>
          </cell>
          <cell r="J325">
            <v>2.17486838064347E-4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9.6945576607748298E-6</v>
          </cell>
          <cell r="I326">
            <v>1.9240700778306802E-5</v>
          </cell>
          <cell r="J326">
            <v>2.2113941679743801E-4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1.4691135906034275E-5</v>
          </cell>
          <cell r="I327">
            <v>2.0405109593858936E-5</v>
          </cell>
          <cell r="J327">
            <v>6.8636203051151347E-6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9.7145146990589655E-5</v>
          </cell>
          <cell r="I328">
            <v>1.2982919196799538E-4</v>
          </cell>
          <cell r="J328">
            <v>4.0031247277414003E-5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3.3828481801343102E-7</v>
          </cell>
          <cell r="I329">
            <v>3.6755473818099899E-7</v>
          </cell>
          <cell r="J329">
            <v>1.5205798058529299E-7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3.9646452614132797E-7</v>
          </cell>
          <cell r="I330">
            <v>5.5234619418879015E-7</v>
          </cell>
          <cell r="J330">
            <v>2.165596603629E-7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4.2082593462387666E-3</v>
          </cell>
          <cell r="I331">
            <v>2.5210110417847246E-3</v>
          </cell>
          <cell r="J331">
            <v>2.6547162508524047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2.3038092543691256E-3</v>
          </cell>
          <cell r="I332">
            <v>1.3052819631518941E-3</v>
          </cell>
          <cell r="J332">
            <v>1.2058560849807802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1.09180389620904E-4</v>
          </cell>
          <cell r="I333">
            <v>2.1740413969901899E-4</v>
          </cell>
          <cell r="J333">
            <v>0.47255793584438799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6.2674830512512785E-4</v>
          </cell>
          <cell r="I334">
            <v>3.7786457208512314E-4</v>
          </cell>
          <cell r="J334">
            <v>0.40345004126953898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8.2720643325634597</v>
          </cell>
          <cell r="I335">
            <v>9.2364316687870307</v>
          </cell>
          <cell r="J335">
            <v>2.8575622624631301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0.18221518772412085</v>
          </cell>
          <cell r="I336">
            <v>0.16331367316091877</v>
          </cell>
          <cell r="J336">
            <v>5.0752621539846061E-2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0.14666780731495502</v>
          </cell>
          <cell r="I337">
            <v>0.16376651895012465</v>
          </cell>
          <cell r="J337">
            <v>5.066599756140306E-2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3.611469514135645E-2</v>
          </cell>
          <cell r="I338">
            <v>8.4912309753521718E-5</v>
          </cell>
          <cell r="J338">
            <v>1.7167503244454365E-4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8.2055825598742813E-5</v>
          </cell>
          <cell r="I339">
            <v>4.2321856192173126E-5</v>
          </cell>
          <cell r="J339">
            <v>8.7043705919079701E-5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1.5122388464989101E-7</v>
          </cell>
          <cell r="I340">
            <v>1.5891287074039001E-7</v>
          </cell>
          <cell r="J340">
            <v>3.2754445466231999E-7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0.95961832730727514</v>
          </cell>
          <cell r="I341">
            <v>0.95961848622014589</v>
          </cell>
          <cell r="J341">
            <v>0.48125447011854455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13.502952163649022</v>
          </cell>
          <cell r="I342">
            <v>17.661394796890225</v>
          </cell>
          <cell r="J342">
            <v>19.574495925063161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8.8788004768729767</v>
          </cell>
          <cell r="I343">
            <v>11.182912300628148</v>
          </cell>
          <cell r="J343">
            <v>11.387397317606604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0.77817653091706396</v>
          </cell>
          <cell r="I344">
            <v>1.1111169056861301</v>
          </cell>
          <cell r="J344">
            <v>1.5331384946973099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1.024513277030102</v>
          </cell>
          <cell r="I345">
            <v>1.857827851412418</v>
          </cell>
          <cell r="J345">
            <v>2.0646367983387104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15.618531948047703</v>
          </cell>
          <cell r="I349">
            <v>18.597855644478361</v>
          </cell>
          <cell r="J349">
            <v>18.522103328310553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11.209421221718406</v>
          </cell>
          <cell r="I350">
            <v>13.044094671774278</v>
          </cell>
          <cell r="J350">
            <v>11.799376528427686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0.86442464829280397</v>
          </cell>
          <cell r="I351">
            <v>0.44871502666483298</v>
          </cell>
          <cell r="J351">
            <v>0.97348005715305996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1.0738959656358709</v>
          </cell>
          <cell r="I352">
            <v>1.2787465792860107</v>
          </cell>
          <cell r="J352">
            <v>1.2735405683145808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12.444671080137907</v>
          </cell>
          <cell r="I353">
            <v>16.444775462369915</v>
          </cell>
          <cell r="J353">
            <v>25.560609553574253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9.2527778921803314</v>
          </cell>
          <cell r="I354">
            <v>11.864854572031566</v>
          </cell>
          <cell r="J354">
            <v>16.652267138042806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0.78843361907818199</v>
          </cell>
          <cell r="I355">
            <v>0.61674743565137202</v>
          </cell>
          <cell r="J355">
            <v>2.3289780200827899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0.97992144954010385</v>
          </cell>
          <cell r="I356">
            <v>1.29494155022266</v>
          </cell>
          <cell r="J356">
            <v>2.4964179434462084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H357">
            <v>1.7838097386884279E-2</v>
          </cell>
          <cell r="I357">
            <v>1.3650227376573905E-2</v>
          </cell>
          <cell r="J357">
            <v>1.7913106054112032E-2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H358">
            <v>4.419005514993427E-5</v>
          </cell>
          <cell r="I358">
            <v>3.5804191166267391E-5</v>
          </cell>
          <cell r="J358">
            <v>5.2251822953111485E-5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H359">
            <v>3.1627832246248691E-4</v>
          </cell>
          <cell r="I359">
            <v>2.420253080952821E-4</v>
          </cell>
          <cell r="J359">
            <v>3.1760826337078025E-4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H360">
            <v>5.6129470752785801E-7</v>
          </cell>
          <cell r="I360">
            <v>3.4883235395711202E-7</v>
          </cell>
          <cell r="J360">
            <v>9.7924323575749109E-7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1.0764701125511899E-6</v>
          </cell>
          <cell r="I361">
            <v>8.6076419285288192E-7</v>
          </cell>
          <cell r="J361">
            <v>1.2370546516178486E-6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I362">
            <v>4.2768701677640444E-6</v>
          </cell>
          <cell r="J362">
            <v>3.8358496925985745E-6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I363">
            <v>7.6518298401045594E-6</v>
          </cell>
          <cell r="J363">
            <v>6.4220402764492541E-6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1.73021716419323E-7</v>
          </cell>
          <cell r="I364">
            <v>1.4922657971383E-7</v>
          </cell>
          <cell r="J364">
            <v>2.4380890152704999E-7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3.6867764376362293E-7</v>
          </cell>
          <cell r="I365">
            <v>3.6002994617117799E-7</v>
          </cell>
          <cell r="J365">
            <v>3.4901016572742003E-7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H366">
            <v>3.0768115845088068E-2</v>
          </cell>
          <cell r="I366">
            <v>2.3933635493584082E-2</v>
          </cell>
          <cell r="J366">
            <v>1.7828131319365881E-2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H367">
            <v>5.279751095618281E-5</v>
          </cell>
          <cell r="I367">
            <v>4.3975766277990644E-5</v>
          </cell>
          <cell r="J367">
            <v>3.5634846526840086E-5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H368">
            <v>5.4553396888453907E-4</v>
          </cell>
          <cell r="I368">
            <v>4.243552392479439E-4</v>
          </cell>
          <cell r="J368">
            <v>3.1610161913769305E-4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H369">
            <v>5.1208186749466196E-7</v>
          </cell>
          <cell r="I369">
            <v>4.1902971202316299E-7</v>
          </cell>
          <cell r="J369">
            <v>5.2395524447769804E-7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1.2425171235028065E-6</v>
          </cell>
          <cell r="I370">
            <v>1.00402134036858E-6</v>
          </cell>
          <cell r="J370">
            <v>8.2396541032729E-7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H371">
            <v>24.745184480822424</v>
          </cell>
          <cell r="I371">
            <v>43.41001836763445</v>
          </cell>
          <cell r="J371">
            <v>3.6115862433667496E-2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H372">
            <v>5.058797019986893E-2</v>
          </cell>
          <cell r="I372">
            <v>9.500799252202316E-2</v>
          </cell>
          <cell r="J372">
            <v>8.1241097669213283E-5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H373">
            <v>0.33758778282158797</v>
          </cell>
          <cell r="I373">
            <v>0.59222398864439962</v>
          </cell>
          <cell r="J373">
            <v>4.9271299363803E-4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H374">
            <v>4.1592905910996599E-4</v>
          </cell>
          <cell r="I374">
            <v>1.5777389400572299E-3</v>
          </cell>
          <cell r="J374">
            <v>6.1139918101545197E-7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1.232518315414994E-3</v>
          </cell>
          <cell r="I375">
            <v>2.1367594597308409E-3</v>
          </cell>
          <cell r="J375">
            <v>1.8865674875149759E-6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H376">
            <v>3.08913579206548E-2</v>
          </cell>
          <cell r="I376">
            <v>4.1794374401927202E-2</v>
          </cell>
          <cell r="J376">
            <v>2.5602559113694343E-2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H377">
            <v>3.6250673896350696E-5</v>
          </cell>
          <cell r="I377">
            <v>5.1499781404468437E-5</v>
          </cell>
          <cell r="J377">
            <v>3.4325938011296953E-5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H378">
            <v>5.4771911206834831E-4</v>
          </cell>
          <cell r="I378">
            <v>7.4103500712637081E-4</v>
          </cell>
          <cell r="J378">
            <v>4.5394608357614139E-4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H379">
            <v>4.8911137326592702E-7</v>
          </cell>
          <cell r="I379">
            <v>6.60432118371994E-7</v>
          </cell>
          <cell r="J379">
            <v>5.4742924978904004E-7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H380">
            <v>8.3550297937903305E-7</v>
          </cell>
          <cell r="I380">
            <v>1.1495434916379201E-6</v>
          </cell>
          <cell r="J380">
            <v>7.7364128236382302E-7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H381">
            <v>2.7476679435819249</v>
          </cell>
          <cell r="I381">
            <v>0.60106585221853559</v>
          </cell>
          <cell r="J381">
            <v>2.7726172516832251E-2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H382">
            <v>3.8552315873892425E-3</v>
          </cell>
          <cell r="I382">
            <v>8.5865622904403457E-4</v>
          </cell>
          <cell r="J382">
            <v>4.3112948306017442E-5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H383">
            <v>3.748523797519681E-2</v>
          </cell>
          <cell r="I383">
            <v>8.2000798392706138E-3</v>
          </cell>
          <cell r="J383">
            <v>3.7825610527738392E-4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H384">
            <v>2.1401852256771998E-6</v>
          </cell>
          <cell r="I384">
            <v>2.0331960256711099E-6</v>
          </cell>
          <cell r="J384">
            <v>2.36639261150235E-7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7.3514773542420007E-5</v>
          </cell>
          <cell r="I385">
            <v>1.6494180222149597E-5</v>
          </cell>
          <cell r="J385">
            <v>9.3077757675174197E-7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H386">
            <v>1.4842123750578699E-3</v>
          </cell>
          <cell r="I386">
            <v>2.8581902733864099E-3</v>
          </cell>
          <cell r="J386">
            <v>2.1290485238432499E-4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H387">
            <v>1.1905346430294963E-6</v>
          </cell>
          <cell r="I387">
            <v>2.3627622428647576E-6</v>
          </cell>
          <cell r="J387">
            <v>1.9635941611203029E-7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H388">
            <v>2.6315822252799202E-5</v>
          </cell>
          <cell r="I388">
            <v>5.0677132506851292E-5</v>
          </cell>
          <cell r="J388">
            <v>3.7749087302185275E-6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H389">
            <v>4.6528676751091301E-8</v>
          </cell>
          <cell r="I389">
            <v>4.7970901820835897E-8</v>
          </cell>
          <cell r="J389">
            <v>1.79212691838794E-8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H390">
            <v>5.62119704716489E-8</v>
          </cell>
          <cell r="I390">
            <v>7.9749351048230001E-8</v>
          </cell>
          <cell r="J390">
            <v>2.6339617327623999E-8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H391">
            <v>87.973216719004895</v>
          </cell>
          <cell r="I391">
            <v>47.92434462615887</v>
          </cell>
          <cell r="J391">
            <v>2.6644572276848362E-2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H392">
            <v>8.1860508810424781E-2</v>
          </cell>
          <cell r="I392">
            <v>4.9109358705311565E-2</v>
          </cell>
          <cell r="J392">
            <v>2.78963940466741E-5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H393">
            <v>1.2001803099454991</v>
          </cell>
          <cell r="I393">
            <v>0.65381097716451342</v>
          </cell>
          <cell r="J393">
            <v>3.6350030391334756E-4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H394">
            <v>1.4716431011786801E-5</v>
          </cell>
          <cell r="I394">
            <v>9.1146018492950997E-4</v>
          </cell>
          <cell r="J394">
            <v>1.2426481234542E-7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H395">
            <v>1.5439872206780114E-3</v>
          </cell>
          <cell r="I395">
            <v>9.2617661594129701E-4</v>
          </cell>
          <cell r="J395">
            <v>5.4018372320498945E-7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H396">
            <v>3.0602006322531039E-3</v>
          </cell>
          <cell r="I396">
            <v>3.9288558483229199E-3</v>
          </cell>
          <cell r="J396">
            <v>6.2793522160153E-5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H397">
            <v>1.9984745273192641E-6</v>
          </cell>
          <cell r="I397">
            <v>2.6321546773983598E-6</v>
          </cell>
          <cell r="J397">
            <v>4.3069808916353905E-8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H398">
            <v>4.17489854331938E-5</v>
          </cell>
          <cell r="I398">
            <v>5.3599670509180411E-5</v>
          </cell>
          <cell r="J398">
            <v>8.56664695227191E-7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H399">
            <v>5.9108480806254799E-8</v>
          </cell>
          <cell r="I399">
            <v>4.6282088748587501E-8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H400">
            <v>6.7629111720755206E-8</v>
          </cell>
          <cell r="I400">
            <v>8.6652371923810406E-8</v>
          </cell>
          <cell r="J400">
            <v>8.12198064069053E-9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H401">
            <v>17.276137233557701</v>
          </cell>
          <cell r="I401">
            <v>29.138468482673801</v>
          </cell>
          <cell r="J401">
            <v>57.958627493208098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H402">
            <v>17.276137233557701</v>
          </cell>
          <cell r="I402">
            <v>29.138468482673801</v>
          </cell>
          <cell r="J402">
            <v>57.958627493208098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H411">
            <v>2.9673690110243975</v>
          </cell>
          <cell r="I411">
            <v>2.7058532572922163</v>
          </cell>
          <cell r="J411">
            <v>6.831956279489666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H412">
            <v>2.9673690110243975</v>
          </cell>
          <cell r="I412">
            <v>2.7058532572922163</v>
          </cell>
          <cell r="J412">
            <v>6.831956279489666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H413">
            <v>0.15095838722511301</v>
          </cell>
          <cell r="I413">
            <v>0.106586853414719</v>
          </cell>
          <cell r="J413">
            <v>0.64218761849051598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H414">
            <v>0.313649049582854</v>
          </cell>
          <cell r="I414">
            <v>0.28600693922079401</v>
          </cell>
          <cell r="J414">
            <v>0.72213297083567995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H415">
            <v>2.7515171126595801E-8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H416">
            <v>3.1229421172755202E-8</v>
          </cell>
          <cell r="I416">
            <v>8.0285278714360989E-9</v>
          </cell>
          <cell r="J416">
            <v>4.8285998592126798E-9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  <cell r="H417">
            <v>1.19874567930267E-8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  <cell r="H418">
            <v>-7.1233541758239996E-10</v>
          </cell>
          <cell r="I418">
            <v>-2.1069973930934996E-9</v>
          </cell>
          <cell r="J418">
            <v>2.10366244559454E-9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  <cell r="H419">
            <v>-2.3551505786522299E-8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  <cell r="H424">
            <v>-1.5804886017856101E-8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H425">
            <v>185.675788544743</v>
          </cell>
          <cell r="I425">
            <v>154.38211110512901</v>
          </cell>
          <cell r="J425">
            <v>123.088433665514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H426">
            <v>2.5504916008893299</v>
          </cell>
          <cell r="I426">
            <v>2.1206333943012199</v>
          </cell>
          <cell r="J426">
            <v>1.6907751877131001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H427">
            <v>2.5504916008893299</v>
          </cell>
          <cell r="I427">
            <v>2.1206333943012199</v>
          </cell>
          <cell r="J427">
            <v>1.6907751877131001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H428">
            <v>0.918008856173822</v>
          </cell>
          <cell r="I428">
            <v>0.83197817023938403</v>
          </cell>
          <cell r="J428">
            <v>1.0581034948499599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H429">
            <v>3.4788169172431598</v>
          </cell>
          <cell r="I429">
            <v>2.5747007252923448</v>
          </cell>
          <cell r="J429">
            <v>1.9200946266735401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H430">
            <v>48.569684092007122</v>
          </cell>
          <cell r="I430">
            <v>5.3106750696466056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H431">
            <v>0.39620100485504783</v>
          </cell>
          <cell r="I431">
            <v>4.3163286504098605E-2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H432">
            <v>0.65812580070470239</v>
          </cell>
          <cell r="I432">
            <v>7.1960366797379577E-2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H433">
            <v>3.52345378534313E-4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H434">
            <v>6.0201351801206081E-2</v>
          </cell>
          <cell r="I434">
            <v>6.5556017819012966E-3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H435">
            <v>0.11066165265693383</v>
          </cell>
          <cell r="I435">
            <v>0.3580962913752111</v>
          </cell>
          <cell r="J435">
            <v>0.60956676601850635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H436">
            <v>8.28611119553995E-4</v>
          </cell>
          <cell r="I436">
            <v>1.4821359747900764E-3</v>
          </cell>
          <cell r="J436">
            <v>1.1851718872886148E-3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H437">
            <v>1.9930996481870395E-3</v>
          </cell>
          <cell r="I437">
            <v>3.4246964521178094E-3</v>
          </cell>
          <cell r="J437">
            <v>1.3346373924746683E-3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H438">
            <v>2.035985985392604E-4</v>
          </cell>
          <cell r="I438">
            <v>3.1236591978006737E-4</v>
          </cell>
          <cell r="J438">
            <v>9.5211470896665632E-4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H439">
            <v>2.1994589417286594E-4</v>
          </cell>
          <cell r="I439">
            <v>2.9141599812844481E-4</v>
          </cell>
          <cell r="J439">
            <v>2.0258149634123568E-4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H440">
            <v>9.6729913943231615E-3</v>
          </cell>
          <cell r="I440">
            <v>1.1440317333311727E-2</v>
          </cell>
          <cell r="J440">
            <v>0.17529221461132527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H441">
            <v>1.5180090950771316E-2</v>
          </cell>
          <cell r="I441">
            <v>5.9553886840262089E-2</v>
          </cell>
          <cell r="J441">
            <v>0.1331914623272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H442">
            <v>1.5043260723073222E-2</v>
          </cell>
          <cell r="I442">
            <v>5.836361600551758E-2</v>
          </cell>
          <cell r="J442">
            <v>0.13264597014199891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H443">
            <v>1.522255160783683E-2</v>
          </cell>
          <cell r="I443">
            <v>5.8306479886654806E-2</v>
          </cell>
          <cell r="J443">
            <v>0.13040546270837847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H444">
            <v>9.3857719271081856E-4</v>
          </cell>
          <cell r="I444">
            <v>1.0707730052065306E-3</v>
          </cell>
          <cell r="J444">
            <v>4.609909148309381E-4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H445">
            <v>7.864757805427664E-4</v>
          </cell>
          <cell r="I445">
            <v>1.8033324713572069E-3</v>
          </cell>
          <cell r="J445">
            <v>1.7023287565870321E-3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H446">
            <v>3.2784279537606091E-2</v>
          </cell>
          <cell r="I446">
            <v>0.14410256939859695</v>
          </cell>
          <cell r="J446">
            <v>6.1522435171392929E-4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H447">
            <v>9.7058967438195588E-4</v>
          </cell>
          <cell r="I447">
            <v>6.7271815460898988E-4</v>
          </cell>
          <cell r="J447">
            <v>4.3732237201977889E-4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H448">
            <v>4.9721892911514518E-4</v>
          </cell>
          <cell r="I448">
            <v>1.1271091280319193E-3</v>
          </cell>
          <cell r="J448">
            <v>5.78269110901857E-4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H449">
            <v>3.730276950902878E-3</v>
          </cell>
          <cell r="I449">
            <v>3.2441096532109708E-3</v>
          </cell>
          <cell r="J449">
            <v>2.1286349655681418E-3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H450">
            <v>5.4732394682517746E-3</v>
          </cell>
          <cell r="I450">
            <v>5.2287688062693698E-3</v>
          </cell>
          <cell r="J450">
            <v>3.4006729870104712E-3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H451">
            <v>5.5995183566945675E-3</v>
          </cell>
          <cell r="I451">
            <v>5.9384438254553133E-3</v>
          </cell>
          <cell r="J451">
            <v>4.9816340605255E-3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H452">
            <v>1.5930831668535357E-4</v>
          </cell>
          <cell r="I452">
            <v>2.2947095181481954E-4</v>
          </cell>
          <cell r="J452">
            <v>1.0718240678987719E-4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H453">
            <v>1.5881079166011331E-4</v>
          </cell>
          <cell r="I453">
            <v>1.3568040437665656E-4</v>
          </cell>
          <cell r="J453">
            <v>9.4158669321822347E-5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H454">
            <v>7.6410669935165904E-5</v>
          </cell>
          <cell r="I454">
            <v>6.7810531863984091E-5</v>
          </cell>
          <cell r="J454">
            <v>5.2377468280580081E-5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H455">
            <v>1.6216459088279282E-4</v>
          </cell>
          <cell r="I455">
            <v>2.0062321419938889E-4</v>
          </cell>
          <cell r="J455">
            <v>1.2737885045411678E-4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H456">
            <v>4.6730856692128617E-4</v>
          </cell>
          <cell r="I456">
            <v>3.5993123654478123E-4</v>
          </cell>
          <cell r="J456">
            <v>2.0966143721360301E-4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H457">
            <v>5.6742255324403385E-4</v>
          </cell>
          <cell r="I457">
            <v>8.1056825197965753E-4</v>
          </cell>
          <cell r="J457">
            <v>1.9523618063907081E-2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H458">
            <v>0.58838543738142701</v>
          </cell>
          <cell r="I458">
            <v>1.15022317733222</v>
          </cell>
          <cell r="J458">
            <v>1.86238017959351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H459">
            <v>0.59119155177832727</v>
          </cell>
          <cell r="I459">
            <v>1.7405170695843704</v>
          </cell>
          <cell r="J459">
            <v>2.9460139989237546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H460">
            <v>5.7499162338554299</v>
          </cell>
          <cell r="I460">
            <v>8.5309211864150001</v>
          </cell>
          <cell r="J460">
            <v>14.1301774547872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H461">
            <v>2.3303625264964656</v>
          </cell>
          <cell r="I461">
            <v>3.4574658552871278</v>
          </cell>
          <cell r="J461">
            <v>5.7267679552441528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H462">
            <v>2.7944221050990801</v>
          </cell>
          <cell r="I462">
            <v>2.8244460350717899</v>
          </cell>
          <cell r="J462">
            <v>8.3547591921520308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H463">
            <v>5.7498965434100864</v>
          </cell>
          <cell r="I463">
            <v>8.5309058477587634</v>
          </cell>
          <cell r="J463">
            <v>14.130152998184357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H464">
            <v>59.94561141246011</v>
          </cell>
          <cell r="I464">
            <v>8.3705341427389612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H465">
            <v>0.28529368356186879</v>
          </cell>
          <cell r="I465">
            <v>3.9837120060902648E-2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H466">
            <v>0.81227115735040911</v>
          </cell>
          <cell r="I466">
            <v>0.11342187185283122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H467">
            <v>2.02308657796261E-5</v>
          </cell>
          <cell r="I467">
            <v>5.4379424959885397E-6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H468">
            <v>2.839907450556188E-2</v>
          </cell>
          <cell r="I468">
            <v>3.9518775703232768E-3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H469">
            <v>12.614066902795411</v>
          </cell>
          <cell r="I469">
            <v>0.36758387304577533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H470">
            <v>0.102909190975875</v>
          </cell>
          <cell r="I470">
            <v>2.502683161455205E-3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H471">
            <v>0.17092231575603622</v>
          </cell>
          <cell r="I471">
            <v>4.9808112878831365E-3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H472">
            <v>1.9737193344623801E-4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H473">
            <v>1.0787367421944893E-2</v>
          </cell>
          <cell r="I473">
            <v>2.482781080453628E-4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H474">
            <v>0.17561764349762435</v>
          </cell>
          <cell r="I474">
            <v>5.4472419304987467E-2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H475">
            <v>1.8950564965716542E-3</v>
          </cell>
          <cell r="I475">
            <v>4.873878310936925E-4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H476">
            <v>2.3958750818229816E-3</v>
          </cell>
          <cell r="I476">
            <v>7.4314351029996606E-4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H477">
            <v>4.8385729365022898E-5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H478">
            <v>2.801224764647528E-4</v>
          </cell>
          <cell r="I478">
            <v>7.1163014244657696E-5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H479">
            <v>103.13593267067041</v>
          </cell>
          <cell r="I479">
            <v>10.754485878439718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H480">
            <v>0.68551267675540506</v>
          </cell>
          <cell r="I480">
            <v>7.0212836170988821E-2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H481">
            <v>1.3975058627462089</v>
          </cell>
          <cell r="I481">
            <v>0.14572474090026757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H482">
            <v>4.43553251108952E-5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H483">
            <v>4.718936825864882E-2</v>
          </cell>
          <cell r="I483">
            <v>4.8375574170875799E-3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H484">
            <v>2.1810135229895278</v>
          </cell>
          <cell r="I484">
            <v>6.649176701148693E-2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H485">
            <v>2.4293126967682446E-2</v>
          </cell>
          <cell r="I485">
            <v>4.7724020112295627E-4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H486">
            <v>2.9754618321821562E-2</v>
          </cell>
          <cell r="I486">
            <v>9.0711824026585132E-4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H487">
            <v>3.0149056101471801E-5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H488">
            <v>1.864671466771969E-3</v>
          </cell>
          <cell r="I488">
            <v>4.3308376694457791E-5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1821.6262590859326</v>
          </cell>
          <cell r="I489">
            <v>1272.1770076717269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11.167658232109371</v>
          </cell>
          <cell r="I490">
            <v>7.9274485304219802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24.683282643440819</v>
          </cell>
          <cell r="I491">
            <v>17.238170835660256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H492">
            <v>0.58414219554188596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1.2560900170601939</v>
          </cell>
          <cell r="I493">
            <v>0.8072574080142898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10.230919395740971</v>
          </cell>
          <cell r="I494">
            <v>5.7832764906093341E-2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8.2403643632417492E-2</v>
          </cell>
          <cell r="I495">
            <v>3.7836384754045302E-4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0.13957598084230494</v>
          </cell>
          <cell r="I496">
            <v>7.8898724292078191E-4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H497">
            <v>1.7792558171551898E-5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5.6840876881058882E-3</v>
          </cell>
          <cell r="I498">
            <v>2.8798990981203551E-5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5.7164413885866301</v>
          </cell>
          <cell r="I499">
            <v>3.2947965755089903E-2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3.0490760186414875E-2</v>
          </cell>
          <cell r="I500">
            <v>2.0009825737595329E-4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7.7986922081673016E-2</v>
          </cell>
          <cell r="I501">
            <v>4.4949475791391364E-4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H502">
            <v>1.29136597484144E-5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3.4022675587147035E-3</v>
          </cell>
          <cell r="I503">
            <v>1.8190202487748686E-5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2228.7465059072501</v>
          </cell>
          <cell r="I508">
            <v>1129.12879999084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31.884179854940239</v>
          </cell>
          <cell r="I509">
            <v>19.356697857998753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30.199817153214806</v>
          </cell>
          <cell r="I510">
            <v>15.299848238358303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2.1599248593719307</v>
          </cell>
          <cell r="I511">
            <v>4.3455610691852078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1.2554243059791768</v>
          </cell>
          <cell r="I512">
            <v>1.8573174095132892</v>
          </cell>
          <cell r="J512">
            <v>2.0150997043698435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0.10901807215070004</v>
          </cell>
          <cell r="I513">
            <v>0.16042315565638707</v>
          </cell>
          <cell r="J513">
            <v>0.17024763531376999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0.43163018904106398</v>
          </cell>
          <cell r="I514">
            <v>0.30850188940228102</v>
          </cell>
          <cell r="J514">
            <v>0.61303914583292096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0.4321284030182862</v>
          </cell>
          <cell r="I515">
            <v>0.74019821005716391</v>
          </cell>
          <cell r="J515">
            <v>0.84350054566341237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1.6757357210312128E-3</v>
          </cell>
          <cell r="I516">
            <v>1.455784193879902E-3</v>
          </cell>
          <cell r="J516">
            <v>9.1986960406022884E-4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2.5916214030536396E-4</v>
          </cell>
          <cell r="I517">
            <v>2.2269982699161115E-4</v>
          </cell>
          <cell r="J517">
            <v>1.3878626872762133E-4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3.4238146886125901E-4</v>
          </cell>
          <cell r="I518">
            <v>1.7194240987482599E-4</v>
          </cell>
          <cell r="J518">
            <v>1.36152166285191E-4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6.1713375891921281E-4</v>
          </cell>
          <cell r="I519">
            <v>5.7755766358391712E-4</v>
          </cell>
          <cell r="J519">
            <v>3.6559337332884586E-4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H520">
            <v>1.1193885772005595E-3</v>
          </cell>
          <cell r="I520">
            <v>8.8765324985190606E-4</v>
          </cell>
          <cell r="J520">
            <v>4.7139574043499711E-4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H521">
            <v>2.6954977403943932E-4</v>
          </cell>
          <cell r="I521">
            <v>2.110935037038653E-4</v>
          </cell>
          <cell r="J521">
            <v>1.088871250176418E-4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H522">
            <v>7.5697522193144605E-5</v>
          </cell>
          <cell r="I522">
            <v>6.0248973215186299E-5</v>
          </cell>
          <cell r="J522">
            <v>5.0223069277393802E-5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H523">
            <v>4.2440870581184547E-4</v>
          </cell>
          <cell r="I523">
            <v>3.4794792619821018E-4</v>
          </cell>
          <cell r="J523">
            <v>1.866420193082E-4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H524">
            <v>9.9811324109594954E-4</v>
          </cell>
          <cell r="I524">
            <v>1.1227411148004886E-3</v>
          </cell>
          <cell r="J524">
            <v>6.8117451830243569E-4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H525">
            <v>2.603243113285725E-4</v>
          </cell>
          <cell r="I525">
            <v>2.9095764422851819E-4</v>
          </cell>
          <cell r="J525">
            <v>1.7210532303773218E-4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H526">
            <v>7.56691485857766E-5</v>
          </cell>
          <cell r="I526">
            <v>6.3814269273046903E-5</v>
          </cell>
          <cell r="J526">
            <v>4.6751116152500101E-5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H527">
            <v>3.7840059266945776E-4</v>
          </cell>
          <cell r="I527">
            <v>4.4152559927852758E-4</v>
          </cell>
          <cell r="J527">
            <v>2.7064098454320976E-4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H531">
            <v>0.41457897441472169</v>
          </cell>
          <cell r="I531">
            <v>0.1533869538155061</v>
          </cell>
          <cell r="J531">
            <v>24.926278512525016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H532">
            <v>1.0396728251559999E-3</v>
          </cell>
          <cell r="I532">
            <v>4.0946800622717867E-4</v>
          </cell>
          <cell r="J532">
            <v>7.6479131865097957E-2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H533">
            <v>5.6559205240753222E-3</v>
          </cell>
          <cell r="I533">
            <v>2.0925914572374636E-3</v>
          </cell>
          <cell r="J533">
            <v>0.34005836988437926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H534">
            <v>3.81072882264506E-6</v>
          </cell>
          <cell r="I534">
            <v>3.0090432418891199E-6</v>
          </cell>
          <cell r="J534">
            <v>1.6140918398064199E-3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H535">
            <v>2.07922675171034E-5</v>
          </cell>
          <cell r="I535">
            <v>8.6208254679993615E-6</v>
          </cell>
          <cell r="J535">
            <v>1.6162696305144801E-3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H536">
            <v>0.31483565427144516</v>
          </cell>
          <cell r="I536">
            <v>0.13441311688071972</v>
          </cell>
          <cell r="J536">
            <v>4.9834080668252803E-2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H537">
            <v>5.6832582752874361E-4</v>
          </cell>
          <cell r="I537">
            <v>2.5579194042343455E-4</v>
          </cell>
          <cell r="J537">
            <v>1.0297754976585781E-4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H538">
            <v>4.2951658154358127E-3</v>
          </cell>
          <cell r="I538">
            <v>1.83373965730859E-3</v>
          </cell>
          <cell r="J538">
            <v>6.7986467487384525E-4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H539">
            <v>1.9808892300551999E-6</v>
          </cell>
          <cell r="I539">
            <v>1.6390215752377E-6</v>
          </cell>
          <cell r="J539">
            <v>9.1994534940813197E-7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H540">
            <v>1.1085104766628407E-5</v>
          </cell>
          <cell r="I540">
            <v>5.0353683989976066E-6</v>
          </cell>
          <cell r="J540">
            <v>2.0895468894658201E-6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H541">
            <v>57.852097020923836</v>
          </cell>
          <cell r="I541">
            <v>69.804203854907101</v>
          </cell>
          <cell r="J541">
            <v>5.27337098279658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H542">
            <v>7.3780746132757813E-2</v>
          </cell>
          <cell r="I542">
            <v>9.0339193682346927E-2</v>
          </cell>
          <cell r="J542">
            <v>7.105415182810563E-3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H543">
            <v>0.78925098255012094</v>
          </cell>
          <cell r="I543">
            <v>0.95230837455534945</v>
          </cell>
          <cell r="J543">
            <v>7.1942305358752776E-2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H544">
            <v>1.31380224397847E-3</v>
          </cell>
          <cell r="I544">
            <v>3.8985742614449298E-4</v>
          </cell>
          <cell r="J544">
            <v>4.9983585268184299E-7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H545">
            <v>1.3915061497283901E-3</v>
          </cell>
          <cell r="I545">
            <v>1.7036596701229701E-3</v>
          </cell>
          <cell r="J545">
            <v>1.3403428750823399E-4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H546">
            <v>144.40215279444843</v>
          </cell>
          <cell r="I546">
            <v>102.29534848790716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H547">
            <v>1.7723942770196566</v>
          </cell>
          <cell r="I547">
            <v>1.2632017301712646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H548">
            <v>1.9566687370521487</v>
          </cell>
          <cell r="I548">
            <v>1.3861158331694721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H549">
            <v>0.15781696002766901</v>
          </cell>
          <cell r="I549">
            <v>8.3284527076048101E-4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H550">
            <v>0.26934895582531482</v>
          </cell>
          <cell r="I550">
            <v>0.19197053733261019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H551">
            <v>2.3879975308528202E-3</v>
          </cell>
          <cell r="I551">
            <v>3.1578252628082699E-3</v>
          </cell>
          <cell r="J551">
            <v>8.9438182693388202E-5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H552">
            <v>2.0568874297921865E-6</v>
          </cell>
          <cell r="I552">
            <v>2.8041274552400226E-6</v>
          </cell>
          <cell r="J552">
            <v>8.5245553800645096E-8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H553">
            <v>3.2578411062112082E-5</v>
          </cell>
          <cell r="I553">
            <v>4.3080835781831778E-5</v>
          </cell>
          <cell r="J553">
            <v>1.2201662031840159E-6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H554">
            <v>5.8170378476859497E-8</v>
          </cell>
          <cell r="I554">
            <v>4.4566439312972799E-8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H555">
            <v>6.5762019648376E-8</v>
          </cell>
          <cell r="I555">
            <v>8.42960114401625E-8</v>
          </cell>
          <cell r="J555">
            <v>7.8209036608253996E-9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H556">
            <v>6.4693940742763401E-3</v>
          </cell>
          <cell r="I556">
            <v>7.8429527445806092E-3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H557">
            <v>3.577207665180673E-7</v>
          </cell>
          <cell r="I557">
            <v>4.3367076349730464E-7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H558">
            <v>8.8259127889172461E-5</v>
          </cell>
          <cell r="I558">
            <v>1.0699799105839855E-4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H560">
            <v>1.538932721809928E-7</v>
          </cell>
          <cell r="I560">
            <v>1.5397109166400097E-7</v>
          </cell>
          <cell r="J560">
            <v>4.9175275233304724E-8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H561">
            <v>64.037472173705979</v>
          </cell>
          <cell r="I561">
            <v>16.727332491018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H562">
            <v>1.2858744773031765</v>
          </cell>
          <cell r="I562">
            <v>0.2473738456754877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H563">
            <v>0.86771642511796532</v>
          </cell>
          <cell r="I563">
            <v>0.22665762182951221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H564">
            <v>1.1790251035899699E-3</v>
          </cell>
          <cell r="I564">
            <v>1.96395224717397E-5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H565">
            <v>0.10363898396980108</v>
          </cell>
          <cell r="I565">
            <v>2.2090038075702187E-2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H566">
            <v>1.07195483320281E-5</v>
          </cell>
          <cell r="I566">
            <v>1.0265068034440001E-3</v>
          </cell>
          <cell r="J566">
            <v>2.5657858761084698E-6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H567">
            <v>1.4830636198450999E-5</v>
          </cell>
          <cell r="I567">
            <v>1.0382997170100292E-3</v>
          </cell>
          <cell r="J567">
            <v>9.6301722709719807E-4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H568">
            <v>22.971253710281193</v>
          </cell>
          <cell r="I568">
            <v>93.605185975963025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H569">
            <v>0.29064918680593804</v>
          </cell>
          <cell r="I569">
            <v>1.2245235799622034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H570">
            <v>0.31338681732989343</v>
          </cell>
          <cell r="I570">
            <v>1.2770148154974497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H571">
            <v>4.4033052097439303E-2</v>
          </cell>
          <cell r="I571">
            <v>0.15451477242206699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H572">
            <v>4.4162705745876191E-2</v>
          </cell>
          <cell r="I572">
            <v>0.18609244752359963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H573">
            <v>19.004182981982034</v>
          </cell>
          <cell r="I573">
            <v>4.9264391881855191E-2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H574">
            <v>0.65499282210878651</v>
          </cell>
          <cell r="I574">
            <v>4.9650724337094675E-4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H575">
            <v>0.25750925449840184</v>
          </cell>
          <cell r="I575">
            <v>6.6753918539099377E-4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H576">
            <v>1.8941719583769399E-5</v>
          </cell>
          <cell r="I576">
            <v>4.96052062465108E-6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H577">
            <v>4.504640619825187E-2</v>
          </cell>
          <cell r="I577">
            <v>3.7394840296697148E-5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H578">
            <v>373.16542558190645</v>
          </cell>
          <cell r="I578">
            <v>164.97083604088695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H579">
            <v>4.7219204173345721</v>
          </cell>
          <cell r="I579">
            <v>1.7677105013271379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H580">
            <v>5.090933500435292</v>
          </cell>
          <cell r="I580">
            <v>2.2506253211580689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H581">
            <v>9.9997355087182105E-2</v>
          </cell>
          <cell r="I581">
            <v>1.8846249276406E-5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H582">
            <v>0.3820269207882141</v>
          </cell>
          <cell r="I582">
            <v>0.1823535600708531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H583">
            <v>3.0593473210123776E-2</v>
          </cell>
          <cell r="I583">
            <v>3.0085351799636666E-2</v>
          </cell>
          <cell r="J583">
            <v>7.8796385614041758E-2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H584">
            <v>3.0593473210123776E-2</v>
          </cell>
          <cell r="I584">
            <v>3.0085351799636666E-2</v>
          </cell>
          <cell r="J584">
            <v>7.8796385614041758E-2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H585">
            <v>3.3152105820376601E-3</v>
          </cell>
          <cell r="I585">
            <v>2.9291985686110599E-4</v>
          </cell>
          <cell r="J585">
            <v>9.1898305130252503E-3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H586">
            <v>3.6458100459648602E-3</v>
          </cell>
          <cell r="I586">
            <v>3.6650515014808602E-3</v>
          </cell>
          <cell r="J586">
            <v>9.9185131549471405E-3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H587">
            <v>1.2433792137479556</v>
          </cell>
          <cell r="I587">
            <v>5.5977329195336427E-2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H588">
            <v>2.6202037469767778E-2</v>
          </cell>
          <cell r="I588">
            <v>5.3164123154866036E-4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H589">
            <v>1.6847956825852998E-2</v>
          </cell>
          <cell r="I589">
            <v>7.5850039560076412E-4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H590">
            <v>2.7329025716400199E-5</v>
          </cell>
          <cell r="I590">
            <v>7.2578612128086402E-6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H591">
            <v>2.0791522222472778E-3</v>
          </cell>
          <cell r="I591">
            <v>4.7111458538961402E-5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H592">
            <v>0.52893444986827876</v>
          </cell>
          <cell r="I592">
            <v>4.9561450112933128E-2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H593">
            <v>9.9889501519197666E-3</v>
          </cell>
          <cell r="I593">
            <v>4.8025686721394137E-4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H594">
            <v>7.2160225084348982E-3</v>
          </cell>
          <cell r="I594">
            <v>6.7614529485584001E-4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H595">
            <v>1.9298935123526499E-5</v>
          </cell>
          <cell r="I595">
            <v>4.9653624974613201E-6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H596">
            <v>6.9616152407051045E-4</v>
          </cell>
          <cell r="I596">
            <v>3.6119519140560954E-5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H597">
            <v>9.6622729081389067E-2</v>
          </cell>
          <cell r="I597">
            <v>0.11349020525831882</v>
          </cell>
          <cell r="J597">
            <v>0.14630609101509368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H598">
            <v>9.6622729081389067E-2</v>
          </cell>
          <cell r="I598">
            <v>0.11349020525831882</v>
          </cell>
          <cell r="J598">
            <v>0.14630609101509368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H599">
            <v>1.1836592179988699E-2</v>
          </cell>
          <cell r="I599">
            <v>2.1755790110418601E-3</v>
          </cell>
          <cell r="J599">
            <v>1.5337906950547899E-2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H600">
            <v>1.20200836204538E-2</v>
          </cell>
          <cell r="I600">
            <v>1.40429330699962E-2</v>
          </cell>
          <cell r="J600">
            <v>1.85061587537305E-2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H601">
            <v>0.99470491520694793</v>
          </cell>
          <cell r="I601">
            <v>5.5968227978601889E-2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H602">
            <v>2.0680814601882907E-2</v>
          </cell>
          <cell r="I602">
            <v>5.3449950554253114E-4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H603">
            <v>1.3570326264760516E-2</v>
          </cell>
          <cell r="I603">
            <v>7.6355017706141836E-4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H604">
            <v>2.77410790841622E-5</v>
          </cell>
          <cell r="I604">
            <v>7.1809923900075404E-6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H605">
            <v>1.6441928098644375E-3</v>
          </cell>
          <cell r="I605">
            <v>4.7262023052430288E-5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H606">
            <v>2.1559870716500572E-3</v>
          </cell>
          <cell r="I606">
            <v>4.0845610263572085E-3</v>
          </cell>
          <cell r="J606">
            <v>3.9830161447108582E-2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H607">
            <v>2.1559870716500572E-3</v>
          </cell>
          <cell r="I607">
            <v>4.0845610263572085E-3</v>
          </cell>
          <cell r="J607">
            <v>3.9830161447108582E-2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H608">
            <v>1.8948917800881899E-4</v>
          </cell>
          <cell r="I608">
            <v>3.0530067682624701E-4</v>
          </cell>
          <cell r="J608">
            <v>4.8712356243370801E-3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H609">
            <v>2.5919632608133799E-4</v>
          </cell>
          <cell r="I609">
            <v>4.9478985483506605E-4</v>
          </cell>
          <cell r="J609">
            <v>4.9758075927954998E-3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H610">
            <v>3.2358076761040635E-4</v>
          </cell>
          <cell r="I610">
            <v>4.2243298001856092E-4</v>
          </cell>
          <cell r="J610">
            <v>2.4894205436166436E-4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H611">
            <v>3.2358076761040635E-4</v>
          </cell>
          <cell r="I611">
            <v>4.2243298001856092E-4</v>
          </cell>
          <cell r="J611">
            <v>2.4894205436166436E-4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H612">
            <v>3.6467700832841401E-5</v>
          </cell>
          <cell r="I612">
            <v>4.9263986729946698E-5</v>
          </cell>
          <cell r="J612">
            <v>3.86589669182691E-5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H613">
            <v>5.13017893999971E-5</v>
          </cell>
          <cell r="I613">
            <v>7.4170927143399695E-5</v>
          </cell>
          <cell r="J613">
            <v>4.7304236769364002E-5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I614">
            <v>5.1638184065049995E-4</v>
          </cell>
          <cell r="J614">
            <v>5.2694582187428935E-4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I615">
            <v>5.1638184065049995E-4</v>
          </cell>
          <cell r="J615">
            <v>5.2708882141414568E-4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H616">
            <v>9.0980579726895506E-8</v>
          </cell>
          <cell r="I616">
            <v>2.9736543351551498E-6</v>
          </cell>
          <cell r="J616">
            <v>2.6407154426234198E-7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H617">
            <v>6.5279542606786302E-4</v>
          </cell>
          <cell r="I617">
            <v>6.5576908040301904E-4</v>
          </cell>
          <cell r="J617">
            <v>6.5603315194728102E-4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H618">
            <v>1095.1775241554731</v>
          </cell>
          <cell r="I618">
            <v>1136.758346692651</v>
          </cell>
          <cell r="J618">
            <v>173.27906598263411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H619">
            <v>2.4423631972826239</v>
          </cell>
          <cell r="I619">
            <v>2.5350928857921251</v>
          </cell>
          <cell r="J619">
            <v>0.3864308792694095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H620">
            <v>14.94103034318516</v>
          </cell>
          <cell r="I620">
            <v>15.508299409176688</v>
          </cell>
          <cell r="J620">
            <v>2.3639708865298044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H621">
            <v>4.0587874855935201E-2</v>
          </cell>
          <cell r="I621">
            <v>2.1929489609563101E-2</v>
          </cell>
          <cell r="J621">
            <v>5.5564874081633804E-3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H622">
            <v>4.7440019254842987E-2</v>
          </cell>
          <cell r="I622">
            <v>4.9650452474188499E-2</v>
          </cell>
          <cell r="J622">
            <v>9.4048636350148908E-3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H623">
            <v>100.46150554312101</v>
          </cell>
          <cell r="I623">
            <v>24.803139581643201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H624">
            <v>1.3596856145102301</v>
          </cell>
          <cell r="I624">
            <v>0.33569546764730002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H625">
            <v>1.3799657354824304</v>
          </cell>
          <cell r="I625">
            <v>0.34070246678081367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H626">
            <v>7.1119234561463712E-2</v>
          </cell>
          <cell r="I626">
            <v>3.3414841593878718E-2</v>
          </cell>
          <cell r="J626">
            <v>6.3128305596085094E-2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H627">
            <v>0.15101142704277853</v>
          </cell>
          <cell r="I627">
            <v>7.0829562453796013E-2</v>
          </cell>
          <cell r="J627">
            <v>0.11839000758108285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H628">
            <v>1.335194147155E-3</v>
          </cell>
          <cell r="I628">
            <v>2.0883865285467301E-5</v>
          </cell>
          <cell r="J628">
            <v>1.0521094767219599E-3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H629">
            <v>1.341901540097782E-3</v>
          </cell>
          <cell r="I629">
            <v>7.5430365525518703E-4</v>
          </cell>
          <cell r="J629">
            <v>1.1911095907591661E-3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  <cell r="I630">
            <v>2.3759194036957899E-5</v>
          </cell>
          <cell r="J630">
            <v>4.2137637791801299E-5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  <cell r="I631">
            <v>1.3247550614546186E-5</v>
          </cell>
          <cell r="J631">
            <v>2.3494925314216402E-5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  <cell r="H632">
            <v>1.7492607338876E-6</v>
          </cell>
          <cell r="I632">
            <v>2.2731383867926202E-5</v>
          </cell>
          <cell r="J632">
            <v>7.1123569650768999E-6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  <cell r="H633">
            <v>1.7492607338876E-6</v>
          </cell>
          <cell r="I633">
            <v>2.3997397063881324E-5</v>
          </cell>
          <cell r="J633">
            <v>2.9021471827438738E-5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H634">
            <v>3.9838699438681631E-2</v>
          </cell>
          <cell r="I634">
            <v>4.5347005453900927E-2</v>
          </cell>
          <cell r="J634">
            <v>5.0308295262224724E-2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H635">
            <v>0.11685193179519179</v>
          </cell>
          <cell r="I635">
            <v>0.13196667030218978</v>
          </cell>
          <cell r="J635">
            <v>0.13157459278520503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H636">
            <v>7.3452141183482603E-4</v>
          </cell>
          <cell r="I636">
            <v>1.1978130119995E-4</v>
          </cell>
          <cell r="J636">
            <v>7.5993824158976104E-4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H637">
            <v>7.5162309226297177E-4</v>
          </cell>
          <cell r="I637">
            <v>8.5559151981145208E-4</v>
          </cell>
          <cell r="J637">
            <v>9.4890511515587897E-4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H638">
            <v>6.1745419312578702E-2</v>
          </cell>
          <cell r="I638">
            <v>9.7306041434600199E-2</v>
          </cell>
          <cell r="J638">
            <v>2.1734267319978302E-2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H639">
            <v>9.9991791338542856E-5</v>
          </cell>
          <cell r="I639">
            <v>1.5757938806524558E-4</v>
          </cell>
          <cell r="J639">
            <v>3.5196915770440917E-5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H640">
            <v>8.4236588420980474E-4</v>
          </cell>
          <cell r="I640">
            <v>1.3275039759154175E-3</v>
          </cell>
          <cell r="J640">
            <v>2.9651115034076898E-4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H641">
            <v>1.8400480593997899E-6</v>
          </cell>
          <cell r="I641">
            <v>2.3886781605046301E-6</v>
          </cell>
          <cell r="J641">
            <v>4.0672004516048001E-7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H642">
            <v>2.3532897440691298E-6</v>
          </cell>
          <cell r="I642">
            <v>3.6454057941833499E-6</v>
          </cell>
          <cell r="J642">
            <v>8.2590591816304503E-7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H643">
            <v>0.15119036385838355</v>
          </cell>
          <cell r="I643">
            <v>7.1069911890948134E-2</v>
          </cell>
          <cell r="J643">
            <v>0.11851052638518465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H644">
            <v>0.15119036385838355</v>
          </cell>
          <cell r="I644">
            <v>7.1069911890948134E-2</v>
          </cell>
          <cell r="J644">
            <v>0.11851052638518465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H645">
            <v>7.65799069412057E-3</v>
          </cell>
          <cell r="I645">
            <v>1.4788286440158899E-4</v>
          </cell>
          <cell r="J645">
            <v>1.1108850746468901E-2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H646">
            <v>1.5981954923153199E-2</v>
          </cell>
          <cell r="I646">
            <v>9.2438691512217903E-3</v>
          </cell>
          <cell r="J646">
            <v>1.25269051291521E-2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H647">
            <v>7.9513143600802597E-2</v>
          </cell>
          <cell r="I647">
            <v>4.550932626258257E-2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H648">
            <v>8.2070578638460232E-4</v>
          </cell>
          <cell r="I648">
            <v>4.8067473826780805E-4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H649">
            <v>1.0847632141992181E-3</v>
          </cell>
          <cell r="I649">
            <v>6.2086393264096113E-4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H650">
            <v>3.8061877863264822E-2</v>
          </cell>
          <cell r="I650">
            <v>6.3704703453022968E-2</v>
          </cell>
          <cell r="J650">
            <v>0.21352320343863795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H651">
            <v>0.16729643030710983</v>
          </cell>
          <cell r="I651">
            <v>0.27450490473094846</v>
          </cell>
          <cell r="J651">
            <v>0.81777591151873819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H652">
            <v>7.1576794237051199E-4</v>
          </cell>
          <cell r="I652">
            <v>4.85643948720252E-4</v>
          </cell>
          <cell r="J652">
            <v>3.8602225070097102E-3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H653">
            <v>7.1786445337688001E-4</v>
          </cell>
          <cell r="I653">
            <v>1.2014118910907601E-3</v>
          </cell>
          <cell r="J653">
            <v>4.0265658777992198E-3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H654">
            <v>0.11702389956428899</v>
          </cell>
          <cell r="I654">
            <v>0.13211651998515409</v>
          </cell>
          <cell r="J654">
            <v>0.13168104761832505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H655">
            <v>0.11702389956428899</v>
          </cell>
          <cell r="I655">
            <v>0.13211651998515409</v>
          </cell>
          <cell r="J655">
            <v>0.13168104761832505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H656">
            <v>1.21529932162758E-2</v>
          </cell>
          <cell r="I656">
            <v>1.7843855531705099E-3</v>
          </cell>
          <cell r="J656">
            <v>1.0891517362171199E-2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H657">
            <v>1.23716654079296E-2</v>
          </cell>
          <cell r="I657">
            <v>1.39667618632705E-2</v>
          </cell>
          <cell r="J657">
            <v>1.3919108363216399E-2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H658">
            <v>0.23217399386834725</v>
          </cell>
          <cell r="I658">
            <v>0.10234502558433387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H659">
            <v>1.976901269789996E-3</v>
          </cell>
          <cell r="I659">
            <v>8.9199391173695188E-4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H660">
            <v>3.1674487567305244E-3</v>
          </cell>
          <cell r="I660">
            <v>1.396248643715332E-3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H661">
            <v>1.8789332910462756E-5</v>
          </cell>
          <cell r="I661">
            <v>1.6288322033104214E-5</v>
          </cell>
          <cell r="J661">
            <v>9.4124066276074119E-6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H662">
            <v>1.2444436113760699E-4</v>
          </cell>
          <cell r="I662">
            <v>1.0387960216783942E-4</v>
          </cell>
          <cell r="J662">
            <v>5.5057960911713167E-5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H663">
            <v>3.8639759842060198E-7</v>
          </cell>
          <cell r="I663">
            <v>3.9172105127453901E-7</v>
          </cell>
          <cell r="J663">
            <v>1.57348309797003E-7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H664">
            <v>4.48514889592616E-7</v>
          </cell>
          <cell r="I664">
            <v>5.2868557813567605E-7</v>
          </cell>
          <cell r="J664">
            <v>2.2354469583308492E-7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H665">
            <v>1.7828965093345859</v>
          </cell>
          <cell r="I665">
            <v>1.1884952413154297</v>
          </cell>
          <cell r="J665">
            <v>6.7592877191983334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H666">
            <v>1.1908066462975899</v>
          </cell>
          <cell r="I666">
            <v>1.78493924524043</v>
          </cell>
          <cell r="J666">
            <v>1.69077873593883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H667">
            <v>3.018056857022597</v>
          </cell>
          <cell r="I667">
            <v>3.0177832512679066</v>
          </cell>
          <cell r="J667">
            <v>8.5760981433765995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H668">
            <v>0.16738462015764416</v>
          </cell>
          <cell r="I668">
            <v>0.27459563299800172</v>
          </cell>
          <cell r="J668">
            <v>0.81790486520251926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H669">
            <v>0.16738462015764416</v>
          </cell>
          <cell r="I669">
            <v>0.27459563299800172</v>
          </cell>
          <cell r="J669">
            <v>0.81790486520251926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H670">
            <v>1.7628446825120499E-2</v>
          </cell>
          <cell r="I670">
            <v>1.1396663063144701E-2</v>
          </cell>
          <cell r="J670">
            <v>8.25483813191671E-2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H671">
            <v>1.76926011509719E-2</v>
          </cell>
          <cell r="I671">
            <v>2.9025109888265201E-2</v>
          </cell>
          <cell r="J671">
            <v>8.6451980560280597E-2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H672">
            <v>247.07648064654592</v>
          </cell>
          <cell r="I672">
            <v>81.393343496802842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H673">
            <v>1.9762916703432383</v>
          </cell>
          <cell r="I673">
            <v>0.68728100914109203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H674">
            <v>3.3707568983157654</v>
          </cell>
          <cell r="I674">
            <v>1.1104139631214578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H675">
            <v>2.8916540455180864E-4</v>
          </cell>
          <cell r="I675">
            <v>3.0128897718881314E-4</v>
          </cell>
          <cell r="J675">
            <v>1.8399478458790345E-4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H676">
            <v>2.8916540455180864E-4</v>
          </cell>
          <cell r="I676">
            <v>3.0128897718881314E-4</v>
          </cell>
          <cell r="J676">
            <v>1.8399478458790345E-4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H677">
            <v>5.8022174615823301E-5</v>
          </cell>
          <cell r="I677">
            <v>6.7902081525839195E-5</v>
          </cell>
          <cell r="J677">
            <v>2.51638732447194E-5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H678">
            <v>7.1651241059628404E-5</v>
          </cell>
          <cell r="I678">
            <v>1.07530432444903E-4</v>
          </cell>
          <cell r="J678">
            <v>3.7079916935212602E-5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I679">
            <v>7.2275789721495966E-6</v>
          </cell>
          <cell r="J679">
            <v>6.0747905217207925E-6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I680">
            <v>6.146063388929097E-6</v>
          </cell>
          <cell r="J680">
            <v>4.607126468459181E-6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H681">
            <v>7.8443496466163199E-7</v>
          </cell>
          <cell r="I681">
            <v>4.6371199665692599E-7</v>
          </cell>
          <cell r="J681">
            <v>6.13501147012112E-7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H682">
            <v>3.1073541250660229E-6</v>
          </cell>
          <cell r="I682">
            <v>1.139032453018821E-6</v>
          </cell>
          <cell r="J682">
            <v>9.539258930799039E-7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H683">
            <v>24.386399502236273</v>
          </cell>
          <cell r="I683">
            <v>23.799047315822477</v>
          </cell>
          <cell r="J683">
            <v>2.9311467340122122E-2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H684">
            <v>5.0206199192801761E-2</v>
          </cell>
          <cell r="I684">
            <v>5.1030184555742153E-2</v>
          </cell>
          <cell r="J684">
            <v>6.5751402211281954E-5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H685">
            <v>0.33269303550117763</v>
          </cell>
          <cell r="I685">
            <v>0.32468004523632255</v>
          </cell>
          <cell r="J685">
            <v>3.998835926346818E-4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H686">
            <v>5.7781623764988305E-4</v>
          </cell>
          <cell r="I686">
            <v>4.3960646044930303E-4</v>
          </cell>
          <cell r="J686">
            <v>5.2323183037601495E-7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H687">
            <v>1.1073652214662704E-3</v>
          </cell>
          <cell r="I687">
            <v>1.1097563498751854E-3</v>
          </cell>
          <cell r="J687">
            <v>1.7187557706160113E-6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H688">
            <v>0.53498535087256271</v>
          </cell>
          <cell r="I688">
            <v>0.14645706730541747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H689">
            <v>4.0385488467874573E-3</v>
          </cell>
          <cell r="I689">
            <v>1.1316152573730999E-3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H690">
            <v>7.2985723174974456E-3</v>
          </cell>
          <cell r="I690">
            <v>1.9980500314518068E-3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I691">
            <v>9.6306120730514418E-6</v>
          </cell>
          <cell r="J691">
            <v>1.0145800510801634E-5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I692">
            <v>9.9198585928372855E-6</v>
          </cell>
          <cell r="J692">
            <v>9.3068309092253258E-6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H693">
            <v>4.5161424279253902E-7</v>
          </cell>
          <cell r="I693">
            <v>4.1974003727373903E-7</v>
          </cell>
          <cell r="J693">
            <v>6.4511683692497804E-7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H694">
            <v>2.2900272107052002E-7</v>
          </cell>
          <cell r="I694">
            <v>9.2238152327749747E-7</v>
          </cell>
          <cell r="J694">
            <v>8.7558810415272997E-7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H695">
            <v>17.635007058068506</v>
          </cell>
          <cell r="I695">
            <v>12.785112738953741</v>
          </cell>
          <cell r="J695">
            <v>3.3281068548925923E-2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H696">
            <v>2.4759432166475498E-2</v>
          </cell>
          <cell r="I696">
            <v>1.9331273222168786E-2</v>
          </cell>
          <cell r="J696">
            <v>5.1635659113665383E-5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H697">
            <v>0.24058672657665187</v>
          </cell>
          <cell r="I697">
            <v>0.17442172904438941</v>
          </cell>
          <cell r="J697">
            <v>4.5403913436460982E-4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H698">
            <v>5.4666868939763803E-6</v>
          </cell>
          <cell r="I698">
            <v>3.2078849155288202E-4</v>
          </cell>
          <cell r="J698">
            <v>2.9754726521950202E-7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H699">
            <v>5.3857039692004559E-4</v>
          </cell>
          <cell r="I699">
            <v>4.2022803060621198E-4</v>
          </cell>
          <cell r="J699">
            <v>1.2566402290969947E-6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I700">
            <v>5.6121471991134808E-4</v>
          </cell>
          <cell r="J700">
            <v>4.7115469016772586E-4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I701">
            <v>1.1797717437374914E-4</v>
          </cell>
          <cell r="J701">
            <v>9.6872727326071824E-5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H702">
            <v>8.7427338956931996E-5</v>
          </cell>
          <cell r="I702">
            <v>1.36433876819747E-4</v>
          </cell>
          <cell r="J702">
            <v>1.06968873357516E-4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H703">
            <v>1.0343091111899234E-4</v>
          </cell>
          <cell r="I703">
            <v>2.2664524619341966E-4</v>
          </cell>
          <cell r="J703">
            <v>1.9067101846861995E-4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H704">
            <v>0.10998908510642863</v>
          </cell>
          <cell r="I704">
            <v>0.16109599077671949</v>
          </cell>
          <cell r="J704">
            <v>0.17068496426933338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H705">
            <v>0.10998908510642863</v>
          </cell>
          <cell r="I705">
            <v>0.16109599077671949</v>
          </cell>
          <cell r="J705">
            <v>0.17068496426933338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H706">
            <v>1.15637604153228E-2</v>
          </cell>
          <cell r="I706">
            <v>5.4541376621630002E-3</v>
          </cell>
          <cell r="J706">
            <v>1.32772722207021E-2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H707">
            <v>1.1627052664571501E-2</v>
          </cell>
          <cell r="I707">
            <v>1.7028591527140199E-2</v>
          </cell>
          <cell r="J707">
            <v>1.8041859656593499E-2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I708">
            <v>9.1188642440354656E-6</v>
          </cell>
          <cell r="J708">
            <v>1.1641996194170018E-5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I709">
            <v>1.0020834678158313E-5</v>
          </cell>
          <cell r="J709">
            <v>1.137901057659056E-5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H710">
            <v>3.46137492189415E-7</v>
          </cell>
          <cell r="I710">
            <v>3.6918789306797801E-7</v>
          </cell>
          <cell r="J710">
            <v>6.8304190992781305E-7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H711">
            <v>-5.6472173567374148E-7</v>
          </cell>
          <cell r="I711">
            <v>7.5736717939172881E-7</v>
          </cell>
          <cell r="J711">
            <v>8.5606088033773397E-7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H712">
            <v>11.57574945857916</v>
          </cell>
          <cell r="I712">
            <v>5.9585695447766227</v>
          </cell>
          <cell r="J712">
            <v>4.1219337212730592E-2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H713">
            <v>1.1044937321374701E-2</v>
          </cell>
          <cell r="I713">
            <v>5.8320404269516382E-3</v>
          </cell>
          <cell r="J713">
            <v>4.3025111380871196E-5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H714">
            <v>0.15792291212249893</v>
          </cell>
          <cell r="I714">
            <v>8.1290171142927886E-2</v>
          </cell>
          <cell r="J714">
            <v>5.6233747902770161E-4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H715">
            <v>1.24087648867966E-4</v>
          </cell>
          <cell r="I715">
            <v>2.7102141509167999E-6</v>
          </cell>
          <cell r="J715">
            <v>2.1416818135666899E-7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H716">
            <v>2.40177736970402E-4</v>
          </cell>
          <cell r="I716">
            <v>1.26797863018883E-4</v>
          </cell>
          <cell r="J716">
            <v>9.8997510431540686E-7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I717">
            <v>2.1937511866888232E-4</v>
          </cell>
          <cell r="J717">
            <v>1.9242837669504803E-4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I718">
            <v>7.9486881045767407E-5</v>
          </cell>
          <cell r="J718">
            <v>6.8466107869764056E-5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H719">
            <v>3.6050277726394103E-5</v>
          </cell>
          <cell r="I719">
            <v>4.5850928438784102E-5</v>
          </cell>
          <cell r="J719">
            <v>3.4396210631967597E-5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H720">
            <v>4.5697360398374257E-5</v>
          </cell>
          <cell r="I720">
            <v>8.6897365333678137E-5</v>
          </cell>
          <cell r="J720">
            <v>7.6625271151982668E-5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H721">
            <v>3.9888219743643748E-3</v>
          </cell>
          <cell r="I721">
            <v>3.4669344406554402E-3</v>
          </cell>
          <cell r="J721">
            <v>2.2673401758412626E-3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H722">
            <v>3.9888219743643748E-3</v>
          </cell>
          <cell r="I722">
            <v>3.4669344406554402E-3</v>
          </cell>
          <cell r="J722">
            <v>2.2673401758412626E-3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H723">
            <v>3.0379087294794398E-4</v>
          </cell>
          <cell r="I723">
            <v>4.3015311980244701E-6</v>
          </cell>
          <cell r="J723">
            <v>1.33734307565557E-4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H724">
            <v>4.2326016504603701E-4</v>
          </cell>
          <cell r="I724">
            <v>3.6820941791178697E-4</v>
          </cell>
          <cell r="J724">
            <v>2.4059729866877499E-4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I725">
            <v>8.8252641926282364E-6</v>
          </cell>
          <cell r="J725">
            <v>1.0377165365214302E-5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I726">
            <v>9.6940988655420863E-6</v>
          </cell>
          <cell r="J726">
            <v>1.019458398346929E-5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H727">
            <v>4.2919560138886699E-7</v>
          </cell>
          <cell r="I727">
            <v>4.1653331436097801E-7</v>
          </cell>
          <cell r="J727">
            <v>7.3095505357002202E-7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H728">
            <v>5.1497274385929932E-8</v>
          </cell>
          <cell r="I728">
            <v>8.849637730192236E-7</v>
          </cell>
          <cell r="J728">
            <v>9.4163008965752298E-7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H729">
            <v>4.2812533718606305E-3</v>
          </cell>
          <cell r="I729">
            <v>6.87683312638253E-3</v>
          </cell>
          <cell r="J729">
            <v>3.9906812890280698E-4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H730">
            <v>2.791101074036459E-6</v>
          </cell>
          <cell r="I730">
            <v>4.6375494827956339E-6</v>
          </cell>
          <cell r="J730">
            <v>2.8615330826582831E-7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H731">
            <v>5.8407276560172256E-5</v>
          </cell>
          <cell r="I731">
            <v>9.3817641560471117E-5</v>
          </cell>
          <cell r="J731">
            <v>5.4443128090423846E-6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H732">
            <v>8.10862650285514E-8</v>
          </cell>
          <cell r="I732">
            <v>8.6025086634843794E-8</v>
          </cell>
          <cell r="J732">
            <v>1.85493067243325E-8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H733">
            <v>9.7808436583149896E-8</v>
          </cell>
          <cell r="I733">
            <v>1.4140589555046401E-7</v>
          </cell>
          <cell r="J733">
            <v>3.3645731867487899E-8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H734">
            <v>2.701497317852511E-3</v>
          </cell>
          <cell r="I734">
            <v>2.7174671530012392E-3</v>
          </cell>
          <cell r="J734">
            <v>6.9971319938027694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H735">
            <v>2.701497317852511E-3</v>
          </cell>
          <cell r="I735">
            <v>2.7174671530012392E-3</v>
          </cell>
          <cell r="J735">
            <v>6.9971319938027694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H736">
            <v>2.7969478436157898E-4</v>
          </cell>
          <cell r="I736">
            <v>1.9009125935476201E-4</v>
          </cell>
          <cell r="J736">
            <v>0.88318036232352504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H737">
            <v>3.4193906525285301E-4</v>
          </cell>
          <cell r="I737">
            <v>3.8111896795584298E-4</v>
          </cell>
          <cell r="J737">
            <v>0.883213721179406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  <cell r="I738">
            <v>1.093006237040024E-4</v>
          </cell>
          <cell r="J738">
            <v>1.2657250272883998E-4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  <cell r="I739">
            <v>6.0881146790556647E-5</v>
          </cell>
          <cell r="J739">
            <v>6.9260620989165903E-5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H740">
            <v>1.46398556356309E-5</v>
          </cell>
          <cell r="I740">
            <v>1.8747562608200301E-5</v>
          </cell>
          <cell r="J740">
            <v>1.7256063063565799E-5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H741">
            <v>2.3452450443484065E-5</v>
          </cell>
          <cell r="I741">
            <v>4.2254321881671544E-5</v>
          </cell>
          <cell r="J741">
            <v>4.9935738624080988E-5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H742">
            <v>5.7401767636675099E-3</v>
          </cell>
          <cell r="I742">
            <v>5.4374784001553541E-3</v>
          </cell>
          <cell r="J742">
            <v>3.5084925608919316E-3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H743">
            <v>5.7401767636675099E-3</v>
          </cell>
          <cell r="I743">
            <v>5.4374784001553541E-3</v>
          </cell>
          <cell r="J743">
            <v>3.5084925608919316E-3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H744">
            <v>3.64491537339103E-4</v>
          </cell>
          <cell r="I744">
            <v>4.1526241579837198E-5</v>
          </cell>
          <cell r="J744">
            <v>7.59273777047574E-6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H745">
            <v>6.0898874610832495E-4</v>
          </cell>
          <cell r="I745">
            <v>5.7549580090454102E-4</v>
          </cell>
          <cell r="J745">
            <v>3.7192004678348602E-4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  <cell r="I746">
            <v>6.0115866300012834E-5</v>
          </cell>
          <cell r="J746">
            <v>8.1458208719110522E-5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  <cell r="I747">
            <v>3.7594560190561764E-5</v>
          </cell>
          <cell r="J747">
            <v>5.0120623192640526E-5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H748">
            <v>7.5044297255053897E-6</v>
          </cell>
          <cell r="I748">
            <v>1.1034696195978699E-5</v>
          </cell>
          <cell r="J748">
            <v>9.9829758177476902E-6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H749">
            <v>1.1538205986104334E-5</v>
          </cell>
          <cell r="I749">
            <v>2.2648862626500715E-5</v>
          </cell>
          <cell r="J749">
            <v>3.1187026732680127E-5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H750">
            <v>5.8571183247463042E-3</v>
          </cell>
          <cell r="I750">
            <v>6.2260154809944844E-3</v>
          </cell>
          <cell r="J750">
            <v>5.1518058336164881E-3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H751">
            <v>5.8571183247463042E-3</v>
          </cell>
          <cell r="I751">
            <v>6.2260154809944844E-3</v>
          </cell>
          <cell r="J751">
            <v>5.1518058336164881E-3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H752">
            <v>3.7645788060020801E-4</v>
          </cell>
          <cell r="I752">
            <v>3.8155218467427203E-5</v>
          </cell>
          <cell r="J752">
            <v>4.6047779863259699E-5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H753">
            <v>6.2139096205358901E-4</v>
          </cell>
          <cell r="I753">
            <v>6.59546180521016E-4</v>
          </cell>
          <cell r="J753">
            <v>5.4542132657655197E-4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H754">
            <v>5.0824049201831437E-2</v>
          </cell>
          <cell r="I754">
            <v>3.0900084671560836E-2</v>
          </cell>
          <cell r="J754">
            <v>8.1722259016127716E-2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H755">
            <v>1.2797639972421846E-4</v>
          </cell>
          <cell r="I755">
            <v>8.0976670808032919E-5</v>
          </cell>
          <cell r="J755">
            <v>2.4081826755157132E-4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H756">
            <v>9.0113562414594788E-4</v>
          </cell>
          <cell r="I756">
            <v>5.4787384169434133E-4</v>
          </cell>
          <cell r="J756">
            <v>1.448976223690207E-3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H757">
            <v>1.8871685436276701E-6</v>
          </cell>
          <cell r="I757">
            <v>6.6856097218155E-7</v>
          </cell>
          <cell r="J757">
            <v>4.2709922858665301E-6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H758">
            <v>2.6633472052746E-6</v>
          </cell>
          <cell r="I758">
            <v>1.710149264867263E-6</v>
          </cell>
          <cell r="J758">
            <v>4.7761318508275868E-6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H759">
            <v>5.4054327209133501E-2</v>
          </cell>
          <cell r="I759">
            <v>3.953527674459173E-2</v>
          </cell>
          <cell r="J759">
            <v>2.4742200218228878E-2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H760">
            <v>9.2934664039305979E-5</v>
          </cell>
          <cell r="I760">
            <v>7.2381332964958269E-5</v>
          </cell>
          <cell r="J760">
            <v>4.9082188644957648E-5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H761">
            <v>9.5841005689952994E-4</v>
          </cell>
          <cell r="I761">
            <v>7.0098008412396791E-4</v>
          </cell>
          <cell r="J761">
            <v>4.3869149323100775E-4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H762">
            <v>8.1983699064078403E-7</v>
          </cell>
          <cell r="I762">
            <v>5.2068004462734296E-7</v>
          </cell>
          <cell r="J762">
            <v>5.7892453796749495E-7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H763">
            <v>1.8818005312051514E-6</v>
          </cell>
          <cell r="I763">
            <v>1.4349705202569229E-6</v>
          </cell>
          <cell r="J763">
            <v>9.8392041022843392E-7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H768">
            <v>0.1133924674070169</v>
          </cell>
          <cell r="I768">
            <v>0.170203364991835</v>
          </cell>
          <cell r="J768">
            <v>4.4250407501633796E-2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H769">
            <v>1.342396759486593E-4</v>
          </cell>
          <cell r="I769">
            <v>2.0900612729334719E-4</v>
          </cell>
          <cell r="J769">
            <v>5.752682171368782E-5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H770">
            <v>2.0105047412591649E-3</v>
          </cell>
          <cell r="I770">
            <v>3.0177901594296967E-3</v>
          </cell>
          <cell r="J770">
            <v>7.8458169329137994E-4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H771">
            <v>1.9585818331056799E-6</v>
          </cell>
          <cell r="I771">
            <v>2.00150988556687E-6</v>
          </cell>
          <cell r="J771">
            <v>4.03254149261063E-7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H772">
            <v>2.5841306987019499E-6</v>
          </cell>
          <cell r="I772">
            <v>3.9600917186725596E-6</v>
          </cell>
          <cell r="J772">
            <v>1.0888138106365601E-6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H773">
            <v>1.4218983844904393E-3</v>
          </cell>
          <cell r="I773">
            <v>2.0834957316139997E-3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H774">
            <v>1.1383551216007468E-6</v>
          </cell>
          <cell r="I774">
            <v>1.7139595162566903E-6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H775">
            <v>2.5210964264014892E-5</v>
          </cell>
          <cell r="I775">
            <v>3.6941413681099383E-5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H776">
            <v>3.57798800502194E-8</v>
          </cell>
          <cell r="I776">
            <v>2.80798112252199E-8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H777">
            <v>4.0427181169898898E-8</v>
          </cell>
          <cell r="I777">
            <v>5.2516979460645398E-8</v>
          </cell>
          <cell r="J777">
            <v>4.9276877801337497E-9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73.982952092765231</v>
          </cell>
          <cell r="G9">
            <v>88.381350824383063</v>
          </cell>
          <cell r="H9">
            <v>87.7000067936047</v>
          </cell>
        </row>
        <row r="28"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F14">
            <v>55.379442447768866</v>
          </cell>
          <cell r="G14">
            <v>32.820800234807884</v>
          </cell>
          <cell r="H14">
            <v>0</v>
          </cell>
        </row>
        <row r="15">
          <cell r="F15">
            <v>72.133327636568779</v>
          </cell>
          <cell r="G15">
            <v>72.137146697699663</v>
          </cell>
          <cell r="H15">
            <v>69.335162994495874</v>
          </cell>
        </row>
        <row r="16">
          <cell r="F16">
            <v>63.853081835385076</v>
          </cell>
          <cell r="G16">
            <v>63.849268259655723</v>
          </cell>
          <cell r="H16">
            <v>66.651249292662499</v>
          </cell>
        </row>
        <row r="17">
          <cell r="F17">
            <v>12.770618334238087</v>
          </cell>
          <cell r="G17">
            <v>12.932048204763026</v>
          </cell>
          <cell r="H17">
            <v>13.233612547068677</v>
          </cell>
        </row>
        <row r="18">
          <cell r="F18">
            <v>4.8635354855294035E-4</v>
          </cell>
          <cell r="G18">
            <v>3.4033900799890495E-5</v>
          </cell>
          <cell r="H18">
            <v>7.1000614961641849E-5</v>
          </cell>
        </row>
        <row r="19">
          <cell r="F19">
            <v>7.5667799140842504</v>
          </cell>
          <cell r="G19">
            <v>7.6680257303165273</v>
          </cell>
          <cell r="H19">
            <v>1.0131364057186772E-3</v>
          </cell>
        </row>
        <row r="20">
          <cell r="F20">
            <v>0</v>
          </cell>
          <cell r="G20">
            <v>0</v>
          </cell>
          <cell r="H20">
            <v>9.2467458159889233</v>
          </cell>
        </row>
        <row r="21">
          <cell r="F21">
            <v>0</v>
          </cell>
          <cell r="G21">
            <v>1.4812798688468534E-4</v>
          </cell>
          <cell r="H21">
            <v>3.0736773464784012E-2</v>
          </cell>
        </row>
        <row r="22">
          <cell r="F22">
            <v>1.2355265895065619E-3</v>
          </cell>
          <cell r="G22">
            <v>7.8262661459361016E-5</v>
          </cell>
          <cell r="H22">
            <v>8.6500811042619676E-3</v>
          </cell>
        </row>
        <row r="23">
          <cell r="F23">
            <v>0</v>
          </cell>
          <cell r="G23">
            <v>0</v>
          </cell>
          <cell r="H23">
            <v>2.3974052716612513</v>
          </cell>
        </row>
        <row r="24">
          <cell r="F24">
            <v>2.1614834992090596E-3</v>
          </cell>
          <cell r="G24">
            <v>7.6847823555223384E-5</v>
          </cell>
          <cell r="H24">
            <v>3.9156256633424945E-2</v>
          </cell>
        </row>
        <row r="25">
          <cell r="F25">
            <v>7.4808372093742421E-4</v>
          </cell>
          <cell r="G25">
            <v>2.8311944066999636E-3</v>
          </cell>
          <cell r="H25">
            <v>7.3823268206839722E-4</v>
          </cell>
        </row>
        <row r="26">
          <cell r="F26">
            <v>1.4474812070534526</v>
          </cell>
          <cell r="G26">
            <v>1.4508218618751039</v>
          </cell>
          <cell r="H26">
            <v>0.19694642517929631</v>
          </cell>
        </row>
        <row r="27">
          <cell r="F27">
            <v>0</v>
          </cell>
          <cell r="G27">
            <v>0</v>
          </cell>
          <cell r="H27">
            <v>1.2341839800229155</v>
          </cell>
        </row>
        <row r="28">
          <cell r="F28">
            <v>2.1507373741972108E-4</v>
          </cell>
          <cell r="G28">
            <v>1.0709333653251075E-5</v>
          </cell>
          <cell r="H28">
            <v>1.5689250021113278E-5</v>
          </cell>
        </row>
        <row r="29">
          <cell r="F29">
            <v>0</v>
          </cell>
          <cell r="G29">
            <v>3.5514039348588833E-5</v>
          </cell>
          <cell r="H29">
            <v>0.47640919040342833</v>
          </cell>
        </row>
        <row r="30">
          <cell r="F30">
            <v>0</v>
          </cell>
          <cell r="G30">
            <v>0.16066151239889076</v>
          </cell>
          <cell r="H30">
            <v>0.16066218227691931</v>
          </cell>
        </row>
        <row r="31">
          <cell r="F31">
            <v>0</v>
          </cell>
          <cell r="G31">
            <v>0</v>
          </cell>
          <cell r="H31">
            <v>2.9454562281793524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3.6358989449662165</v>
          </cell>
          <cell r="G33">
            <v>5.1006219495500558</v>
          </cell>
          <cell r="H33">
            <v>6.1200029154631306</v>
          </cell>
        </row>
        <row r="34">
          <cell r="F34">
            <v>0.829639462633323</v>
          </cell>
          <cell r="G34">
            <v>1.4212421655886716</v>
          </cell>
          <cell r="H34">
            <v>1.6437131927835906</v>
          </cell>
        </row>
        <row r="35">
          <cell r="F35">
            <v>30.162316632815816</v>
          </cell>
          <cell r="G35">
            <v>40.847583691360121</v>
          </cell>
          <cell r="H35">
            <v>64.282161369807724</v>
          </cell>
        </row>
        <row r="36">
          <cell r="F36">
            <v>4.6126022886555305</v>
          </cell>
          <cell r="G36">
            <v>4.8960738020436727</v>
          </cell>
          <cell r="H36">
            <v>5.5163433054960702</v>
          </cell>
        </row>
        <row r="37">
          <cell r="F37">
            <v>4.0163017633036038</v>
          </cell>
          <cell r="G37">
            <v>4.2211844738582069</v>
          </cell>
          <cell r="H37">
            <v>4.6628247121485131</v>
          </cell>
        </row>
        <row r="38">
          <cell r="F38">
            <v>11.326542279307608</v>
          </cell>
          <cell r="G38">
            <v>12.578861422725801</v>
          </cell>
          <cell r="H38">
            <v>13.894973160832535</v>
          </cell>
        </row>
        <row r="39">
          <cell r="F39">
            <v>1.1884457015835423E-2</v>
          </cell>
          <cell r="G39">
            <v>5.5890761573090027E-3</v>
          </cell>
          <cell r="H39">
            <v>3.8738999077209374E-2</v>
          </cell>
        </row>
        <row r="40">
          <cell r="F40">
            <v>0</v>
          </cell>
          <cell r="G40">
            <v>0</v>
          </cell>
          <cell r="H40">
            <v>2.2450211759990815E-2</v>
          </cell>
        </row>
        <row r="41">
          <cell r="F41">
            <v>0.10618727667218758</v>
          </cell>
          <cell r="G41">
            <v>7.0575879624632255E-5</v>
          </cell>
          <cell r="H41">
            <v>0.17146918616649176</v>
          </cell>
        </row>
        <row r="42">
          <cell r="F42">
            <v>3.8309262387943472</v>
          </cell>
          <cell r="G42">
            <v>3.5922145786064852</v>
          </cell>
          <cell r="H42">
            <v>1.0500810809498233</v>
          </cell>
        </row>
        <row r="43">
          <cell r="F43">
            <v>0</v>
          </cell>
          <cell r="G43">
            <v>0</v>
          </cell>
          <cell r="H43">
            <v>1.3445169924771212</v>
          </cell>
        </row>
        <row r="44">
          <cell r="F44">
            <v>6.6834433824695667E-4</v>
          </cell>
          <cell r="G44">
            <v>0.11489511166642442</v>
          </cell>
          <cell r="H44">
            <v>8.8473559271559123E-5</v>
          </cell>
        </row>
        <row r="45">
          <cell r="F45">
            <v>0</v>
          </cell>
          <cell r="G45">
            <v>0</v>
          </cell>
          <cell r="H45">
            <v>0.29171065882989872</v>
          </cell>
        </row>
        <row r="46">
          <cell r="F46">
            <v>1.5591109364552394E-3</v>
          </cell>
          <cell r="G46">
            <v>1.3049973977512788E-3</v>
          </cell>
          <cell r="H46">
            <v>1.7237773295852516E-3</v>
          </cell>
        </row>
        <row r="47">
          <cell r="F47">
            <v>3.9505121309330304E-4</v>
          </cell>
          <cell r="G47">
            <v>3.2558233942580142E-4</v>
          </cell>
          <cell r="H47">
            <v>10.592691376836589</v>
          </cell>
        </row>
        <row r="48">
          <cell r="F48">
            <v>3.3521248119857227E-3</v>
          </cell>
          <cell r="G48">
            <v>2.2964162096212547E-3</v>
          </cell>
          <cell r="H48">
            <v>1.7804191688841793E-3</v>
          </cell>
        </row>
        <row r="49">
          <cell r="F49">
            <v>9.2202560776665009E-4</v>
          </cell>
          <cell r="G49">
            <v>9.3067461709657592E-4</v>
          </cell>
          <cell r="H49">
            <v>7.5034599993322544E-4</v>
          </cell>
        </row>
        <row r="50">
          <cell r="F50">
            <v>2.055921585748988E-3</v>
          </cell>
          <cell r="G50">
            <v>2.9511648382440883E-3</v>
          </cell>
          <cell r="H50">
            <v>1.3495236898901281E-3</v>
          </cell>
        </row>
        <row r="51">
          <cell r="F51">
            <v>1.7812307731161989</v>
          </cell>
          <cell r="G51">
            <v>0.28296470966659759</v>
          </cell>
          <cell r="H51">
            <v>0.29982814439619815</v>
          </cell>
        </row>
        <row r="52">
          <cell r="F52">
            <v>0.34437384693213591</v>
          </cell>
          <cell r="G52">
            <v>1.5321171933922142</v>
          </cell>
          <cell r="H52">
            <v>2.0165945657853204</v>
          </cell>
        </row>
        <row r="53">
          <cell r="F53">
            <v>3.5748285690618886E-2</v>
          </cell>
          <cell r="G53">
            <v>0.94346346680318993</v>
          </cell>
          <cell r="H53">
            <v>0.54437957984851792</v>
          </cell>
        </row>
        <row r="54">
          <cell r="F54">
            <v>1.1059379078512506</v>
          </cell>
          <cell r="G54">
            <v>1.1059384890876227</v>
          </cell>
          <cell r="H54">
            <v>1.1059282201660183</v>
          </cell>
        </row>
        <row r="55">
          <cell r="F55">
            <v>1.3079262886000356E-3</v>
          </cell>
          <cell r="G55">
            <v>6.5198931158466557E-4</v>
          </cell>
          <cell r="H55">
            <v>2.2503594573530707E-4</v>
          </cell>
        </row>
        <row r="56">
          <cell r="F56">
            <v>5.439219047829036E-4</v>
          </cell>
          <cell r="G56">
            <v>8.2929920637987156E-4</v>
          </cell>
          <cell r="H56">
            <v>3.2450910070303972E-4</v>
          </cell>
        </row>
        <row r="57">
          <cell r="F57">
            <v>8.8437472070754827E-4</v>
          </cell>
          <cell r="G57">
            <v>5.6197626396081203E-4</v>
          </cell>
          <cell r="H57">
            <v>3.2641521350283086E-3</v>
          </cell>
        </row>
        <row r="58">
          <cell r="F58">
            <v>1.1765944828505792E-3</v>
          </cell>
          <cell r="G58">
            <v>7.5527162110494228E-4</v>
          </cell>
          <cell r="H58">
            <v>1.7249489297805778</v>
          </cell>
        </row>
        <row r="70">
          <cell r="F70">
            <v>8.4936961500534959E-4</v>
          </cell>
          <cell r="G70">
            <v>8.1940927475634246E-4</v>
          </cell>
          <cell r="H70">
            <v>1.8628955992438481E-2</v>
          </cell>
        </row>
        <row r="71">
          <cell r="F71">
            <v>4.1954330912853929E-2</v>
          </cell>
          <cell r="G71">
            <v>4.2065382646371344E-2</v>
          </cell>
          <cell r="H71">
            <v>0.22191395631774438</v>
          </cell>
        </row>
        <row r="72">
          <cell r="F72">
            <v>1.7999990200125604E-2</v>
          </cell>
          <cell r="G72">
            <v>2.4455500249119699E-2</v>
          </cell>
          <cell r="H72">
            <v>3.522044503242807E-2</v>
          </cell>
        </row>
        <row r="73">
          <cell r="F73">
            <v>6.726791626312173E-2</v>
          </cell>
          <cell r="G73">
            <v>0.71870444332023642</v>
          </cell>
          <cell r="H73">
            <v>0.54091893563071991</v>
          </cell>
        </row>
        <row r="74">
          <cell r="F74">
            <v>3.3606425376882965E-2</v>
          </cell>
          <cell r="G74">
            <v>0.14732579092454628</v>
          </cell>
          <cell r="H74">
            <v>0.13881621207821496</v>
          </cell>
        </row>
        <row r="75">
          <cell r="F75">
            <v>2.5068922660984455E-2</v>
          </cell>
          <cell r="G75">
            <v>6.6202913379237532E-2</v>
          </cell>
          <cell r="H75">
            <v>4.7613423885306982E-2</v>
          </cell>
        </row>
        <row r="76">
          <cell r="F76">
            <v>4.2744557124336287E-2</v>
          </cell>
          <cell r="G76">
            <v>0.15929212594753553</v>
          </cell>
          <cell r="H76">
            <v>0.13709575595677026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4.5979795459735358E-3</v>
          </cell>
          <cell r="G91">
            <v>1.625896054834534E-4</v>
          </cell>
          <cell r="H91">
            <v>8.196292834176612E-2</v>
          </cell>
        </row>
        <row r="92">
          <cell r="F92">
            <v>1.9563771278554216E-3</v>
          </cell>
          <cell r="G92">
            <v>7.4040963955735086E-3</v>
          </cell>
          <cell r="H92">
            <v>1.9306148413765355E-3</v>
          </cell>
        </row>
        <row r="93">
          <cell r="F93">
            <v>12.466381770815088</v>
          </cell>
          <cell r="G93">
            <v>12.034790995199238</v>
          </cell>
          <cell r="H93">
            <v>10.935345773283322</v>
          </cell>
        </row>
        <row r="94">
          <cell r="F94">
            <v>1.1060935067299929E-3</v>
          </cell>
          <cell r="G94">
            <v>5.5076573073862574E-5</v>
          </cell>
          <cell r="H94">
            <v>8.0687571537153916E-5</v>
          </cell>
        </row>
        <row r="95">
          <cell r="F95">
            <v>0</v>
          </cell>
          <cell r="G95">
            <v>4.5280400169450758E-5</v>
          </cell>
          <cell r="H95">
            <v>0.63124217728454268</v>
          </cell>
        </row>
        <row r="96">
          <cell r="F96">
            <v>0</v>
          </cell>
          <cell r="G96">
            <v>0.19508897934150948</v>
          </cell>
          <cell r="H96">
            <v>0.20274037287325494</v>
          </cell>
        </row>
        <row r="97">
          <cell r="F97">
            <v>4.3175148506821399</v>
          </cell>
          <cell r="G97">
            <v>3.514245158306001</v>
          </cell>
          <cell r="H97">
            <v>8.0637965233220507E-5</v>
          </cell>
        </row>
        <row r="98">
          <cell r="F98">
            <v>5.2570964413144559</v>
          </cell>
          <cell r="G98">
            <v>6.6795923785277314</v>
          </cell>
          <cell r="H98">
            <v>6.6795880573877255</v>
          </cell>
        </row>
        <row r="99">
          <cell r="F99">
            <v>1.3002487496771451</v>
          </cell>
          <cell r="G99">
            <v>0</v>
          </cell>
          <cell r="H99">
            <v>0</v>
          </cell>
        </row>
        <row r="100">
          <cell r="F100">
            <v>9.7943594797837672E-5</v>
          </cell>
          <cell r="G100">
            <v>1.6762832998070471E-5</v>
          </cell>
          <cell r="H100">
            <v>5.288866634484719E-6</v>
          </cell>
        </row>
        <row r="101">
          <cell r="F101">
            <v>4.0572502822107666</v>
          </cell>
          <cell r="G101">
            <v>4.5028223349112526</v>
          </cell>
          <cell r="H101">
            <v>5.4103660571119097</v>
          </cell>
        </row>
        <row r="102">
          <cell r="F102">
            <v>0</v>
          </cell>
          <cell r="G102">
            <v>0</v>
          </cell>
          <cell r="H102">
            <v>0</v>
          </cell>
        </row>
        <row r="103">
          <cell r="F103">
            <v>1.9341851501311732E-2</v>
          </cell>
          <cell r="G103">
            <v>6.3302329101935411E-3</v>
          </cell>
          <cell r="H103">
            <v>6.7630180399010892E-2</v>
          </cell>
        </row>
        <row r="104">
          <cell r="F104">
            <v>0.5264759356078782</v>
          </cell>
          <cell r="G104">
            <v>1.5644696128544672E-4</v>
          </cell>
          <cell r="H104">
            <v>0.38009916805165089</v>
          </cell>
        </row>
        <row r="105">
          <cell r="F105">
            <v>8.1038824282188244</v>
          </cell>
          <cell r="G105">
            <v>7.5989154547445104</v>
          </cell>
          <cell r="H105">
            <v>5.0654959245570055</v>
          </cell>
        </row>
        <row r="106">
          <cell r="F106">
            <v>3.9441905041383554E-3</v>
          </cell>
          <cell r="G106">
            <v>0.581948213780482</v>
          </cell>
          <cell r="H106">
            <v>0.98985481727594771</v>
          </cell>
        </row>
        <row r="107">
          <cell r="F107">
            <v>1.8755871814292162E-4</v>
          </cell>
          <cell r="G107">
            <v>1.4636270304462648E-4</v>
          </cell>
          <cell r="H107">
            <v>4.2742438888989804</v>
          </cell>
        </row>
        <row r="108">
          <cell r="F108">
            <v>1.050431307692572E-3</v>
          </cell>
          <cell r="G108">
            <v>7.8299843865076786E-4</v>
          </cell>
          <cell r="H108">
            <v>8.61888664792626E-4</v>
          </cell>
        </row>
        <row r="109">
          <cell r="F109">
            <v>9.6048048726383086E-3</v>
          </cell>
          <cell r="G109">
            <v>7.1298946589731741E-3</v>
          </cell>
          <cell r="H109">
            <v>5.3684991598562234E-3</v>
          </cell>
        </row>
        <row r="110">
          <cell r="F110">
            <v>5.4354282752333317E-3</v>
          </cell>
          <cell r="G110">
            <v>7.6376601462393758E-3</v>
          </cell>
          <cell r="H110">
            <v>3.3539933691045373E-3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4.3871711438869871</v>
          </cell>
          <cell r="G112">
            <v>3.8186566350569278</v>
          </cell>
          <cell r="H112">
            <v>4.6231735447373525</v>
          </cell>
        </row>
        <row r="113">
          <cell r="F113">
            <v>9.5093961935636614E-2</v>
          </cell>
          <cell r="G113">
            <v>2.5097057737621835</v>
          </cell>
          <cell r="H113">
            <v>1.4481033158532017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1.1649091623492087</v>
          </cell>
          <cell r="G115">
            <v>1.0059072330346099</v>
          </cell>
          <cell r="H115">
            <v>1.0058978929287903</v>
          </cell>
        </row>
        <row r="116">
          <cell r="F116">
            <v>1.8524071212174967E-3</v>
          </cell>
          <cell r="G116">
            <v>9.7798396737699858E-4</v>
          </cell>
          <cell r="H116">
            <v>3.3755391860296028E-4</v>
          </cell>
        </row>
        <row r="117">
          <cell r="F117">
            <v>8.5054435209059036E-4</v>
          </cell>
          <cell r="G117">
            <v>1.2683336652079063E-3</v>
          </cell>
          <cell r="H117">
            <v>4.7666927535904664E-4</v>
          </cell>
        </row>
        <row r="118">
          <cell r="F118">
            <v>3.5008507973341018E-4</v>
          </cell>
          <cell r="G118">
            <v>2.2286703573588478E-4</v>
          </cell>
          <cell r="H118">
            <v>0.50079162477500616</v>
          </cell>
        </row>
        <row r="119">
          <cell r="F119">
            <v>6.1058795065122343E-4</v>
          </cell>
          <cell r="G119">
            <v>3.5365819091794494E-4</v>
          </cell>
          <cell r="H119">
            <v>1.8444399344816913E-3</v>
          </cell>
        </row>
        <row r="123">
          <cell r="F123">
            <v>7.3479224098023765</v>
          </cell>
          <cell r="G123">
            <v>9.0124377830944784</v>
          </cell>
          <cell r="H123">
            <v>9.9553375135971027</v>
          </cell>
        </row>
      </sheetData>
      <sheetData sheetId="59">
        <row r="13">
          <cell r="F13">
            <v>15.963271120404102</v>
          </cell>
          <cell r="G13">
            <v>16.165058453351453</v>
          </cell>
          <cell r="H13">
            <v>16.542014304285935</v>
          </cell>
        </row>
        <row r="14">
          <cell r="F14">
            <v>167.60359869164529</v>
          </cell>
          <cell r="G14">
            <v>98.945500114542966</v>
          </cell>
          <cell r="H14">
            <v>0</v>
          </cell>
        </row>
        <row r="15">
          <cell r="F15">
            <v>72.133327636568779</v>
          </cell>
          <cell r="G15">
            <v>72.137146697699663</v>
          </cell>
          <cell r="H15">
            <v>69.335162994495874</v>
          </cell>
        </row>
        <row r="16">
          <cell r="F16">
            <v>63.853081835385076</v>
          </cell>
          <cell r="G16">
            <v>63.849268259655723</v>
          </cell>
          <cell r="H16">
            <v>66.651249292662499</v>
          </cell>
        </row>
        <row r="18">
          <cell r="F18">
            <v>1.6066285602092418E-3</v>
          </cell>
          <cell r="G18">
            <v>2.0311598337495554E-4</v>
          </cell>
          <cell r="H18">
            <v>2.2534731170236532E-4</v>
          </cell>
        </row>
        <row r="19">
          <cell r="F19">
            <v>21.16836680469541</v>
          </cell>
          <cell r="G19">
            <v>21.45160598963016</v>
          </cell>
          <cell r="H19">
            <v>2.8342892621371044E-3</v>
          </cell>
        </row>
        <row r="20">
          <cell r="F20">
            <v>0</v>
          </cell>
          <cell r="G20">
            <v>0</v>
          </cell>
          <cell r="H20">
            <v>27.084582454622367</v>
          </cell>
        </row>
        <row r="21">
          <cell r="F21">
            <v>0</v>
          </cell>
          <cell r="G21">
            <v>2.9147120550846719E-4</v>
          </cell>
          <cell r="H21">
            <v>4.9146149092129394E-2</v>
          </cell>
        </row>
        <row r="22">
          <cell r="F22">
            <v>3.2382977825825511E-3</v>
          </cell>
          <cell r="G22">
            <v>2.4401288630108878E-4</v>
          </cell>
          <cell r="H22">
            <v>2.080633793825799E-2</v>
          </cell>
          <cell r="P22">
            <v>2.7979346910942251</v>
          </cell>
          <cell r="Q22">
            <v>1.8827441169219774</v>
          </cell>
          <cell r="R22">
            <v>7.5632786617311654</v>
          </cell>
        </row>
        <row r="23">
          <cell r="F23">
            <v>0</v>
          </cell>
          <cell r="G23">
            <v>2.0327744619465304E-5</v>
          </cell>
          <cell r="H23">
            <v>4.3755869563957921</v>
          </cell>
          <cell r="P23">
            <v>0.48222055466089014</v>
          </cell>
          <cell r="Q23">
            <v>0.45892401901163965</v>
          </cell>
          <cell r="R23">
            <v>1.4163452454442367</v>
          </cell>
        </row>
        <row r="24">
          <cell r="F24">
            <v>8.8750445186708479E-3</v>
          </cell>
          <cell r="G24">
            <v>3.8735977068317449E-4</v>
          </cell>
          <cell r="H24">
            <v>0.15553169953226156</v>
          </cell>
        </row>
        <row r="25">
          <cell r="F25">
            <v>0.5985537872554576</v>
          </cell>
          <cell r="G25">
            <v>0.63871256100501994</v>
          </cell>
          <cell r="H25">
            <v>0.40386267922608265</v>
          </cell>
        </row>
        <row r="26">
          <cell r="F26">
            <v>40.910658969615916</v>
          </cell>
          <cell r="G26">
            <v>41.84370153146191</v>
          </cell>
          <cell r="H26">
            <v>16.928295956847801</v>
          </cell>
        </row>
        <row r="27">
          <cell r="F27">
            <v>0</v>
          </cell>
          <cell r="G27">
            <v>0</v>
          </cell>
          <cell r="H27">
            <v>22.855258889313252</v>
          </cell>
        </row>
        <row r="28">
          <cell r="F28">
            <v>2.0790970914745955E-3</v>
          </cell>
          <cell r="G28">
            <v>2.1430136175484661E-4</v>
          </cell>
          <cell r="H28">
            <v>1.5391971749575679E-4</v>
          </cell>
        </row>
        <row r="29">
          <cell r="F29">
            <v>0</v>
          </cell>
          <cell r="G29">
            <v>8.8785098371472045E-5</v>
          </cell>
          <cell r="H29">
            <v>1.1910229760085711</v>
          </cell>
        </row>
        <row r="30">
          <cell r="F30">
            <v>0</v>
          </cell>
          <cell r="G30">
            <v>0.38252741047354932</v>
          </cell>
          <cell r="H30">
            <v>0.38252900542123636</v>
          </cell>
        </row>
        <row r="31">
          <cell r="F31">
            <v>0</v>
          </cell>
          <cell r="G31">
            <v>0.63011655159596347</v>
          </cell>
          <cell r="H31">
            <v>11.618573432806304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3.6358989449662165</v>
          </cell>
          <cell r="G33">
            <v>5.1006219495500558</v>
          </cell>
          <cell r="H33">
            <v>6.1200029154631306</v>
          </cell>
        </row>
        <row r="34">
          <cell r="F34">
            <v>0.829639462633323</v>
          </cell>
          <cell r="G34">
            <v>1.4212421655886716</v>
          </cell>
          <cell r="H34">
            <v>1.6437131927835906</v>
          </cell>
        </row>
        <row r="35">
          <cell r="F35">
            <v>30.162316632815816</v>
          </cell>
          <cell r="G35">
            <v>40.847583691360121</v>
          </cell>
          <cell r="H35">
            <v>64.282161369807724</v>
          </cell>
        </row>
        <row r="36">
          <cell r="F36">
            <v>4.6126022886555305</v>
          </cell>
          <cell r="G36">
            <v>4.8960738020436727</v>
          </cell>
          <cell r="H36">
            <v>5.5163433054960702</v>
          </cell>
        </row>
        <row r="37">
          <cell r="F37">
            <v>4.0163017633036038</v>
          </cell>
          <cell r="G37">
            <v>4.2211844738582069</v>
          </cell>
          <cell r="H37">
            <v>4.6628247121485131</v>
          </cell>
        </row>
        <row r="38">
          <cell r="F38">
            <v>11.326542279307608</v>
          </cell>
          <cell r="G38">
            <v>12.578861422725801</v>
          </cell>
          <cell r="H38">
            <v>13.894973160832535</v>
          </cell>
        </row>
        <row r="39">
          <cell r="F39">
            <v>3.3120316187980794E-2</v>
          </cell>
          <cell r="G39">
            <v>1.5605305366139913E-2</v>
          </cell>
          <cell r="H39">
            <v>0.17737925108125721</v>
          </cell>
        </row>
        <row r="40">
          <cell r="F40">
            <v>0</v>
          </cell>
          <cell r="G40">
            <v>2.8977334164377071E-5</v>
          </cell>
          <cell r="H40">
            <v>6.9374047982618356E-2</v>
          </cell>
        </row>
        <row r="41">
          <cell r="F41">
            <v>0.40318795844857852</v>
          </cell>
          <cell r="G41">
            <v>4.4507858710576766E-4</v>
          </cell>
          <cell r="H41">
            <v>0.6512252040428026</v>
          </cell>
        </row>
        <row r="42">
          <cell r="F42">
            <v>11.430189494840446</v>
          </cell>
          <cell r="G42">
            <v>10.705441105350131</v>
          </cell>
          <cell r="H42">
            <v>3.2625693472419779</v>
          </cell>
        </row>
        <row r="43">
          <cell r="F43">
            <v>0</v>
          </cell>
          <cell r="G43">
            <v>0.32696067337640239</v>
          </cell>
          <cell r="H43">
            <v>4.2066451127183804</v>
          </cell>
        </row>
        <row r="44">
          <cell r="F44">
            <v>1.0784504650491968E-2</v>
          </cell>
          <cell r="G44">
            <v>1.8539647830868566</v>
          </cell>
          <cell r="H44">
            <v>1.4276226442082067E-3</v>
          </cell>
        </row>
        <row r="45">
          <cell r="F45">
            <v>0</v>
          </cell>
          <cell r="G45">
            <v>0</v>
          </cell>
          <cell r="H45">
            <v>5.2300966843941756</v>
          </cell>
        </row>
        <row r="46">
          <cell r="F46">
            <v>2.9839443759908909E-3</v>
          </cell>
          <cell r="G46">
            <v>2.3727225413659619E-3</v>
          </cell>
          <cell r="H46">
            <v>2.872962215975417E-3</v>
          </cell>
        </row>
        <row r="47">
          <cell r="B47">
            <v>0</v>
          </cell>
        </row>
        <row r="48">
          <cell r="F48">
            <v>1.238441686641718E-2</v>
          </cell>
          <cell r="G48">
            <v>8.3857077500005019E-3</v>
          </cell>
          <cell r="H48">
            <v>6.4028896729180157E-3</v>
          </cell>
        </row>
        <row r="49">
          <cell r="F49">
            <v>2.1442455994573248E-3</v>
          </cell>
          <cell r="G49">
            <v>2.1151695843103992E-3</v>
          </cell>
          <cell r="H49">
            <v>1.6674355554071674E-3</v>
          </cell>
        </row>
        <row r="50">
          <cell r="F50">
            <v>0.82069106447700202</v>
          </cell>
          <cell r="G50">
            <v>1.2774911703413749</v>
          </cell>
          <cell r="H50">
            <v>0.83871300774987045</v>
          </cell>
        </row>
        <row r="51">
          <cell r="F51">
            <v>5.8889094278644416</v>
          </cell>
          <cell r="G51">
            <v>0.92803420384165813</v>
          </cell>
          <cell r="H51">
            <v>0.96839243162255229</v>
          </cell>
        </row>
        <row r="52">
          <cell r="F52">
            <v>0.80086941147008361</v>
          </cell>
          <cell r="G52">
            <v>3.4820845304368513</v>
          </cell>
          <cell r="H52">
            <v>4.4813212573007117</v>
          </cell>
        </row>
        <row r="53">
          <cell r="F53">
            <v>0.94508889571491184</v>
          </cell>
          <cell r="G53">
            <v>4.6810502973007226</v>
          </cell>
          <cell r="H53">
            <v>2.7214517644077967</v>
          </cell>
        </row>
        <row r="54">
          <cell r="F54">
            <v>2.9902562189021307</v>
          </cell>
          <cell r="G54">
            <v>2.9495686380498607</v>
          </cell>
          <cell r="H54">
            <v>2.8712749994346187</v>
          </cell>
        </row>
        <row r="55">
          <cell r="F55">
            <v>3.9407948494236088E-3</v>
          </cell>
          <cell r="G55">
            <v>2.0240734659835065E-3</v>
          </cell>
          <cell r="H55">
            <v>7.9235064746795939E-4</v>
          </cell>
        </row>
        <row r="56">
          <cell r="F56">
            <v>0.61756753849228141</v>
          </cell>
          <cell r="G56">
            <v>0.96475358788123233</v>
          </cell>
          <cell r="H56">
            <v>0.48411072268578564</v>
          </cell>
        </row>
        <row r="57">
          <cell r="F57">
            <v>1.7426102871084691E-3</v>
          </cell>
          <cell r="G57">
            <v>1.0406967851126158E-3</v>
          </cell>
          <cell r="H57">
            <v>5.6767863217883612E-3</v>
          </cell>
        </row>
        <row r="58">
          <cell r="F58">
            <v>1.9447842691745108E-3</v>
          </cell>
          <cell r="G58">
            <v>1.2381501985326911E-3</v>
          </cell>
          <cell r="H58">
            <v>2.7821756931944823</v>
          </cell>
        </row>
        <row r="63">
          <cell r="F63">
            <v>1.2172367868690211E-3</v>
          </cell>
          <cell r="G63">
            <v>1.1748418269552671E-3</v>
          </cell>
          <cell r="H63">
            <v>2.6615083911318033E-2</v>
          </cell>
        </row>
        <row r="64">
          <cell r="F64">
            <v>4.8391070243207018E-2</v>
          </cell>
          <cell r="G64">
            <v>4.8518088914600806E-2</v>
          </cell>
          <cell r="H64">
            <v>0.25594481094196736</v>
          </cell>
        </row>
        <row r="65">
          <cell r="F65">
            <v>2.0130434433853758E-2</v>
          </cell>
          <cell r="G65">
            <v>2.734880878405763E-2</v>
          </cell>
          <cell r="H65">
            <v>3.9384708962044289E-2</v>
          </cell>
        </row>
        <row r="66">
          <cell r="F66">
            <v>7.4390990210083011E-2</v>
          </cell>
          <cell r="G66">
            <v>0.7947905820570933</v>
          </cell>
          <cell r="H66">
            <v>0.59818384754260345</v>
          </cell>
        </row>
        <row r="67">
          <cell r="F67">
            <v>3.7167702136113034E-2</v>
          </cell>
          <cell r="G67">
            <v>0.16292368418023617</v>
          </cell>
          <cell r="H67">
            <v>0.15351322927106692</v>
          </cell>
        </row>
        <row r="68">
          <cell r="F68">
            <v>2.7726378433755666E-2</v>
          </cell>
          <cell r="G68">
            <v>7.3212749723320258E-2</v>
          </cell>
          <cell r="H68">
            <v>5.2655276592716405E-2</v>
          </cell>
        </row>
        <row r="69">
          <cell r="F69">
            <v>4.7271470649990238E-2</v>
          </cell>
          <cell r="G69">
            <v>0.17615619362333237</v>
          </cell>
          <cell r="H69">
            <v>0.15161000469149163</v>
          </cell>
        </row>
        <row r="90">
          <cell r="F90">
            <v>5.052945789464883</v>
          </cell>
          <cell r="G90">
            <v>4.112849843007286</v>
          </cell>
          <cell r="H90">
            <v>9.437356465186018E-5</v>
          </cell>
        </row>
        <row r="91">
          <cell r="F91">
            <v>6.9021032853310098</v>
          </cell>
          <cell r="G91">
            <v>8.7697148064837318</v>
          </cell>
          <cell r="H91">
            <v>8.7697091332085702</v>
          </cell>
        </row>
        <row r="92">
          <cell r="F92">
            <v>0.65012437483857255</v>
          </cell>
          <cell r="G92">
            <v>0</v>
          </cell>
          <cell r="H92">
            <v>0</v>
          </cell>
        </row>
        <row r="93">
          <cell r="F93">
            <v>1.1462697687318821E-4</v>
          </cell>
          <cell r="G93">
            <v>1.9618157515710887E-5</v>
          </cell>
          <cell r="H93">
            <v>6.1897543647217759E-6</v>
          </cell>
        </row>
        <row r="94">
          <cell r="F94">
            <v>5.7960718317296669</v>
          </cell>
          <cell r="G94">
            <v>6.4326033355874994</v>
          </cell>
          <cell r="H94">
            <v>7.7290943673027153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2.5337663482077151</v>
          </cell>
          <cell r="G97">
            <v>3.1077371665843021</v>
          </cell>
          <cell r="H97">
            <v>3.4328750046886554</v>
          </cell>
        </row>
      </sheetData>
      <sheetData sheetId="60">
        <row r="14">
          <cell r="F14">
            <v>2.0753298562035809</v>
          </cell>
          <cell r="G14">
            <v>1.2356851844506809</v>
          </cell>
          <cell r="H14">
            <v>0</v>
          </cell>
        </row>
        <row r="15">
          <cell r="F15">
            <v>7.415598838906786</v>
          </cell>
          <cell r="G15">
            <v>7.4157967984178983</v>
          </cell>
          <cell r="H15">
            <v>7.7286713483045073</v>
          </cell>
        </row>
        <row r="16">
          <cell r="F16">
            <v>4.8951160227319006</v>
          </cell>
          <cell r="G16">
            <v>4.9586999276418995</v>
          </cell>
          <cell r="H16">
            <v>5.2798354534876317</v>
          </cell>
        </row>
        <row r="17">
          <cell r="F17">
            <v>4.3596258140881146</v>
          </cell>
          <cell r="G17">
            <v>4.3596258414033571</v>
          </cell>
          <cell r="H17">
            <v>4.3596259744255619</v>
          </cell>
        </row>
        <row r="18">
          <cell r="F18">
            <v>7.9224493160378381E-3</v>
          </cell>
          <cell r="G18">
            <v>3.0791604884009768E-3</v>
          </cell>
          <cell r="H18">
            <v>8.9048764757288759E-4</v>
          </cell>
        </row>
        <row r="19">
          <cell r="F19">
            <v>0.28228449614767109</v>
          </cell>
          <cell r="G19">
            <v>0.28606062045215908</v>
          </cell>
          <cell r="H19">
            <v>6.2362465896692587E-5</v>
          </cell>
        </row>
        <row r="20">
          <cell r="F20">
            <v>0</v>
          </cell>
          <cell r="G20">
            <v>0</v>
          </cell>
          <cell r="H20">
            <v>0.34495556744675399</v>
          </cell>
        </row>
        <row r="21">
          <cell r="F21">
            <v>0</v>
          </cell>
          <cell r="G21">
            <v>3.9622535501039502E-5</v>
          </cell>
          <cell r="H21">
            <v>1.8848879631746002E-3</v>
          </cell>
        </row>
        <row r="22">
          <cell r="F22">
            <v>1.2062828362198809E-2</v>
          </cell>
          <cell r="G22">
            <v>1.2068291863102454E-2</v>
          </cell>
          <cell r="H22">
            <v>1.0491429655118194E-2</v>
          </cell>
        </row>
        <row r="23">
          <cell r="F23">
            <v>0</v>
          </cell>
          <cell r="G23">
            <v>4.6047023227875901E-7</v>
          </cell>
          <cell r="H23">
            <v>0.10803487664423819</v>
          </cell>
        </row>
        <row r="24">
          <cell r="F24">
            <v>3.6471284666030751E-4</v>
          </cell>
          <cell r="G24">
            <v>2.5611022808201545E-5</v>
          </cell>
          <cell r="H24">
            <v>5.1476541669770188E-3</v>
          </cell>
        </row>
        <row r="25">
          <cell r="F25">
            <v>1.3643001663790448E-4</v>
          </cell>
          <cell r="G25">
            <v>1.9961814600947181E-4</v>
          </cell>
          <cell r="H25">
            <v>1.0814403351617826E-4</v>
          </cell>
        </row>
        <row r="26">
          <cell r="F26">
            <v>7.0625269159741502E-2</v>
          </cell>
          <cell r="G26">
            <v>7.007905672381172E-2</v>
          </cell>
          <cell r="H26">
            <v>1.9708875323896924E-5</v>
          </cell>
        </row>
        <row r="27">
          <cell r="F27">
            <v>0</v>
          </cell>
          <cell r="G27">
            <v>0</v>
          </cell>
          <cell r="H27">
            <v>6.7430510013894898E-2</v>
          </cell>
        </row>
        <row r="28">
          <cell r="F28">
            <v>3.9164982734648732E-4</v>
          </cell>
          <cell r="G28">
            <v>1.2723592059183818E-4</v>
          </cell>
          <cell r="H28">
            <v>5.9170076646569616E-5</v>
          </cell>
        </row>
        <row r="29">
          <cell r="F29">
            <v>0</v>
          </cell>
          <cell r="G29">
            <v>1.1891811942984199E-5</v>
          </cell>
          <cell r="H29">
            <v>3.9651090469843935E-2</v>
          </cell>
        </row>
        <row r="30">
          <cell r="F30">
            <v>0</v>
          </cell>
          <cell r="G30">
            <v>1.5528399255084299E-2</v>
          </cell>
          <cell r="H30">
            <v>1.8301002444255882E-2</v>
          </cell>
        </row>
        <row r="31">
          <cell r="F31">
            <v>0</v>
          </cell>
          <cell r="G31">
            <v>2.6234688195983601E-7</v>
          </cell>
          <cell r="H31">
            <v>0.11363595367290823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0.60450338663729775</v>
          </cell>
          <cell r="G33">
            <v>0.84802777890790171</v>
          </cell>
          <cell r="H33">
            <v>1.01750987695187</v>
          </cell>
        </row>
        <row r="34">
          <cell r="F34">
            <v>0.2391609089127574</v>
          </cell>
          <cell r="G34">
            <v>0.40970273258293488</v>
          </cell>
          <cell r="H34">
            <v>0.47383509820855335</v>
          </cell>
        </row>
        <row r="35">
          <cell r="F35">
            <v>8.6949167248878698</v>
          </cell>
          <cell r="G35">
            <v>11.775167640408236</v>
          </cell>
          <cell r="H35">
            <v>18.530672925434398</v>
          </cell>
        </row>
        <row r="36">
          <cell r="F36">
            <v>1.329679299274859</v>
          </cell>
          <cell r="G36">
            <v>1.4113960221631032</v>
          </cell>
          <cell r="H36">
            <v>1.5902013665356094</v>
          </cell>
        </row>
        <row r="37">
          <cell r="F37">
            <v>1.1577837218376308</v>
          </cell>
          <cell r="G37">
            <v>1.2168456705575981</v>
          </cell>
          <cell r="H37">
            <v>1.3441568930284169</v>
          </cell>
        </row>
        <row r="38">
          <cell r="F38">
            <v>3.265112374218599</v>
          </cell>
          <cell r="G38">
            <v>3.6261195343162691</v>
          </cell>
          <cell r="H38">
            <v>4.0055160596789303</v>
          </cell>
        </row>
        <row r="39">
          <cell r="F39">
            <v>2.8258479772388912E-3</v>
          </cell>
          <cell r="G39">
            <v>1.3291595999143002E-3</v>
          </cell>
          <cell r="H39">
            <v>4.4414004568625763E-3</v>
          </cell>
        </row>
        <row r="40">
          <cell r="F40">
            <v>0</v>
          </cell>
          <cell r="G40">
            <v>0</v>
          </cell>
          <cell r="H40">
            <v>1.42624480174558E-3</v>
          </cell>
        </row>
        <row r="41">
          <cell r="F41">
            <v>1.4896044818290021E-2</v>
          </cell>
          <cell r="G41">
            <v>1.7090894794052989E-4</v>
          </cell>
          <cell r="H41">
            <v>4.4786186829052686E-2</v>
          </cell>
        </row>
        <row r="42">
          <cell r="F42">
            <v>0.17083275806108275</v>
          </cell>
          <cell r="G42">
            <v>0.18559023437046732</v>
          </cell>
          <cell r="H42">
            <v>7.8558513078354514E-2</v>
          </cell>
        </row>
        <row r="43">
          <cell r="F43">
            <v>0</v>
          </cell>
          <cell r="G43">
            <v>0</v>
          </cell>
          <cell r="H43">
            <v>5.0167537121142199E-2</v>
          </cell>
        </row>
        <row r="44">
          <cell r="F44">
            <v>6.0386758052690826E-3</v>
          </cell>
          <cell r="G44">
            <v>6.0804637527048224E-3</v>
          </cell>
          <cell r="H44">
            <v>6.0661166078332992E-5</v>
          </cell>
        </row>
        <row r="45">
          <cell r="F45">
            <v>0</v>
          </cell>
          <cell r="G45">
            <v>0</v>
          </cell>
          <cell r="H45">
            <v>2.9119063168153599E-2</v>
          </cell>
        </row>
        <row r="46">
          <cell r="F46">
            <v>2.4843775676147597E-4</v>
          </cell>
          <cell r="G46">
            <v>2.8462422747383483E-4</v>
          </cell>
          <cell r="H46">
            <v>2.0293216892034867E-4</v>
          </cell>
        </row>
        <row r="47">
          <cell r="F47">
            <v>7.7162725609854405E-5</v>
          </cell>
          <cell r="G47">
            <v>7.710336265951369E-5</v>
          </cell>
          <cell r="H47">
            <v>0.39516750056095662</v>
          </cell>
        </row>
        <row r="48">
          <cell r="F48">
            <v>2.9795638210563711E-4</v>
          </cell>
          <cell r="G48">
            <v>2.0633784070690271E-4</v>
          </cell>
          <cell r="H48">
            <v>1.5798610491538369E-4</v>
          </cell>
        </row>
        <row r="49">
          <cell r="F49">
            <v>8.1836148195505394E-5</v>
          </cell>
          <cell r="G49">
            <v>8.2474474950581695E-5</v>
          </cell>
          <cell r="H49">
            <v>6.597829289762652E-5</v>
          </cell>
        </row>
        <row r="50">
          <cell r="F50">
            <v>1.8317395235632208E-4</v>
          </cell>
          <cell r="G50">
            <v>2.6191190161264932E-4</v>
          </cell>
          <cell r="H50">
            <v>1.1973334564379127E-4</v>
          </cell>
        </row>
        <row r="51">
          <cell r="F51">
            <v>0.13219851848791778</v>
          </cell>
          <cell r="G51">
            <v>8.5540940253746922E-2</v>
          </cell>
          <cell r="H51">
            <v>2.2248374147144992E-2</v>
          </cell>
        </row>
        <row r="52">
          <cell r="F52">
            <v>4.2882665580577017E-2</v>
          </cell>
          <cell r="G52">
            <v>0.13619185819719543</v>
          </cell>
          <cell r="H52">
            <v>0.17925710107909842</v>
          </cell>
        </row>
        <row r="53">
          <cell r="F53">
            <v>2.6566092340306307E-3</v>
          </cell>
          <cell r="G53">
            <v>7.0008077137706071E-2</v>
          </cell>
          <cell r="H53">
            <v>4.0394829339110754E-2</v>
          </cell>
        </row>
        <row r="54">
          <cell r="F54">
            <v>8.4744314491717265E-2</v>
          </cell>
          <cell r="G54">
            <v>8.4743912670967439E-2</v>
          </cell>
          <cell r="H54">
            <v>8.4743389311357997E-2</v>
          </cell>
        </row>
        <row r="55">
          <cell r="F55">
            <v>2.1321651389663923E-4</v>
          </cell>
          <cell r="G55">
            <v>1.0613120092170004E-4</v>
          </cell>
          <cell r="H55">
            <v>3.6485481806347478E-5</v>
          </cell>
        </row>
        <row r="56">
          <cell r="F56">
            <v>8.8343383510987091E-5</v>
          </cell>
          <cell r="G56">
            <v>8.9818086070077795E-5</v>
          </cell>
          <cell r="H56">
            <v>4.0649801267597801E-5</v>
          </cell>
        </row>
        <row r="57">
          <cell r="F57">
            <v>9.599928069023348E-5</v>
          </cell>
          <cell r="G57">
            <v>6.6169048163460534E-5</v>
          </cell>
          <cell r="H57">
            <v>1.9307805095851601E-4</v>
          </cell>
        </row>
        <row r="58">
          <cell r="F58">
            <v>7.4716029754868743E-5</v>
          </cell>
          <cell r="G58">
            <v>6.4782989222551059E-5</v>
          </cell>
          <cell r="H58">
            <v>0.10123484007977777</v>
          </cell>
        </row>
        <row r="63">
          <cell r="F63">
            <v>9.9997751370279803E-2</v>
          </cell>
          <cell r="G63">
            <v>9.9998375643344878E-2</v>
          </cell>
          <cell r="H63">
            <v>9.9998789248541539E-2</v>
          </cell>
        </row>
        <row r="64">
          <cell r="F64">
            <v>4.8513178905777485E-2</v>
          </cell>
          <cell r="G64">
            <v>9.3458321649304052E-2</v>
          </cell>
          <cell r="H64">
            <v>0.9320882256761035</v>
          </cell>
        </row>
        <row r="65">
          <cell r="F65">
            <v>2.7155834869229827E-2</v>
          </cell>
          <cell r="G65">
            <v>4.168999731010066E-2</v>
          </cell>
          <cell r="H65">
            <v>5.5285886133839696E-2</v>
          </cell>
        </row>
        <row r="66">
          <cell r="F66">
            <v>0.24621806057945902</v>
          </cell>
          <cell r="G66">
            <v>0.41351152095832122</v>
          </cell>
          <cell r="H66">
            <v>0.76149753805186582</v>
          </cell>
        </row>
        <row r="67">
          <cell r="F67">
            <v>0.15142893556971038</v>
          </cell>
          <cell r="G67">
            <v>0.15433737124535227</v>
          </cell>
          <cell r="H67">
            <v>0.1912225936855087</v>
          </cell>
        </row>
        <row r="68">
          <cell r="F68">
            <v>4.977272430453604E-2</v>
          </cell>
          <cell r="G68">
            <v>5.0423930680049411E-2</v>
          </cell>
          <cell r="H68">
            <v>6.0666993538174709E-2</v>
          </cell>
        </row>
        <row r="69">
          <cell r="F69">
            <v>0.15402919615063912</v>
          </cell>
          <cell r="G69">
            <v>0.15570374971088524</v>
          </cell>
          <cell r="H69">
            <v>0.18930605724730676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0.16326884054842891</v>
          </cell>
          <cell r="G15">
            <v>0.15193787050693314</v>
          </cell>
          <cell r="H15">
            <v>0.51146109356844405</v>
          </cell>
        </row>
        <row r="16">
          <cell r="F16">
            <v>3.9456354118195189E-3</v>
          </cell>
          <cell r="G16">
            <v>6.3583923758462613E-2</v>
          </cell>
          <cell r="H16">
            <v>0.32113547954692251</v>
          </cell>
        </row>
        <row r="17">
          <cell r="F17">
            <v>4.43754215835785E-8</v>
          </cell>
          <cell r="G17">
            <v>6.7404063700353896E-8</v>
          </cell>
          <cell r="H17">
            <v>2.1822440671802999E-7</v>
          </cell>
        </row>
        <row r="18">
          <cell r="F18">
            <v>8.8184135367128601E-4</v>
          </cell>
          <cell r="G18">
            <v>2.1986936004407099E-6</v>
          </cell>
          <cell r="H18">
            <v>2.4141545140211899E-6</v>
          </cell>
        </row>
        <row r="19">
          <cell r="F19">
            <v>9.2251537098662198E-2</v>
          </cell>
          <cell r="G19">
            <v>3.65788224757383E-2</v>
          </cell>
          <cell r="H19">
            <v>2.4747597632511499E-8</v>
          </cell>
        </row>
        <row r="20">
          <cell r="F20">
            <v>0</v>
          </cell>
          <cell r="G20">
            <v>0</v>
          </cell>
          <cell r="H20">
            <v>0.34495556744675399</v>
          </cell>
        </row>
        <row r="21">
          <cell r="F21">
            <v>0</v>
          </cell>
          <cell r="G21">
            <v>8.2291672657865906E-5</v>
          </cell>
          <cell r="H21">
            <v>2.4363729121685599E-3</v>
          </cell>
        </row>
        <row r="22">
          <cell r="F22">
            <v>5.28863619988007E-6</v>
          </cell>
          <cell r="G22">
            <v>6.6025014740552299E-6</v>
          </cell>
          <cell r="H22">
            <v>4.6031730238975002E-5</v>
          </cell>
        </row>
        <row r="23">
          <cell r="F23">
            <v>0</v>
          </cell>
          <cell r="G23">
            <v>9.5634631010378093E-7</v>
          </cell>
          <cell r="H23">
            <v>0.145998986574877</v>
          </cell>
        </row>
        <row r="24">
          <cell r="F24">
            <v>1.6388585263547501E-6</v>
          </cell>
          <cell r="G24">
            <v>8.5456945668313503E-7</v>
          </cell>
          <cell r="H24">
            <v>5.1463835567030604E-3</v>
          </cell>
        </row>
        <row r="25">
          <cell r="F25">
            <v>4.5815226920413596E-6</v>
          </cell>
          <cell r="G25">
            <v>1.0446223166520901E-4</v>
          </cell>
          <cell r="H25">
            <v>1.2063423738071799E-6</v>
          </cell>
        </row>
        <row r="26">
          <cell r="F26">
            <v>6.3593727096775904E-3</v>
          </cell>
          <cell r="G26">
            <v>1.8907920093343401E-2</v>
          </cell>
          <cell r="H26">
            <v>2.6255004203416799E-8</v>
          </cell>
        </row>
        <row r="27">
          <cell r="F27">
            <v>0</v>
          </cell>
          <cell r="G27">
            <v>0</v>
          </cell>
          <cell r="H27">
            <v>6.7430510013894898E-2</v>
          </cell>
        </row>
        <row r="28">
          <cell r="F28">
            <v>6.4683821994216099E-6</v>
          </cell>
          <cell r="G28">
            <v>1.7328864000731299E-5</v>
          </cell>
          <cell r="H28">
            <v>3.7321203594020499E-5</v>
          </cell>
        </row>
        <row r="29">
          <cell r="F29">
            <v>0</v>
          </cell>
          <cell r="G29">
            <v>1.1891811942984199E-5</v>
          </cell>
          <cell r="H29">
            <v>3.9639264934504898E-2</v>
          </cell>
        </row>
        <row r="30">
          <cell r="F30">
            <v>0</v>
          </cell>
          <cell r="G30">
            <v>1.5528399255084299E-2</v>
          </cell>
          <cell r="H30">
            <v>2.7726836389533899E-3</v>
          </cell>
        </row>
        <row r="31">
          <cell r="F31">
            <v>0</v>
          </cell>
          <cell r="G31">
            <v>5.4486578054764505E-7</v>
          </cell>
          <cell r="H31">
            <v>0.15356885456748701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0.31878777047204099</v>
          </cell>
          <cell r="G33">
            <v>3.3713285574055398E-6</v>
          </cell>
          <cell r="H33">
            <v>0.673418204152607</v>
          </cell>
        </row>
        <row r="34">
          <cell r="F34">
            <v>0.19423479220490342</v>
          </cell>
          <cell r="G34">
            <v>0.17054182367017753</v>
          </cell>
          <cell r="H34">
            <v>0.14851507215936841</v>
          </cell>
        </row>
        <row r="35">
          <cell r="F35">
            <v>5.71502990280523</v>
          </cell>
          <cell r="G35">
            <v>3.7926811486306899</v>
          </cell>
          <cell r="H35">
            <v>10.183911338489899</v>
          </cell>
        </row>
        <row r="36">
          <cell r="F36">
            <v>0.29987912209997686</v>
          </cell>
          <cell r="G36">
            <v>0.66482595526196975</v>
          </cell>
          <cell r="H36">
            <v>0.68641356460546243</v>
          </cell>
        </row>
        <row r="37">
          <cell r="F37">
            <v>0.14464672094251518</v>
          </cell>
          <cell r="G37">
            <v>0.28405245767589471</v>
          </cell>
          <cell r="H37">
            <v>0.94484107860897804</v>
          </cell>
        </row>
        <row r="38">
          <cell r="F38">
            <v>0.63656554825618605</v>
          </cell>
          <cell r="G38">
            <v>0.76845745790040998</v>
          </cell>
          <cell r="H38">
            <v>2.7298047377922199</v>
          </cell>
        </row>
        <row r="39">
          <cell r="F39">
            <v>6.9058747299375397E-4</v>
          </cell>
          <cell r="G39">
            <v>4.6894305573325697E-7</v>
          </cell>
          <cell r="H39">
            <v>3.7259175025020604E-3</v>
          </cell>
        </row>
        <row r="40">
          <cell r="F40">
            <v>0</v>
          </cell>
          <cell r="G40">
            <v>0</v>
          </cell>
          <cell r="H40">
            <v>1.42624480174558E-3</v>
          </cell>
        </row>
        <row r="41">
          <cell r="F41">
            <v>1.5489571622650399E-4</v>
          </cell>
          <cell r="G41">
            <v>4.5802254575640798E-7</v>
          </cell>
          <cell r="H41">
            <v>4.4720805740512001E-2</v>
          </cell>
        </row>
        <row r="42">
          <cell r="F42">
            <v>6.05809927254643E-2</v>
          </cell>
          <cell r="G42">
            <v>7.2959609830884606E-2</v>
          </cell>
          <cell r="H42">
            <v>8.6531388163499594E-8</v>
          </cell>
        </row>
        <row r="43">
          <cell r="F43">
            <v>0</v>
          </cell>
          <cell r="G43">
            <v>0</v>
          </cell>
          <cell r="H43">
            <v>5.0167537121142199E-2</v>
          </cell>
        </row>
        <row r="44">
          <cell r="F44">
            <v>5.86964397936557E-7</v>
          </cell>
          <cell r="G44">
            <v>4.1921023904296098E-5</v>
          </cell>
          <cell r="H44">
            <v>3.3126371026456099E-8</v>
          </cell>
        </row>
        <row r="45">
          <cell r="F45">
            <v>0</v>
          </cell>
          <cell r="G45">
            <v>0</v>
          </cell>
          <cell r="H45">
            <v>2.9119063168153599E-2</v>
          </cell>
        </row>
        <row r="46">
          <cell r="F46">
            <v>2.4843775676147597E-4</v>
          </cell>
          <cell r="G46">
            <v>3.6281605623066101E-5</v>
          </cell>
          <cell r="H46">
            <v>7.1665067375584901E-5</v>
          </cell>
        </row>
        <row r="47">
          <cell r="F47">
            <v>7.7162725609854405E-5</v>
          </cell>
          <cell r="G47">
            <v>9.7743769871090206E-8</v>
          </cell>
          <cell r="H47">
            <v>0.39513492751561502</v>
          </cell>
        </row>
        <row r="48">
          <cell r="F48">
            <v>8.279851627430646E-6</v>
          </cell>
          <cell r="G48">
            <v>3.7373944170297503E-7</v>
          </cell>
          <cell r="H48">
            <v>1.32239236884303E-4</v>
          </cell>
        </row>
        <row r="49">
          <cell r="F49">
            <v>5.8280648891426802E-5</v>
          </cell>
          <cell r="G49">
            <v>6.8023536620434398E-7</v>
          </cell>
          <cell r="H49">
            <v>1.283584486377701E-5</v>
          </cell>
        </row>
        <row r="50">
          <cell r="F50">
            <v>1.0429455220843991E-4</v>
          </cell>
          <cell r="G50">
            <v>1.0381460296273891E-4</v>
          </cell>
          <cell r="H50">
            <v>3.6286834663452901E-7</v>
          </cell>
        </row>
        <row r="51">
          <cell r="F51">
            <v>2.8389258466396503E-7</v>
          </cell>
          <cell r="G51">
            <v>3.6079855591804104E-7</v>
          </cell>
          <cell r="H51">
            <v>6.7367132875566402E-6</v>
          </cell>
        </row>
        <row r="52">
          <cell r="F52">
            <v>4.2757610917851498E-2</v>
          </cell>
          <cell r="G52">
            <v>9.3309336148758804E-2</v>
          </cell>
          <cell r="H52">
            <v>5.18437576348258E-2</v>
          </cell>
        </row>
        <row r="53">
          <cell r="F53">
            <v>2.5102725870341999E-3</v>
          </cell>
          <cell r="G53">
            <v>6.73979653099325E-2</v>
          </cell>
          <cell r="H53">
            <v>1.2696974030059671E-7</v>
          </cell>
        </row>
        <row r="54">
          <cell r="F54">
            <v>4.4081480250725301E-2</v>
          </cell>
          <cell r="G54">
            <v>3.1152288706673501E-2</v>
          </cell>
          <cell r="H54">
            <v>4.3489036545897898E-2</v>
          </cell>
        </row>
        <row r="55">
          <cell r="F55">
            <v>1.8740369010312101E-7</v>
          </cell>
          <cell r="G55">
            <v>4.5757723186114998E-7</v>
          </cell>
          <cell r="H55">
            <v>3.6055934065665898E-5</v>
          </cell>
        </row>
        <row r="56">
          <cell r="F56">
            <v>2.95989875132622E-5</v>
          </cell>
          <cell r="G56">
            <v>2.0226029948223801E-5</v>
          </cell>
          <cell r="H56">
            <v>1.3553835318042399E-5</v>
          </cell>
        </row>
        <row r="57">
          <cell r="F57">
            <v>1.7075569251282799E-7</v>
          </cell>
          <cell r="G57">
            <v>6.4094592773673097E-7</v>
          </cell>
          <cell r="H57">
            <v>1.92603798754142E-4</v>
          </cell>
        </row>
        <row r="58">
          <cell r="F58">
            <v>4.2303429081303303E-5</v>
          </cell>
          <cell r="G58">
            <v>4.4351230265214302E-7</v>
          </cell>
          <cell r="H58">
            <v>0.10121668484065</v>
          </cell>
        </row>
        <row r="63">
          <cell r="F63">
            <v>5.3130680028142701E-7</v>
          </cell>
          <cell r="G63">
            <v>9.1518042458994804E-7</v>
          </cell>
          <cell r="H63">
            <v>5.8174252737048795E-7</v>
          </cell>
        </row>
        <row r="64">
          <cell r="F64">
            <v>2.52528346136539E-2</v>
          </cell>
          <cell r="G64">
            <v>6.4604066192750206E-2</v>
          </cell>
          <cell r="H64">
            <v>0.89525792029880602</v>
          </cell>
        </row>
        <row r="65">
          <cell r="F65">
            <v>1.7162902784977199E-2</v>
          </cell>
          <cell r="G65">
            <v>2.3073018624111E-2</v>
          </cell>
          <cell r="H65">
            <v>4.0703192157336102E-2</v>
          </cell>
        </row>
        <row r="66">
          <cell r="F66">
            <v>0.20980569061604201</v>
          </cell>
          <cell r="G66">
            <v>0.20351644690962201</v>
          </cell>
          <cell r="H66">
            <v>0.62261470057144097</v>
          </cell>
        </row>
        <row r="67">
          <cell r="F67">
            <v>8.5537491985572006E-2</v>
          </cell>
          <cell r="G67">
            <v>6.8665861932474495E-2</v>
          </cell>
          <cell r="H67">
            <v>0.141775945615878</v>
          </cell>
        </row>
        <row r="68">
          <cell r="F68">
            <v>2.95283622912011E-2</v>
          </cell>
          <cell r="G68">
            <v>2.06930126678582E-2</v>
          </cell>
          <cell r="H68">
            <v>4.5107948988337199E-2</v>
          </cell>
        </row>
        <row r="69">
          <cell r="F69">
            <v>8.9845484168935202E-2</v>
          </cell>
          <cell r="G69">
            <v>6.5705324903491194E-2</v>
          </cell>
          <cell r="H69">
            <v>0.14058787950580601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F5">
            <v>0</v>
          </cell>
          <cell r="G5">
            <v>0</v>
          </cell>
          <cell r="H5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9">
          <cell r="F19">
            <v>4.3847686788881752</v>
          </cell>
          <cell r="G19">
            <v>5.9658660053159416</v>
          </cell>
          <cell r="H19">
            <v>6.808097417543868</v>
          </cell>
        </row>
        <row r="20">
          <cell r="F20">
            <v>7.7412516389263306</v>
          </cell>
          <cell r="G20">
            <v>8.5092165058539759</v>
          </cell>
          <cell r="H20">
            <v>9.9631993916437462</v>
          </cell>
        </row>
        <row r="21">
          <cell r="F21">
            <v>0</v>
          </cell>
          <cell r="G21">
            <v>0</v>
          </cell>
          <cell r="H21">
            <v>0</v>
          </cell>
        </row>
        <row r="28">
          <cell r="F28">
            <v>0.36091371146324558</v>
          </cell>
          <cell r="G28">
            <v>7.3960760374555132</v>
          </cell>
          <cell r="H28">
            <v>7.4184135930967772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4.8202572788380724</v>
          </cell>
          <cell r="G38">
            <v>3.4656194225266734</v>
          </cell>
          <cell r="H38">
            <v>5.8399549798845394</v>
          </cell>
        </row>
        <row r="39">
          <cell r="F39">
            <v>4.3992104504995639</v>
          </cell>
          <cell r="G39">
            <v>3.1628994676210911</v>
          </cell>
          <cell r="H39">
            <v>5.3298381168873892</v>
          </cell>
        </row>
      </sheetData>
      <sheetData sheetId="68">
        <row r="3">
          <cell r="F3">
            <v>54.958573186891208</v>
          </cell>
          <cell r="G3">
            <v>55.296600979547385</v>
          </cell>
          <cell r="H3">
            <v>56.943698865739528</v>
          </cell>
        </row>
        <row r="6">
          <cell r="F6">
            <v>19.542331560264145</v>
          </cell>
          <cell r="G6">
            <v>26.908591551048868</v>
          </cell>
          <cell r="H6">
            <v>30.021748500204627</v>
          </cell>
        </row>
        <row r="11">
          <cell r="F11">
            <v>64.661228680350746</v>
          </cell>
          <cell r="G11">
            <v>64.405257998829796</v>
          </cell>
          <cell r="H11">
            <v>67.18193629270371</v>
          </cell>
        </row>
        <row r="18">
          <cell r="F18">
            <v>3.2816316256354506E-4</v>
          </cell>
          <cell r="G18">
            <v>5.5882721251163348E-6</v>
          </cell>
          <cell r="H18">
            <v>1.6809361199672176E-4</v>
          </cell>
        </row>
        <row r="19">
          <cell r="F19">
            <v>15.115268948995809</v>
          </cell>
          <cell r="G19">
            <v>14.629794182655221</v>
          </cell>
          <cell r="H19">
            <v>18.469765200676164</v>
          </cell>
        </row>
        <row r="21">
          <cell r="F21">
            <v>10.89199356757843</v>
          </cell>
          <cell r="G21">
            <v>8.8863818346315107</v>
          </cell>
          <cell r="H21">
            <v>5.3999474334039892</v>
          </cell>
        </row>
        <row r="22">
          <cell r="F22">
            <v>2.2630319531449978</v>
          </cell>
          <cell r="G22">
            <v>1.9564091525966336</v>
          </cell>
          <cell r="H22">
            <v>2.1904871549351905</v>
          </cell>
        </row>
        <row r="23">
          <cell r="F23">
            <v>0.50533213970881163</v>
          </cell>
          <cell r="G23">
            <v>7.0932376921276337</v>
          </cell>
          <cell r="H23">
            <v>6.9919559840891869</v>
          </cell>
        </row>
        <row r="24">
          <cell r="F24">
            <v>4.924300868030218</v>
          </cell>
          <cell r="G24">
            <v>4.9647401677342504</v>
          </cell>
          <cell r="H24">
            <v>5.0482547812658431</v>
          </cell>
        </row>
        <row r="33">
          <cell r="F33">
            <v>14.391018206780908</v>
          </cell>
          <cell r="G33">
            <v>14.335123328661702</v>
          </cell>
          <cell r="H33">
            <v>14.227060153372332</v>
          </cell>
        </row>
        <row r="34">
          <cell r="F34">
            <v>3.2632572280889964</v>
          </cell>
          <cell r="G34">
            <v>1.5449600086724733</v>
          </cell>
          <cell r="H34">
            <v>3.9434832192468642E-6</v>
          </cell>
        </row>
        <row r="35">
          <cell r="F35">
            <v>4.4060484402915688E-4</v>
          </cell>
          <cell r="G35">
            <v>5.6588738318190595E-6</v>
          </cell>
          <cell r="H35">
            <v>0</v>
          </cell>
        </row>
        <row r="36">
          <cell r="F36">
            <v>0.93996966300131246</v>
          </cell>
          <cell r="G36">
            <v>1.0299645287830121</v>
          </cell>
          <cell r="H36">
            <v>0.37894481029020965</v>
          </cell>
        </row>
        <row r="37">
          <cell r="F37">
            <v>12.233340753659332</v>
          </cell>
          <cell r="G37">
            <v>2.0030094957695912</v>
          </cell>
          <cell r="H37">
            <v>1.41277560350044</v>
          </cell>
        </row>
        <row r="38">
          <cell r="F38">
            <v>1.4368494253089534</v>
          </cell>
          <cell r="G38">
            <v>1.4058389222960332</v>
          </cell>
          <cell r="H38">
            <v>0.10906428443219122</v>
          </cell>
        </row>
        <row r="39">
          <cell r="F39">
            <v>1.4257497002192556</v>
          </cell>
          <cell r="G39">
            <v>1.4257475367564416</v>
          </cell>
          <cell r="H39">
            <v>1.4257461648438061</v>
          </cell>
        </row>
        <row r="55">
          <cell r="F55">
            <v>10.335535508757168</v>
          </cell>
          <cell r="G55">
            <v>10.33553515661672</v>
          </cell>
          <cell r="H55">
            <v>10.335533695465246</v>
          </cell>
        </row>
        <row r="56">
          <cell r="F56">
            <v>7.097161527006274</v>
          </cell>
          <cell r="G56">
            <v>7.0982784524061033</v>
          </cell>
          <cell r="H56">
            <v>7.0982777959077517</v>
          </cell>
        </row>
        <row r="57">
          <cell r="F57">
            <v>3.3074994130794808</v>
          </cell>
          <cell r="G57">
            <v>2.0342925223203503</v>
          </cell>
          <cell r="H57">
            <v>0.30176766740435684</v>
          </cell>
        </row>
        <row r="58">
          <cell r="F58">
            <v>3.0756971893510334E-4</v>
          </cell>
          <cell r="G58">
            <v>3.9916281291193689E-6</v>
          </cell>
          <cell r="H58">
            <v>0</v>
          </cell>
        </row>
        <row r="59">
          <cell r="F59">
            <v>11.197291056857942</v>
          </cell>
          <cell r="G59">
            <v>2.8535370242591696</v>
          </cell>
          <cell r="H59">
            <v>1.2633294926370384</v>
          </cell>
        </row>
        <row r="60">
          <cell r="F60">
            <v>1.5164555312961604E-3</v>
          </cell>
          <cell r="G60">
            <v>5.7231952437339611E-4</v>
          </cell>
          <cell r="H60">
            <v>1.5175083601196397E-2</v>
          </cell>
        </row>
        <row r="61">
          <cell r="F61">
            <v>2.2068972682398415E-4</v>
          </cell>
          <cell r="G61">
            <v>3.7720836844535255E-6</v>
          </cell>
          <cell r="H61">
            <v>1.1430365615777078E-4</v>
          </cell>
        </row>
        <row r="62">
          <cell r="F62">
            <v>8.114390664400398</v>
          </cell>
          <cell r="G62">
            <v>7.698731145381827</v>
          </cell>
          <cell r="H62">
            <v>10.219907397126232</v>
          </cell>
        </row>
        <row r="63">
          <cell r="F63">
            <v>6.0837899583720363</v>
          </cell>
          <cell r="G63">
            <v>6.1158511122435089</v>
          </cell>
          <cell r="H63">
            <v>6.5191152402668671</v>
          </cell>
        </row>
        <row r="64">
          <cell r="F64">
            <v>6.2723743042188485</v>
          </cell>
          <cell r="G64">
            <v>6.0334839758065311</v>
          </cell>
          <cell r="H64">
            <v>6.775061583522489</v>
          </cell>
        </row>
        <row r="65">
          <cell r="F65">
            <v>0.54475133445525648</v>
          </cell>
          <cell r="G65">
            <v>0.54475096111753207</v>
          </cell>
          <cell r="H65">
            <v>0.54475417270421911</v>
          </cell>
        </row>
        <row r="66">
          <cell r="F66">
            <v>5.7509726036814124</v>
          </cell>
          <cell r="G66">
            <v>4.6920096086854377</v>
          </cell>
          <cell r="H66">
            <v>2.9375714037717691</v>
          </cell>
        </row>
        <row r="67">
          <cell r="F67">
            <v>2.2630319531449978</v>
          </cell>
          <cell r="G67">
            <v>1.9564091525966336</v>
          </cell>
          <cell r="H67">
            <v>2.1904871549351905</v>
          </cell>
        </row>
        <row r="68">
          <cell r="F68">
            <v>1.0137080368558902</v>
          </cell>
          <cell r="G68">
            <v>1.01370649863383</v>
          </cell>
          <cell r="H68">
            <v>1.0265372386875402</v>
          </cell>
        </row>
        <row r="69">
          <cell r="F69">
            <v>0.28708380974365438</v>
          </cell>
          <cell r="G69">
            <v>5.6498257550283091</v>
          </cell>
          <cell r="H69">
            <v>5.6497978780686742</v>
          </cell>
        </row>
        <row r="70">
          <cell r="F70">
            <v>14.854033040477459</v>
          </cell>
          <cell r="G70">
            <v>21.682209002421409</v>
          </cell>
          <cell r="H70">
            <v>23.848168067483126</v>
          </cell>
        </row>
        <row r="71">
          <cell r="F71">
            <v>77.123667926027863</v>
          </cell>
          <cell r="G71">
            <v>77.709200450753542</v>
          </cell>
          <cell r="H71">
            <v>78.725598175237849</v>
          </cell>
        </row>
      </sheetData>
      <sheetData sheetId="69">
        <row r="3">
          <cell r="F3">
            <v>52.515979328219636</v>
          </cell>
          <cell r="G3">
            <v>49.597589689537408</v>
          </cell>
          <cell r="H3">
            <v>43.303381347519164</v>
          </cell>
        </row>
        <row r="6">
          <cell r="F6">
            <v>7.8402091806388556</v>
          </cell>
          <cell r="G6">
            <v>10.03889360967975</v>
          </cell>
          <cell r="H6">
            <v>15.15388018629775</v>
          </cell>
        </row>
        <row r="11">
          <cell r="F11">
            <v>58.35190375419787</v>
          </cell>
          <cell r="G11">
            <v>56.583275928077335</v>
          </cell>
          <cell r="H11">
            <v>49.572123792557093</v>
          </cell>
        </row>
        <row r="12">
          <cell r="F12">
            <v>8.6148991086553348</v>
          </cell>
          <cell r="G12">
            <v>2.8497381426095658</v>
          </cell>
          <cell r="H12">
            <v>1.1234917907974931E-5</v>
          </cell>
        </row>
        <row r="13">
          <cell r="F13">
            <v>5.6543488546921289E-4</v>
          </cell>
          <cell r="G13">
            <v>3.9495439371198021E-4</v>
          </cell>
          <cell r="H13">
            <v>0.22128748051269725</v>
          </cell>
        </row>
        <row r="14">
          <cell r="F14">
            <v>9.1270275923760806</v>
          </cell>
          <cell r="G14">
            <v>4.984091874713795</v>
          </cell>
          <cell r="H14">
            <v>3.1060522486510345</v>
          </cell>
        </row>
        <row r="15">
          <cell r="F15">
            <v>0.50581444440221113</v>
          </cell>
          <cell r="G15">
            <v>9.5150924705748356E-5</v>
          </cell>
          <cell r="H15">
            <v>1.2254357799585788E-4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11.131926487954576</v>
          </cell>
          <cell r="G17">
            <v>12.207975057702672</v>
          </cell>
          <cell r="H17">
            <v>10.458129193484416</v>
          </cell>
        </row>
        <row r="19">
          <cell r="F19">
            <v>0.97753096960154828</v>
          </cell>
          <cell r="G19">
            <v>1.1797518218286733</v>
          </cell>
          <cell r="H19">
            <v>1.2936570882993319</v>
          </cell>
        </row>
        <row r="20">
          <cell r="F20">
            <v>6.5870277564892556E-4</v>
          </cell>
          <cell r="G20">
            <v>2.7491797494562094E-4</v>
          </cell>
          <cell r="H20">
            <v>7.712526287169426E-4</v>
          </cell>
        </row>
        <row r="21">
          <cell r="F21">
            <v>15.607794641347441</v>
          </cell>
          <cell r="G21">
            <v>20.387701898851819</v>
          </cell>
          <cell r="H21">
            <v>20.162878490869321</v>
          </cell>
        </row>
        <row r="28">
          <cell r="F28">
            <v>5.8359244259782344</v>
          </cell>
          <cell r="G28">
            <v>6.9856862385399277</v>
          </cell>
          <cell r="H28">
            <v>6.2687424450379323</v>
          </cell>
        </row>
        <row r="47">
          <cell r="F47">
            <v>18.281596573673315</v>
          </cell>
          <cell r="G47">
            <v>23.703513214583396</v>
          </cell>
          <cell r="H47">
            <v>23.081096279116398</v>
          </cell>
        </row>
        <row r="48">
          <cell r="F48">
            <v>7.0495698387781909</v>
          </cell>
          <cell r="G48">
            <v>2.3321101509495903</v>
          </cell>
          <cell r="H48">
            <v>0.1812322176358033</v>
          </cell>
        </row>
        <row r="49">
          <cell r="F49">
            <v>6.2637830157104535</v>
          </cell>
          <cell r="G49">
            <v>1.9352956837624677</v>
          </cell>
          <cell r="H49">
            <v>0.77623492283026274</v>
          </cell>
        </row>
        <row r="50">
          <cell r="F50">
            <v>5.0666083440719039</v>
          </cell>
          <cell r="G50">
            <v>6.0298611563301936</v>
          </cell>
          <cell r="H50">
            <v>5.3056589385400743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9.2289774534063742</v>
          </cell>
          <cell r="G52">
            <v>10.121080720502245</v>
          </cell>
          <cell r="H52">
            <v>8.6703625500866206</v>
          </cell>
        </row>
        <row r="53">
          <cell r="F53">
            <v>4.1245255432143573</v>
          </cell>
          <cell r="G53">
            <v>2.6453334841340554</v>
          </cell>
          <cell r="H53">
            <v>1.0268736639755891</v>
          </cell>
        </row>
        <row r="54">
          <cell r="F54">
            <v>0.12994536537116361</v>
          </cell>
          <cell r="G54">
            <v>8.3034316768547972E-2</v>
          </cell>
          <cell r="H54">
            <v>2.7989923074063096E-2</v>
          </cell>
        </row>
        <row r="55">
          <cell r="F55">
            <v>0.97753096960154828</v>
          </cell>
          <cell r="G55">
            <v>1.1797518218286733</v>
          </cell>
          <cell r="H55">
            <v>1.2936570882993319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7.8402091806388556</v>
          </cell>
          <cell r="G58">
            <v>10.03889360967975</v>
          </cell>
          <cell r="H58">
            <v>15.15388018629775</v>
          </cell>
        </row>
        <row r="59">
          <cell r="F59">
            <v>59.216348593857589</v>
          </cell>
          <cell r="G59">
            <v>58.272389521869513</v>
          </cell>
          <cell r="H59">
            <v>55.653306769359332</v>
          </cell>
        </row>
      </sheetData>
      <sheetData sheetId="70">
        <row r="3">
          <cell r="F3">
            <v>46.727731744314298</v>
          </cell>
          <cell r="G3">
            <v>43.743601991451399</v>
          </cell>
          <cell r="H3">
            <v>37.397070682028662</v>
          </cell>
        </row>
        <row r="10">
          <cell r="F10">
            <v>17.425201611817734</v>
          </cell>
          <cell r="G10">
            <v>22.107120770641181</v>
          </cell>
          <cell r="H10">
            <v>33.115436558863586</v>
          </cell>
        </row>
        <row r="15">
          <cell r="F15">
            <v>71.963971531286035</v>
          </cell>
          <cell r="G15">
            <v>70.716096006353339</v>
          </cell>
          <cell r="H15">
            <v>60.883440147700661</v>
          </cell>
        </row>
        <row r="16">
          <cell r="F16">
            <v>13.532471720974558</v>
          </cell>
          <cell r="G16">
            <v>3.868569182384952</v>
          </cell>
          <cell r="H16">
            <v>1.3576412278177813E-5</v>
          </cell>
        </row>
        <row r="17">
          <cell r="F17">
            <v>5.6625086186712034E-4</v>
          </cell>
          <cell r="G17">
            <v>3.9917924361760151E-4</v>
          </cell>
          <cell r="H17">
            <v>0.43240474928678063</v>
          </cell>
        </row>
        <row r="18">
          <cell r="F18">
            <v>19.988818740923708</v>
          </cell>
          <cell r="G18">
            <v>11.070945464430379</v>
          </cell>
          <cell r="H18">
            <v>6.903505705642174</v>
          </cell>
        </row>
        <row r="19">
          <cell r="F19">
            <v>0.65487958557598414</v>
          </cell>
          <cell r="G19">
            <v>6.8954819057184019E-5</v>
          </cell>
          <cell r="H19">
            <v>1.2805993732046606E-4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17.503850653200281</v>
          </cell>
          <cell r="G21">
            <v>19.0758847290987</v>
          </cell>
          <cell r="H21">
            <v>17.19884688318194</v>
          </cell>
        </row>
        <row r="22">
          <cell r="F22">
            <v>9.6872839009878433</v>
          </cell>
          <cell r="G22">
            <v>6.9626747617066282</v>
          </cell>
          <cell r="H22">
            <v>2.7919888961463002</v>
          </cell>
        </row>
        <row r="23">
          <cell r="F23">
            <v>1.8688018642251301</v>
          </cell>
          <cell r="G23">
            <v>2.2019619311130061</v>
          </cell>
          <cell r="H23">
            <v>2.4902791565321265</v>
          </cell>
        </row>
        <row r="24">
          <cell r="F24">
            <v>6.1214974310179807E-4</v>
          </cell>
          <cell r="G24">
            <v>2.4357271315789318E-4</v>
          </cell>
          <cell r="H24">
            <v>2.2979853227370383E-3</v>
          </cell>
        </row>
        <row r="25">
          <cell r="F25">
            <v>53.450856583387576</v>
          </cell>
          <cell r="G25">
            <v>63.028908757796991</v>
          </cell>
          <cell r="H25">
            <v>62.488873521469543</v>
          </cell>
        </row>
        <row r="26">
          <cell r="F26">
            <v>188.65211298116606</v>
          </cell>
          <cell r="G26">
            <v>176.92575253965981</v>
          </cell>
          <cell r="H26">
            <v>153.19177868163186</v>
          </cell>
        </row>
        <row r="102">
          <cell r="F102">
            <v>2.5255943362626789E-2</v>
          </cell>
          <cell r="G102">
            <v>1.998786763161672E-2</v>
          </cell>
          <cell r="H102">
            <v>1.1573710595610985E-2</v>
          </cell>
        </row>
        <row r="104">
          <cell r="F104">
            <v>57.081748507091831</v>
          </cell>
          <cell r="G104">
            <v>64.611906318378004</v>
          </cell>
          <cell r="H104">
            <v>59.559544266315406</v>
          </cell>
        </row>
        <row r="105">
          <cell r="F105">
            <v>9.744162282751299</v>
          </cell>
          <cell r="G105">
            <v>2.6209970716093407</v>
          </cell>
          <cell r="H105">
            <v>0.32055600604150436</v>
          </cell>
        </row>
        <row r="106">
          <cell r="F106">
            <v>11.394459525909038</v>
          </cell>
          <cell r="G106">
            <v>3.5867867915747991</v>
          </cell>
          <cell r="H106">
            <v>1.4402635881735826</v>
          </cell>
        </row>
        <row r="107">
          <cell r="F107">
            <v>7.8196148089575903</v>
          </cell>
          <cell r="G107">
            <v>8.7856644334540714</v>
          </cell>
          <cell r="H107">
            <v>7.449936920112501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11.683650472438854</v>
          </cell>
          <cell r="G110">
            <v>12.470973727603804</v>
          </cell>
          <cell r="H110">
            <v>10.746380844684957</v>
          </cell>
        </row>
        <row r="111">
          <cell r="F111">
            <v>5.7097175810437708</v>
          </cell>
          <cell r="G111">
            <v>4.0597719841604478</v>
          </cell>
          <cell r="H111">
            <v>1.6550605832160856</v>
          </cell>
        </row>
        <row r="112">
          <cell r="F112">
            <v>0.11431642089844013</v>
          </cell>
          <cell r="G112">
            <v>8.2699235877154512E-2</v>
          </cell>
          <cell r="H112">
            <v>2.9226218119994884E-2</v>
          </cell>
        </row>
        <row r="113">
          <cell r="F113">
            <v>4.8628450071158826E-2</v>
          </cell>
          <cell r="G113">
            <v>5.0016323834573523E-2</v>
          </cell>
          <cell r="H113">
            <v>4.9027416706553521E-2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121.04675560434237</v>
          </cell>
          <cell r="G116">
            <v>118.39592452476498</v>
          </cell>
          <cell r="H116">
            <v>114.3770061128298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25.228351983110631</v>
          </cell>
          <cell r="G224">
            <v>27.649941825845012</v>
          </cell>
          <cell r="H224">
            <v>28.468106974104565</v>
          </cell>
        </row>
        <row r="231">
          <cell r="F231">
            <v>1.9291977740103774</v>
          </cell>
          <cell r="G231">
            <v>1.7676039072023522</v>
          </cell>
          <cell r="H231">
            <v>1.4974500993563931</v>
          </cell>
        </row>
        <row r="233">
          <cell r="F233">
            <v>69.086486060745045</v>
          </cell>
          <cell r="G233">
            <v>79.648260015484937</v>
          </cell>
          <cell r="H233">
            <v>76.423380458189456</v>
          </cell>
        </row>
        <row r="234">
          <cell r="F234">
            <v>11.034146862110561</v>
          </cell>
          <cell r="G234">
            <v>3.1041369834208856</v>
          </cell>
          <cell r="H234">
            <v>0.35810028215507872</v>
          </cell>
        </row>
        <row r="235">
          <cell r="F235">
            <v>13.193565584409228</v>
          </cell>
          <cell r="G235">
            <v>4.3781898871576681</v>
          </cell>
          <cell r="H235">
            <v>1.7947724023435776</v>
          </cell>
        </row>
        <row r="236">
          <cell r="F236">
            <v>10.936230680529414</v>
          </cell>
          <cell r="G236">
            <v>12.667865675691166</v>
          </cell>
          <cell r="H236">
            <v>11.410911821921713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14.2309019081343</v>
          </cell>
          <cell r="G239">
            <v>15.442512971405868</v>
          </cell>
          <cell r="H239">
            <v>13.794269937540536</v>
          </cell>
        </row>
        <row r="240">
          <cell r="F240">
            <v>6.427801581838632</v>
          </cell>
          <cell r="G240">
            <v>4.6229152867457177</v>
          </cell>
          <cell r="H240">
            <v>1.9224719923082965</v>
          </cell>
        </row>
        <row r="241">
          <cell r="F241">
            <v>0.1427736596325524</v>
          </cell>
          <cell r="G241">
            <v>0.10529892174722268</v>
          </cell>
          <cell r="H241">
            <v>3.8040377723580043E-2</v>
          </cell>
        </row>
        <row r="242">
          <cell r="F242">
            <v>1.8688018642251301</v>
          </cell>
          <cell r="G242">
            <v>2.2019619311130061</v>
          </cell>
          <cell r="H242">
            <v>2.4902791565321265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17.425201611817734</v>
          </cell>
          <cell r="G244">
            <v>22.107120770641181</v>
          </cell>
          <cell r="H244">
            <v>33.115436558863586</v>
          </cell>
        </row>
        <row r="245">
          <cell r="F245">
            <v>146.27510758745296</v>
          </cell>
          <cell r="G245">
            <v>146.04586635061003</v>
          </cell>
          <cell r="H245">
            <v>142.84511308693436</v>
          </cell>
        </row>
      </sheetData>
      <sheetData sheetId="71">
        <row r="21">
          <cell r="F21">
            <v>29.755997477510149</v>
          </cell>
          <cell r="G21">
            <v>15.074999710462523</v>
          </cell>
          <cell r="H21">
            <v>0</v>
          </cell>
        </row>
        <row r="22">
          <cell r="F22">
            <v>41.414398740711839</v>
          </cell>
          <cell r="G22">
            <v>36.357511587936877</v>
          </cell>
          <cell r="H22">
            <v>0</v>
          </cell>
        </row>
        <row r="23">
          <cell r="F23">
            <v>1.35968495459174</v>
          </cell>
          <cell r="G23">
            <v>0.33569414906078987</v>
          </cell>
          <cell r="H23">
            <v>-3.5482257298991016E-6</v>
          </cell>
        </row>
        <row r="24">
          <cell r="F24">
            <v>0.14614697508403671</v>
          </cell>
          <cell r="G24">
            <v>0.16318688932323677</v>
          </cell>
          <cell r="H24">
            <v>5.0494777114436944E-2</v>
          </cell>
        </row>
        <row r="25">
          <cell r="F25">
            <v>2.1281823774300879</v>
          </cell>
          <cell r="G25">
            <v>4.2816981475362308</v>
          </cell>
          <cell r="H25">
            <v>0</v>
          </cell>
        </row>
        <row r="26">
          <cell r="F26">
            <v>1.7828965093345859</v>
          </cell>
          <cell r="G26">
            <v>1.1884952413154297</v>
          </cell>
          <cell r="H26">
            <v>6.7592877191983334</v>
          </cell>
        </row>
        <row r="27">
          <cell r="F27">
            <v>3.5986448203028563E-2</v>
          </cell>
          <cell r="G27">
            <v>8.461177402292096E-5</v>
          </cell>
          <cell r="H27">
            <v>1.7109487460293689E-4</v>
          </cell>
        </row>
        <row r="28">
          <cell r="F28">
            <v>1.1908066462975899</v>
          </cell>
          <cell r="G28">
            <v>1.78493924524043</v>
          </cell>
          <cell r="H28">
            <v>1.69077873593883</v>
          </cell>
        </row>
        <row r="32">
          <cell r="F32">
            <v>0.11066165265693383</v>
          </cell>
          <cell r="G32">
            <v>0.3580962913752111</v>
          </cell>
          <cell r="H32">
            <v>0.60956676601850635</v>
          </cell>
        </row>
      </sheetData>
      <sheetData sheetId="72">
        <row r="11">
          <cell r="F11">
            <v>69.104555220457996</v>
          </cell>
          <cell r="G11">
            <v>56.562916988547556</v>
          </cell>
          <cell r="H11">
            <v>24.839412905658691</v>
          </cell>
        </row>
        <row r="12">
          <cell r="F12">
            <v>17.276139612331175</v>
          </cell>
          <cell r="G12">
            <v>29.138470693082695</v>
          </cell>
          <cell r="H12">
            <v>57.958628612816938</v>
          </cell>
        </row>
        <row r="13">
          <cell r="F13">
            <v>1.3867418653459401E-4</v>
          </cell>
          <cell r="G13">
            <v>2.5428576097457248E-2</v>
          </cell>
          <cell r="H13">
            <v>0.35935778252583128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2.4637515888944717</v>
          </cell>
          <cell r="G53">
            <v>2.4029200420273322</v>
          </cell>
          <cell r="H53">
            <v>2.4269278525524993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4.0669012930635384</v>
          </cell>
          <cell r="G55">
            <v>3.3073191153041939</v>
          </cell>
          <cell r="H55">
            <v>4.1176224984537591</v>
          </cell>
        </row>
        <row r="56">
          <cell r="F56">
            <v>1.1624627808901651</v>
          </cell>
          <cell r="G56">
            <v>0.49579580217046099</v>
          </cell>
          <cell r="H56">
            <v>0.33327037091397715</v>
          </cell>
        </row>
        <row r="57">
          <cell r="F57">
            <v>2.5125811984728204</v>
          </cell>
          <cell r="G57">
            <v>1.166482989536336</v>
          </cell>
          <cell r="H57">
            <v>0.69954329252173597</v>
          </cell>
        </row>
        <row r="58">
          <cell r="F58">
            <v>5.4184335179305751</v>
          </cell>
          <cell r="G58">
            <v>3.8679233328208809</v>
          </cell>
          <cell r="H58">
            <v>2.8575622624631299E-3</v>
          </cell>
        </row>
        <row r="59">
          <cell r="F59">
            <v>0</v>
          </cell>
          <cell r="G59">
            <v>0</v>
          </cell>
          <cell r="H59">
            <v>-5.8093232069708174</v>
          </cell>
        </row>
        <row r="60">
          <cell r="F60">
            <v>0</v>
          </cell>
          <cell r="G60">
            <v>0</v>
          </cell>
          <cell r="H60">
            <v>-1.7708778307555233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-9.0975964114346733E-6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10.525074990549346</v>
          </cell>
          <cell r="K99">
            <v>7.6978797483983179</v>
          </cell>
          <cell r="L99">
            <v>2.0425579803670293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418.85745302504023</v>
      </c>
      <c r="K2" s="3">
        <f t="shared" si="0"/>
        <v>453.88905778823181</v>
      </c>
      <c r="L2" s="3">
        <f t="shared" ref="L2" si="1">L3+L8+L11+L12+L16+L17+L18+L19</f>
        <v>487.1756270704945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47.710007881211624</v>
      </c>
      <c r="K3" s="1">
        <f t="shared" si="4"/>
        <v>47.710007014283569</v>
      </c>
      <c r="L3" s="1">
        <f t="shared" ref="L3" si="5">SUM(L4:L7)</f>
        <v>47.710008200197308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SUMPRODUCT(("RNWWOD1"=[2]OUT_PrimaryEnergyCons!$A$1:$A$1000)*1,[2]OUT_PrimaryEnergyCons!H$1:H$1000)</f>
        <v>15.849138837977588</v>
      </c>
      <c r="K4" s="1" cm="1">
        <f t="array" ref="K4">SUMPRODUCT(("RNWWOD1"=[2]OUT_PrimaryEnergyCons!$A$1:$A$1000)*1,[2]OUT_PrimaryEnergyCons!I$1:I$1000)</f>
        <v>16.266396404803849</v>
      </c>
      <c r="L4" s="1" cm="1">
        <f t="array" ref="L4">SUMPRODUCT(("RNWWOD1"=[2]OUT_PrimaryEnergyCons!$A$1:$A$1000)*1,[2]OUT_PrimaryEnergyCons!J$1:J$1000)</f>
        <v>16.956995174839527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SUMPRODUCT(("RNWWOD2"=[2]OUT_PrimaryEnergyCons!$A$1:$A$1000)*1,[2]OUT_PrimaryEnergyCons!H$1:H$1000)</f>
        <v>7.6690265416233467</v>
      </c>
      <c r="K5" s="1" cm="1">
        <f t="array" ref="K5">SUMPRODUCT(("RNWWOD2"=[2]OUT_PrimaryEnergyCons!$A$1:$A$1000)*1,[2]OUT_PrimaryEnergyCons!I$1:I$1000)</f>
        <v>7.6690271326706316</v>
      </c>
      <c r="L5" s="1" cm="1">
        <f t="array" ref="L5">SUMPRODUCT(("RNWWOD2"=[2]OUT_PrimaryEnergyCons!$A$1:$A$1000)*1,[2]OUT_PrimaryEnergyCons!J$1:J$1000)</f>
        <v>7.6690281520076446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SUMPRODUCT(("RNWWOD3"=[2]OUT_PrimaryEnergyCons!$A$1:$A$1000)*1,[2]OUT_PrimaryEnergyCons!H$1:H$1000)</f>
        <v>4.8053852202669471</v>
      </c>
      <c r="K6" s="1" cm="1">
        <f t="array" ref="K6">SUMPRODUCT(("RNWWOD3"=[2]OUT_PrimaryEnergyCons!$A$1:$A$1000)*1,[2]OUT_PrimaryEnergyCons!I$1:I$1000)</f>
        <v>4.8053860167483036</v>
      </c>
      <c r="L6" s="1" cm="1">
        <f t="array" ref="L6">SUMPRODUCT(("RNWWOD3"=[2]OUT_PrimaryEnergyCons!$A$1:$A$1000)*1,[2]OUT_PrimaryEnergyCons!J$1:J$1000)</f>
        <v>4.8053872639745725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SUMPRODUCT(("RNWWOD4"=[2]OUT_PrimaryEnergyCons!$A$1:$A$1000)*1+("RNWWOD5"=[2]OUT_PrimaryEnergyCons!$A$1:$A$1000)*1,[2]OUT_PrimaryEnergyCons!H$1:H$1000)</f>
        <v>19.386457281343745</v>
      </c>
      <c r="K7" s="1" cm="1">
        <f t="array" ref="K7">SUMPRODUCT(("RNWWOD4"=[2]OUT_PrimaryEnergyCons!$A$1:$A$1000)*1+("RNWWOD5"=[2]OUT_PrimaryEnergyCons!$A$1:$A$1000)*1,[2]OUT_PrimaryEnergyCons!I$1:I$1000)</f>
        <v>18.969197460060784</v>
      </c>
      <c r="L7" s="1" cm="1">
        <f t="array" ref="L7">SUMPRODUCT(("RNWWOD4"=[2]OUT_PrimaryEnergyCons!$A$1:$A$1000)*1+("RNWWOD5"=[2]OUT_PrimaryEnergyCons!$A$1:$A$1000)*1,[2]OUT_PrimaryEnergyCons!J$1:J$1000)</f>
        <v>18.278597609375563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72.981741432203989</v>
      </c>
      <c r="K8" s="1">
        <f t="shared" si="9"/>
        <v>74.18014911394647</v>
      </c>
      <c r="L8" s="1">
        <f t="shared" ref="L8" si="10">SUM(L9:L10)</f>
        <v>77.671574152007111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SUMPRODUCT(("RNNWWST1"=[2]OUT_PrimaryEnergyCons!$A$1:$A$1000)*1,[2]OUT_PrimaryEnergyCons!H$1:H$1000)</f>
        <v>35.286969489574339</v>
      </c>
      <c r="K9" s="1" cm="1">
        <f t="array" ref="K9">SUMPRODUCT(("RNNWWST1"=[2]OUT_PrimaryEnergyCons!$A$1:$A$1000)*1,[2]OUT_PrimaryEnergyCons!I$1:I$1000)</f>
        <v>35.15944883831785</v>
      </c>
      <c r="L9" s="1" cm="1">
        <f t="array" ref="L9">SUMPRODUCT(("RNNWWST1"=[2]OUT_PrimaryEnergyCons!$A$1:$A$1000)*1,[2]OUT_PrimaryEnergyCons!J$1:J$1000)</f>
        <v>35.603183359034006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SUMPRODUCT(("RNWWST1"=[2]OUT_PrimaryEnergyCons!$A$1:$A$1000)*1,[2]OUT_PrimaryEnergyCons!H$1:H$1000)</f>
        <v>37.694771942629657</v>
      </c>
      <c r="K10" s="1" cm="1">
        <f t="array" ref="K10">SUMPRODUCT(("RNWWST1"=[2]OUT_PrimaryEnergyCons!$A$1:$A$1000)*1,[2]OUT_PrimaryEnergyCons!I$1:I$1000)</f>
        <v>39.02070027562862</v>
      </c>
      <c r="L10" s="1" cm="1">
        <f t="array" ref="L10">SUMPRODUCT(("RNWWST1"=[2]OUT_PrimaryEnergyCons!$A$1:$A$1000)*1,[2]OUT_PrimaryEnergyCons!J$1:J$1000)</f>
        <v>42.068390792973112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SUMPRODUCT(("mnr"=[2]OUT_PrimaryEnergyCons!$C$1:$C$1000)*1,[2]OUT_PrimaryEnergyCons!H$1:H$1000)</f>
        <v>12.540438421620154</v>
      </c>
      <c r="K11" s="1" cm="1">
        <f t="array" ref="K11">SUMPRODUCT(("mnr"=[2]OUT_PrimaryEnergyCons!$C$1:$C$1000)*1,[2]OUT_PrimaryEnergyCons!I$1:I$1000)</f>
        <v>17.062376775203571</v>
      </c>
      <c r="L11" s="1" cm="1">
        <f t="array" ref="L11">SUMPRODUCT(("mnr"=[2]OUT_PrimaryEnergyCons!$C$1:$C$1000)*1,[2]OUT_PrimaryEnergyCons!J$1:J$1000)</f>
        <v>19.471158614175462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151.94968059235796</v>
      </c>
      <c r="K12" s="1">
        <f t="shared" si="11"/>
        <v>152.15147341070684</v>
      </c>
      <c r="L12" s="1">
        <f t="shared" ref="L12" si="12">SUM(L13:L15)</f>
        <v>152.52842659144432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72.133327636568779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72.137146697699663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69.335162994495874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63.853081835385076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63.849268259655723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66.651249292662499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15.963271120404102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16.165058453351453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16.542014304285935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SUMPRODUCT(ISNUMBER(SEARCH("SOL",[2]OUT_PrimaryEnergyCons!$C$1:$C$1000))*1,[2]OUT_PrimaryEnergyCons!H$1:H$1000)</f>
        <v>56.056720102803325</v>
      </c>
      <c r="K16" s="1" cm="1">
        <f t="array" ref="K16">SUMPRODUCT(ISNUMBER(SEARCH("SOL",[2]OUT_PrimaryEnergyCons!$C$1:$C$1000))*1,[2]OUT_PrimaryEnergyCons!I$1:I$1000)</f>
        <v>69.303068770737937</v>
      </c>
      <c r="L16" s="1" cm="1">
        <f t="array" ref="L16">SUMPRODUCT(ISNUMBER(SEARCH("SOL",[2]OUT_PrimaryEnergyCons!$C$1:$C$1000))*1,[2]OUT_PrimaryEnergyCons!J$1:J$1000)</f>
        <v>95.974439464300403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SUMPRODUCT(ISNUMBER(SEARCH("wnd",[2]OUT_PrimaryEnergyCons!$C$1:$C$1000))*1,[2]OUT_PrimaryEnergyCons!H$1:H$1000)</f>
        <v>3.6359125020779479</v>
      </c>
      <c r="K17" s="1" cm="1">
        <f t="array" ref="K17">SUMPRODUCT(ISNUMBER(SEARCH("wnd",[2]OUT_PrimaryEnergyCons!$C$1:$C$1000))*1,[2]OUT_PrimaryEnergyCons!I$1:I$1000)</f>
        <v>5.1006318789703533</v>
      </c>
      <c r="L17" s="1" cm="1">
        <f t="array" ref="L17">SUMPRODUCT(ISNUMBER(SEARCH("wnd",[2]OUT_PrimaryEnergyCons!$C$1:$C$1000))*1,[2]OUT_PrimaryEnergyCons!J$1:J$1000)</f>
        <v>6.1200132547651593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[2]Overview!F$9-J19</f>
        <v>73.982952092765231</v>
      </c>
      <c r="K18" s="1">
        <f>[2]Overview!G$9-K19</f>
        <v>88.381350824383063</v>
      </c>
      <c r="L18" s="1">
        <f>[2]Overview!H$9-L19</f>
        <v>87.7000067936047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</v>
      </c>
      <c r="L19" s="1">
        <f>+[2]Overview!H$28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392.64224577098662</v>
      </c>
      <c r="K20" s="3">
        <f t="shared" si="13"/>
        <v>270.47463806698499</v>
      </c>
      <c r="L20" s="3">
        <f t="shared" ref="L20" si="14">SUM(L21:L22,L41,L50:L51,L56)</f>
        <v>139.01211388171984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SUMPRODUCT(("COA"=[2]OUT_PrimaryEnergyCons!$C$4:$C$10000)*1,[2]OUT_PrimaryEnergyCons!H$4:H$10000)</f>
        <v>3.2816316256354506E-4</v>
      </c>
      <c r="K21" s="1" cm="1">
        <f t="array" ref="K21">SUMPRODUCT(("COA"=[2]OUT_PrimaryEnergyCons!$C$4:$C$10000)*1,[2]OUT_PrimaryEnergyCons!I$4:I$10000)</f>
        <v>5.6609530104344958E-6</v>
      </c>
      <c r="L21" s="1" cm="1">
        <f t="array" ref="L21">SUMPRODUCT(("COA"=[2]OUT_PrimaryEnergyCons!$C$4:$C$10000)*1,[2]OUT_PrimaryEnergyCons!J$4:J$10000)</f>
        <v>1.6809361199672176E-4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123.27965155805751</v>
      </c>
      <c r="K22" s="1">
        <f t="shared" si="15"/>
        <v>98.495832958603529</v>
      </c>
      <c r="L22" s="1">
        <f t="shared" ref="L22" si="16">L23+L29</f>
        <v>68.247134697559687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99.776762210894319</v>
      </c>
      <c r="K23" s="1">
        <f t="shared" si="20"/>
        <v>60.945593095952312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SUMPRODUCT(("LFO"=[2]OUT_PrimaryEnergyCons!$C$4:$C$10000)*1,[2]OUT_PrimaryEnergyCons!H$4:H$10000)</f>
        <v>26.164424246746503</v>
      </c>
      <c r="K24" s="1" cm="1">
        <f t="array" ref="K24">SUMPRODUCT(("LFO"=[2]OUT_PrimaryEnergyCons!$C$4:$C$10000)*1,[2]OUT_PrimaryEnergyCons!I$4:I$10000)</f>
        <v>8.40524175790196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SUMPRODUCT(("HFO"=[2]OUT_PrimaryEnergyCons!$C$4:$C$10000)*1,[2]OUT_PrimaryEnergyCons!H$4:H$10000)</f>
        <v>4.4808844323133583E-4</v>
      </c>
      <c r="K25" s="1" cm="1">
        <f t="array" ref="K25">SUMPRODUCT(("HFO"=[2]OUT_PrimaryEnergyCons!$C$4:$C$10000)*1,[2]OUT_PrimaryEnergyCons!I$4:I$10000)</f>
        <v>5.7955359337383286E-6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SUMPRODUCT(("DSL"=[2]OUT_PrimaryEnergyCons!$C$4:$C$10000)*1,[2]OUT_PrimaryEnergyCons!H$4:H$10000)</f>
        <v>42.032106987007346</v>
      </c>
      <c r="K26" s="1" cm="1">
        <f t="array" ref="K26">SUMPRODUCT(("DSL"=[2]OUT_PrimaryEnergyCons!$C$4:$C$10000)*1,[2]OUT_PrimaryEnergyCons!I$4:I$10000)</f>
        <v>36.899794837375303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SUMPRODUCT(("GSL"=[2]OUT_PrimaryEnergyCons!$C$4:$C$10000)*1,[2]OUT_PrimaryEnergyCons!H$4:H$10000)</f>
        <v>30.199817153214806</v>
      </c>
      <c r="K27" s="1" cm="1">
        <f t="array" ref="K27">SUMPRODUCT(("GSL"=[2]OUT_PrimaryEnergyCons!$C$4:$C$10000)*1,[2]OUT_PrimaryEnergyCons!I$4:I$10000)</f>
        <v>15.299848238358303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SUMPRODUCT(("KER"=[2]OUT_PrimaryEnergyCons!$C$4:$C$10000)*1,[2]OUT_PrimaryEnergyCons!H$4:H$10000)</f>
        <v>1.3799657354824304</v>
      </c>
      <c r="K28" s="1" cm="1">
        <f t="array" ref="K28">SUMPRODUCT(("KER"=[2]OUT_PrimaryEnergyCons!$C$4:$C$10000)*1,[2]OUT_PrimaryEnergyCons!I$4:I$10000)</f>
        <v>0.34070246678081367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23.502889347163183</v>
      </c>
      <c r="K29" s="1">
        <f t="shared" si="25"/>
        <v>37.550239862651225</v>
      </c>
      <c r="L29" s="1">
        <f t="shared" ref="L29" si="26">SUM(L30:L32)</f>
        <v>68.247134697559687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SUMPRODUCT(ISNUMBER(SEARCH("IMPBDS",[2]OUT_SyntheticFuels!$C$4:$C$1000))*1,("Var_Fout"=[2]OUT_SyntheticFuels!$B$4:$B$1000)*1,[2]OUT_SyntheticFuels!I$4:I$1000)-J32</f>
        <v>2.8760182291624865</v>
      </c>
      <c r="K30" s="1" cm="1">
        <f t="array" ref="K30">SUMPRODUCT(ISNUMBER(SEARCH("IMPBDS",[2]OUT_SyntheticFuels!$C$4:$C$1000))*1,("Var_Fout"=[2]OUT_SyntheticFuels!$B$4:$B$1000)*1,[2]OUT_SyntheticFuels!J$4:J$1000)-K32</f>
        <v>2.2812688551428906</v>
      </c>
      <c r="L30" s="1" cm="1">
        <f t="array" ref="L30">SUMPRODUCT(ISNUMBER(SEARCH("IMPBDS",[2]OUT_SyntheticFuels!$C$4:$C$1000))*1,("Var_Fout"=[2]OUT_SyntheticFuels!$B$4:$B$1000)*1,[2]OUT_SyntheticFuels!K$4:K$1000)-L32</f>
        <v>8.5977273488039216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SUMPRODUCT(ISNUMBER(SEARCH("IMPeth",[2]OUT_SyntheticFuels!$C$4:$C$1000))*1,("Var_Fout"=[2]OUT_SyntheticFuels!$B$4:$B$1000)*1,[2]OUT_SyntheticFuels!I$4:I$1000)</f>
        <v>2.1599248593719307</v>
      </c>
      <c r="K31" s="1" cm="1">
        <f t="array" ref="K31">SUMPRODUCT(ISNUMBER(SEARCH("IMPeth",[2]OUT_SyntheticFuels!$C$4:$C$1000))*1,("Var_Fout"=[2]OUT_SyntheticFuels!$B$4:$B$1000)*1,[2]OUT_SyntheticFuels!J$4:J$1000)</f>
        <v>4.3455610691852078</v>
      </c>
      <c r="L31" s="1" cm="1">
        <f t="array" ref="L31">SUMPRODUCT(ISNUMBER(SEARCH("IMPeth",[2]OUT_SyntheticFuels!$C$4:$C$1000))*1,("Var_Fout"=[2]OUT_SyntheticFuels!$B$4:$B$1000)*1,[2]OUT_SyntheticFuels!K$4:K$1000)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SUM([2]Transport_Aviation_Intl!F$12,[2]Transport!F$28)</f>
        <v>18.466946258628766</v>
      </c>
      <c r="K32" s="1">
        <f>SUM([2]Transport_Aviation_Intl!G$12,[2]Transport!G$28)</f>
        <v>30.923409938323125</v>
      </c>
      <c r="L32" s="1">
        <f>SUM([2]Transport_Aviation_Intl!H$12,[2]Transport!H$28)</f>
        <v>59.649407348755766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10.28265067110434</v>
      </c>
      <c r="K33" s="1">
        <f>SUM(K34:K36)</f>
        <v>25.093776182956866</v>
      </c>
      <c r="L33" s="1">
        <f>SUM(L34:L36)</f>
        <v>34.773566593762318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2.8760182291624865</v>
      </c>
      <c r="K34" s="1">
        <f>IF(K30-MAX(F30:J30)&lt;0,K30,MAX(F30:J30))</f>
        <v>2.2812688551428906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2.1599248593719307</v>
      </c>
      <c r="K35" s="1">
        <f>IF(K31-MAX(F31:J31)&lt;0,K31,MAX(F31:J31))</f>
        <v>4.3455610691852078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18.466946258628766</v>
      </c>
      <c r="L36" s="1">
        <f>IF(L32-MAX(H32:K32)&lt;0,L32,MAX(H32:K32))</f>
        <v>30.923409938323125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13.220238676058843</v>
      </c>
      <c r="K37" s="1">
        <f t="shared" si="29"/>
        <v>12.456463679694359</v>
      </c>
      <c r="L37" s="1">
        <f t="shared" ref="L37" si="30">SUM(L38:L40)</f>
        <v>33.473568103797369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4.7475706933647306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13.220238676058843</v>
      </c>
      <c r="K40" s="1">
        <f t="shared" si="31"/>
        <v>12.456463679694359</v>
      </c>
      <c r="L40" s="1">
        <f t="shared" ref="L40" si="34">L32-L36</f>
        <v>28.72599741043264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55.882320460019123</v>
      </c>
      <c r="K41" s="1">
        <f t="shared" si="36"/>
        <v>27.361213197454397</v>
      </c>
      <c r="L41" s="1">
        <f t="shared" ref="L41" si="37">L42+L45</f>
        <v>41.377546483244672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51.8698552164999</v>
      </c>
      <c r="K42" s="1">
        <f t="shared" si="38"/>
        <v>25.225551655251063</v>
      </c>
      <c r="L42" s="1">
        <f t="shared" ref="L42" si="39">L43+L44</f>
        <v>39.24208333801257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SUMPRODUCT(("NGA"=[2]OUT_PrimaryEnergyCons!$C$4:$C$10000)*1,[2]OUT_PrimaryEnergyCons!H$4:H$10000)</f>
        <v>51.867783075700828</v>
      </c>
      <c r="K43" s="1" cm="1">
        <f t="array" ref="K43">SUMPRODUCT(("NGA"=[2]OUT_PrimaryEnergyCons!$C$4:$C$10000)*1,[2]OUT_PrimaryEnergyCons!I$4:I$10000)</f>
        <v>25.22517261170367</v>
      </c>
      <c r="L43" s="1" cm="1">
        <f t="array" ref="L43">SUMPRODUCT(("NGA"=[2]OUT_PrimaryEnergyCons!$C$4:$C$10000)*1,[2]OUT_PrimaryEnergyCons!J$4:J$10000)</f>
        <v>39.241819453005206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SUMPRODUCT(("LNGA"=[2]OUT_PrimaryEnergyCons!$C$4:$C$10000)*1,[2]OUT_PrimaryEnergyCons!H$4:H$10000)</f>
        <v>2.0721407990711201E-3</v>
      </c>
      <c r="K44" s="1" cm="1">
        <f t="array" ref="K44">SUMPRODUCT(("LNGA"=[2]OUT_PrimaryEnergyCons!$C$4:$C$10000)*1,[2]OUT_PrimaryEnergyCons!I$4:I$10000)</f>
        <v>3.7904354739208139E-4</v>
      </c>
      <c r="L44" s="1" cm="1">
        <f t="array" ref="L44">SUMPRODUCT(("LNGA"=[2]OUT_PrimaryEnergyCons!$C$4:$C$10000)*1,[2]OUT_PrimaryEnergyCons!J$4:J$10000)</f>
        <v>2.6388500736200624E-4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SUMPRODUCT(("BIO"=[2]OUT_PrimaryEnergyCons!$C$4:$C$10000)*1+("LBIO"=[2]OUT_PrimaryEnergyCons!$C$4:$C$10000)*1,[2]OUT_PrimaryEnergyCons!H$4:H$10000)</f>
        <v>4.0124652435192232</v>
      </c>
      <c r="K45" s="1" cm="1">
        <f t="array" ref="K45">SUMPRODUCT(("BIO"=[2]OUT_PrimaryEnergyCons!$C$4:$C$10000)*1+("LBIO"=[2]OUT_PrimaryEnergyCons!$C$4:$C$10000)*1,[2]OUT_PrimaryEnergyCons!I$4:I$10000)</f>
        <v>2.1356615422033354</v>
      </c>
      <c r="L45" s="1" cm="1">
        <f t="array" ref="L45">SUMPRODUCT(("BIO"=[2]OUT_PrimaryEnergyCons!$C$4:$C$10000)*1+("LBIO"=[2]OUT_PrimaryEnergyCons!$C$4:$C$10000)*1,[2]OUT_PrimaryEnergyCons!J$4:J$10000)</f>
        <v>2.1354631452321011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3.2222119982141058</v>
      </c>
      <c r="K46" s="1">
        <f t="shared" si="41"/>
        <v>2.1356615422033354</v>
      </c>
      <c r="L46" s="1">
        <f t="shared" si="41"/>
        <v>2.1354631452321011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3.2222119982141058</v>
      </c>
      <c r="K47" s="1">
        <f>IF(K45-MAX(G45:J45)&lt;0,K45,MAX(G45:J45))</f>
        <v>2.1356615422033354</v>
      </c>
      <c r="L47" s="1">
        <f>IF(L45-MAX(H45:K45)&lt;0,L45,MAX(H45:K45))</f>
        <v>2.1354631452321011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0.79025324530511742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0.79025324530511742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SUMPRODUCT(("urn"=[2]OUT_PrimaryEnergyCons!$C$4:$C$10000)*1,[2]OUT_PrimaryEnergyCons!H$4:H$10000)</f>
        <v>167.60369274845081</v>
      </c>
      <c r="K50" s="1" cm="1">
        <f t="array" ref="K50">SUMPRODUCT(("urn"=[2]OUT_PrimaryEnergyCons!$C$4:$C$10000)*1,[2]OUT_PrimaryEnergyCons!I$4:I$10000)</f>
        <v>98.945500114542966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45.876252841296576</v>
      </c>
      <c r="K51" s="1">
        <f t="shared" si="46"/>
        <v>45.672086135431087</v>
      </c>
      <c r="L51" s="1">
        <f t="shared" ref="L51" si="47">SUM(L52:L55)</f>
        <v>29.3872646073035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3.6198738175047827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5.4842874424392942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4.8573573429950194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15.390525664623846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10.865991672769638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9.7106799514707429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26.865636767650713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29.321605699591355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14.819072801740466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2.1659151723237133E-4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2.0132063079020976E-4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1.5451109726978375E-4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45.875493649690739</v>
      </c>
      <c r="K57" s="3">
        <f t="shared" si="51"/>
        <v>20.814387672293194</v>
      </c>
      <c r="L57" s="3">
        <f t="shared" si="51"/>
        <v>16.632200045909634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45.875493649690739</v>
      </c>
      <c r="K58" s="1">
        <f t="shared" si="52"/>
        <v>20.814387672293194</v>
      </c>
      <c r="L58" s="1">
        <f t="shared" ref="L58" si="53">SUM(L59:L62)</f>
        <v>16.632200045909634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2.1135570306074725E-4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1.8449903852471803E-4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1.1719895046706666E-4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9.3378292043590412E-4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1.3030207651874392E-3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8.9546589952470832E-4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1.1134382229149717E-3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1.1477358192465018E-3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3.7986757728070012E-4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45.873235072844331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20.811752416670235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16.630807513482363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275.19752496199237</v>
      </c>
      <c r="K63" s="3">
        <f t="shared" si="58"/>
        <v>268.83428083560216</v>
      </c>
      <c r="L63" s="3">
        <f t="shared" ref="L63" si="59">SUM(L64,L66,L74,L82,L130,L151,L159,L161,L169,L173,L167)</f>
        <v>282.4312856225223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55.379442447768866</v>
      </c>
      <c r="K64" s="1">
        <f t="shared" si="60"/>
        <v>32.820800234807884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'[2]Electricity and CHPs'!F14</f>
        <v>55.379442447768866</v>
      </c>
      <c r="K65" s="1">
        <f>'[2]Electricity and CHPs'!G14</f>
        <v>32.820800234807884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148.75702780619196</v>
      </c>
      <c r="K66" s="1">
        <f t="shared" si="64"/>
        <v>148.9184631621184</v>
      </c>
      <c r="L66" s="1">
        <f t="shared" ref="L66" si="65">SUM(L67:L69)</f>
        <v>149.22002483422705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'[2]Electricity and CHPs'!F15</f>
        <v>72.133327636568779</v>
      </c>
      <c r="K67" s="1">
        <f>'[2]Electricity and CHPs'!G15</f>
        <v>72.137146697699663</v>
      </c>
      <c r="L67" s="1">
        <f>'[2]Electricity and CHPs'!H15</f>
        <v>69.335162994495874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'[2]Electricity and CHPs'!F16</f>
        <v>63.853081835385076</v>
      </c>
      <c r="K68" s="1">
        <f>'[2]Electricity and CHPs'!G16</f>
        <v>63.849268259655723</v>
      </c>
      <c r="L68" s="1">
        <f>'[2]Electricity and CHPs'!H16</f>
        <v>66.651249292662499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'[2]Electricity and CHPs'!F17</f>
        <v>12.770618334238087</v>
      </c>
      <c r="K69" s="1">
        <f>'[2]Electricity and CHPs'!G17</f>
        <v>12.932048204763026</v>
      </c>
      <c r="L69" s="1">
        <f>'[2]Electricity and CHPs'!H17</f>
        <v>13.233612547068677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0.10688870395816025</v>
      </c>
      <c r="K70" s="1">
        <f t="shared" ref="K70:L70" si="71">SUM(K71:K73)</f>
        <v>1.1531911407777382E-4</v>
      </c>
      <c r="L70" s="1">
        <f t="shared" si="71"/>
        <v>0.17155587603147451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'[2]Electricity and CHPs'!F18</f>
        <v>4.8635354855294035E-4</v>
      </c>
      <c r="K71" s="1">
        <f>'[2]Electricity and CHPs'!G18</f>
        <v>3.4033900799890495E-5</v>
      </c>
      <c r="L71" s="1">
        <f>'[2]Electricity and CHPs'!H18</f>
        <v>7.1000614961641849E-5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'[2]Electricity and CHPs'!F28</f>
        <v>2.1507373741972108E-4</v>
      </c>
      <c r="K72" s="1">
        <f>'[2]Electricity and CHPs'!G28</f>
        <v>1.0709333653251075E-5</v>
      </c>
      <c r="L72" s="1">
        <f>'[2]Electricity and CHPs'!H28</f>
        <v>1.5689250021113278E-5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'[2]Electricity and CHPs'!F41</f>
        <v>0.10618727667218758</v>
      </c>
      <c r="K73" s="1">
        <f>'[2]Electricity and CHPs'!G41</f>
        <v>7.0575879624632255E-5</v>
      </c>
      <c r="L73" s="1">
        <f>'[2]Electricity and CHPs'!H41</f>
        <v>0.17146918616649176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0.10688870395816025</v>
      </c>
      <c r="K74" s="1">
        <f t="shared" si="75"/>
        <v>1.1531911407777382E-4</v>
      </c>
      <c r="L74" s="1">
        <f t="shared" ref="L74" si="76">SUM(L75:L77)</f>
        <v>0.17155587603147451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4.8635354855294035E-4</v>
      </c>
      <c r="K75" s="1">
        <f t="shared" si="77"/>
        <v>3.4033900799890495E-5</v>
      </c>
      <c r="L75" s="1">
        <f t="shared" ref="L75" si="78">L71</f>
        <v>7.1000614961641849E-5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'[2]Electricity and CHPs'!F28</f>
        <v>2.1507373741972108E-4</v>
      </c>
      <c r="K76" s="1">
        <f>'[2]Electricity and CHPs'!G28</f>
        <v>1.0709333653251075E-5</v>
      </c>
      <c r="L76" s="1">
        <f>'[2]Electricity and CHPs'!H28</f>
        <v>1.5689250021113278E-5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'[2]Electricity and CHPs'!F41</f>
        <v>0.10618727667218758</v>
      </c>
      <c r="K77" s="1">
        <f>'[2]Electricity and CHPs'!G41</f>
        <v>7.0575879624632255E-5</v>
      </c>
      <c r="L77" s="1">
        <f>'[2]Electricity and CHPs'!H41</f>
        <v>0.17146918616649176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3.253977717408433</v>
      </c>
      <c r="K82" s="1">
        <f t="shared" si="82"/>
        <v>2.9319081549138244</v>
      </c>
      <c r="L82" s="1">
        <f t="shared" ref="L82" si="83">SUM(L83:L97)</f>
        <v>18.756293822183608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1.4812798688468534E-4</v>
      </c>
      <c r="L83" s="1">
        <f>'[2]Electricity and CHPs'!H21</f>
        <v>3.0736773464784012E-2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'[2]Electricity and CHPs'!F22</f>
        <v>1.2355265895065619E-3</v>
      </c>
      <c r="K84" s="1">
        <f>'[2]Electricity and CHPs'!G22</f>
        <v>7.8262661459361016E-5</v>
      </c>
      <c r="L84" s="1">
        <f>'[2]Electricity and CHPs'!H22</f>
        <v>8.6500811042619676E-3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2.3974052716612513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'[2]Electricity and CHPs'!F24</f>
        <v>2.1614834992090596E-3</v>
      </c>
      <c r="K86" s="1">
        <f>'[2]Electricity and CHPs'!G24</f>
        <v>7.6847823555223384E-5</v>
      </c>
      <c r="L86" s="1">
        <f>'[2]Electricity and CHPs'!H24</f>
        <v>3.9156256633424945E-2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3.5514039348588833E-5</v>
      </c>
      <c r="L87" s="1">
        <f>'[2]Electricity and CHPs'!H29</f>
        <v>0.47640919040342833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'[2]Electricity and CHPs'!F39</f>
        <v>1.1884457015835423E-2</v>
      </c>
      <c r="K88" s="1">
        <f>'[2]Electricity and CHPs'!G39</f>
        <v>5.5890761573090027E-3</v>
      </c>
      <c r="L88" s="1">
        <f>'[2]Electricity and CHPs'!H39</f>
        <v>3.8738999077209374E-2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2.2450211759990815E-2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3.9505121309330304E-4</v>
      </c>
      <c r="K90" s="1">
        <f>'[2]Electricity and CHPs'!G47</f>
        <v>3.2558233942580142E-4</v>
      </c>
      <c r="L90" s="1">
        <f>'[2]Electricity and CHPs'!H47</f>
        <v>10.592691376836589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'[2]Electricity and CHPs'!F48</f>
        <v>3.3521248119857227E-3</v>
      </c>
      <c r="K91" s="1">
        <f>'[2]Electricity and CHPs'!G48</f>
        <v>2.2964162096212547E-3</v>
      </c>
      <c r="L91" s="1">
        <f>'[2]Electricity and CHPs'!H48</f>
        <v>1.7804191688841793E-3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'[2]Electricity and CHPs'!F49</f>
        <v>9.2202560776665009E-4</v>
      </c>
      <c r="K92" s="1">
        <f>'[2]Electricity and CHPs'!G49</f>
        <v>9.3067461709657592E-4</v>
      </c>
      <c r="L92" s="1">
        <f>'[2]Electricity and CHPs'!H49</f>
        <v>7.5034599993322544E-4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'[2]Electricity and CHPs'!F51</f>
        <v>1.7812307731161989</v>
      </c>
      <c r="K93" s="1">
        <f>'[2]Electricity and CHPs'!G51</f>
        <v>0.28296470966659759</v>
      </c>
      <c r="L93" s="1">
        <f>'[2]Electricity and CHPs'!H51</f>
        <v>0.29982814439619815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'[2]Electricity and CHPs'!F52</f>
        <v>0.34437384693213591</v>
      </c>
      <c r="K94" s="1">
        <f>'[2]Electricity and CHPs'!G52</f>
        <v>1.5321171933922142</v>
      </c>
      <c r="L94" s="1">
        <f>'[2]Electricity and CHPs'!H52</f>
        <v>2.0165945657853204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'[2]Electricity and CHPs'!F54</f>
        <v>1.1059379078512506</v>
      </c>
      <c r="K95" s="1">
        <f>'[2]Electricity and CHPs'!G54</f>
        <v>1.1059384890876227</v>
      </c>
      <c r="L95" s="1">
        <f>'[2]Electricity and CHPs'!H54</f>
        <v>1.1059282201660183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'[2]Electricity and CHPs'!F55</f>
        <v>1.3079262886000356E-3</v>
      </c>
      <c r="K96" s="1">
        <f>'[2]Electricity and CHPs'!G55</f>
        <v>6.5198931158466557E-4</v>
      </c>
      <c r="L96" s="1">
        <f>'[2]Electricity and CHPs'!H55</f>
        <v>2.2503594573530707E-4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'[2]Electricity and CHPs'!F58</f>
        <v>1.1765944828505792E-3</v>
      </c>
      <c r="K97" s="1">
        <f>'[2]Electricity and CHPs'!G58</f>
        <v>7.5527162110494228E-4</v>
      </c>
      <c r="L97" s="1">
        <f>'[2]Electricity and CHPs'!H58</f>
        <v>1.7249489297805778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1.832253247400158</v>
      </c>
      <c r="K98" s="1">
        <f t="shared" si="88"/>
        <v>1.4681130913717688</v>
      </c>
      <c r="L98" s="1">
        <f t="shared" ref="L98" si="89">L82-L114</f>
        <v>14.866394729830615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1.1909761745442446E-4</v>
      </c>
      <c r="L99" s="1">
        <f t="shared" ref="L99" si="91">L83-L115</f>
        <v>2.5888699268451967E-2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1.0538899678676444E-3</v>
      </c>
      <c r="K100" s="1">
        <f t="shared" si="92"/>
        <v>6.2924614797528028E-5</v>
      </c>
      <c r="L100" s="1">
        <f t="shared" ref="L100" si="93">L84-L116</f>
        <v>7.2857142475455531E-3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2.0192654305029754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1.8437205600226228E-3</v>
      </c>
      <c r="K102" s="1">
        <f t="shared" si="96"/>
        <v>6.1787059180855932E-5</v>
      </c>
      <c r="L102" s="1">
        <f t="shared" ref="L102" si="97">L86-L118</f>
        <v>3.2980187514557953E-2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2.8553938803558427E-5</v>
      </c>
      <c r="L103" s="1">
        <f t="shared" ref="L103" si="99">L87-L119</f>
        <v>0.4012657435632272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1.0137305120681641E-2</v>
      </c>
      <c r="K104" s="1">
        <f t="shared" si="100"/>
        <v>4.4937197089232302E-3</v>
      </c>
      <c r="L104" s="1">
        <f t="shared" ref="L104" si="101">L88-L120</f>
        <v>3.2628743489285406E-2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1.8909166944063627E-2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3.3697414026455792E-4</v>
      </c>
      <c r="K106" s="1">
        <f t="shared" si="104"/>
        <v>2.6177417060988667E-4</v>
      </c>
      <c r="L106" s="1">
        <f t="shared" ref="L106" si="105">L90-L122</f>
        <v>8.921918945482064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2.8593239031811258E-3</v>
      </c>
      <c r="K107" s="1">
        <f t="shared" si="106"/>
        <v>1.8463607384506216E-3</v>
      </c>
      <c r="L107" s="1">
        <f t="shared" ref="L107" si="107">L91-L123</f>
        <v>1.4995958013562958E-3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7.8647723682775451E-4</v>
      </c>
      <c r="K108" s="1">
        <f t="shared" si="108"/>
        <v>7.4827945652024936E-4</v>
      </c>
      <c r="L108" s="1">
        <f t="shared" ref="L108" si="109">L92-L124</f>
        <v>6.3199483061595501E-4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1.5193693589338333</v>
      </c>
      <c r="K109" s="1">
        <f t="shared" si="110"/>
        <v>0.22750881486838692</v>
      </c>
      <c r="L109" s="1">
        <f t="shared" ref="L109" si="111">L93-L125</f>
        <v>0.25253661290715801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0.29374692990032025</v>
      </c>
      <c r="K110" s="1">
        <f t="shared" si="112"/>
        <v>1.2318503156059415</v>
      </c>
      <c r="L110" s="1">
        <f t="shared" ref="L110" si="113">L94-L126</f>
        <v>1.6985195378371669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1.1156460783385011E-3</v>
      </c>
      <c r="K112" s="1">
        <f t="shared" si="116"/>
        <v>5.2421136105720053E-4</v>
      </c>
      <c r="L112" s="1">
        <f t="shared" ref="L112" si="117">L96-L128</f>
        <v>1.8954129750827376E-4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1.0036215588204132E-3</v>
      </c>
      <c r="K113" s="1">
        <f t="shared" si="118"/>
        <v>6.0725223164319732E-4</v>
      </c>
      <c r="L113" s="1">
        <f t="shared" ref="L113" si="119">L97-L129</f>
        <v>1.4528748161446376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1.421724470008275</v>
      </c>
      <c r="K114" s="1">
        <f t="shared" si="120"/>
        <v>1.4637950635420556</v>
      </c>
      <c r="L114" s="1">
        <f t="shared" ref="L114" si="121">SUM(L115:L129)</f>
        <v>3.889899092352993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2.9030369430260873E-5</v>
      </c>
      <c r="L115" s="1">
        <f>'[2]Electricity and CHPs_IN'!R$23/SUM('[2]Electricity and CHPs_IN'!R$22:R$23)*L83</f>
        <v>4.8480741963320461E-3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'[2]Electricity and CHPs_IN'!P$23/SUM('[2]Electricity and CHPs_IN'!P$22:P$23)*J84</f>
        <v>1.8163662163891747E-4</v>
      </c>
      <c r="K116" s="1">
        <f>'[2]Electricity and CHPs_IN'!Q$23/SUM('[2]Electricity and CHPs_IN'!Q$22:Q$23)*K84</f>
        <v>1.5338046661832995E-5</v>
      </c>
      <c r="L116" s="1">
        <f>'[2]Electricity and CHPs_IN'!R$23/SUM('[2]Electricity and CHPs_IN'!R$22:R$23)*L84</f>
        <v>1.3643668567164145E-3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0.37813984115827576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'[2]Electricity and CHPs_IN'!P$23/SUM('[2]Electricity and CHPs_IN'!P$22:P$23)*J86</f>
        <v>3.1776293918643682E-4</v>
      </c>
      <c r="K118" s="1">
        <f>'[2]Electricity and CHPs_IN'!Q$23/SUM('[2]Electricity and CHPs_IN'!Q$22:Q$23)*K86</f>
        <v>1.5060764374367454E-5</v>
      </c>
      <c r="L118" s="1">
        <f>'[2]Electricity and CHPs_IN'!R$23/SUM('[2]Electricity and CHPs_IN'!R$22:R$23)*L86</f>
        <v>6.1760691188669937E-3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6.9601005450304045E-6</v>
      </c>
      <c r="L119" s="1">
        <f>'[2]Electricity and CHPs_IN'!R$23/SUM('[2]Electricity and CHPs_IN'!R$22:R$23)*L87</f>
        <v>7.514344684020112E-2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'[2]Electricity and CHPs_IN'!P$23/SUM('[2]Electricity and CHPs_IN'!P$22:P$23)*J88</f>
        <v>1.7471518951537807E-3</v>
      </c>
      <c r="K120" s="1">
        <f>'[2]Electricity and CHPs_IN'!Q$23/SUM('[2]Electricity and CHPs_IN'!Q$22:Q$23)*K88</f>
        <v>1.0953564483857723E-3</v>
      </c>
      <c r="L120" s="1">
        <f>'[2]Electricity and CHPs_IN'!R$23/SUM('[2]Electricity and CHPs_IN'!R$22:R$23)*L88</f>
        <v>6.1102555879239701E-3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3.5410448159271862E-3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5.8077072828745096E-5</v>
      </c>
      <c r="K122" s="1">
        <f>'[2]Electricity and CHPs_IN'!Q$23/SUM('[2]Electricity and CHPs_IN'!Q$22:Q$23)*K90</f>
        <v>6.3808168815914735E-5</v>
      </c>
      <c r="L122" s="1">
        <f>'[2]Electricity and CHPs_IN'!R$23/SUM('[2]Electricity and CHPs_IN'!R$22:R$23)*L90</f>
        <v>1.6707724313545254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'[2]Electricity and CHPs_IN'!P$23/SUM('[2]Electricity and CHPs_IN'!P$22:P$23)*J91</f>
        <v>4.9280090880459706E-4</v>
      </c>
      <c r="K123" s="1">
        <f>'[2]Electricity and CHPs_IN'!Q$23/SUM('[2]Electricity and CHPs_IN'!Q$22:Q$23)*K91</f>
        <v>4.5005547117063309E-4</v>
      </c>
      <c r="L123" s="1">
        <f>'[2]Electricity and CHPs_IN'!R$23/SUM('[2]Electricity and CHPs_IN'!R$22:R$23)*L91</f>
        <v>2.8082336752788348E-4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'[2]Electricity and CHPs_IN'!P$23/SUM('[2]Electricity and CHPs_IN'!P$22:P$23)*J92</f>
        <v>1.3554837093889552E-4</v>
      </c>
      <c r="K124" s="1">
        <f>'[2]Electricity and CHPs_IN'!Q$23/SUM('[2]Electricity and CHPs_IN'!Q$22:Q$23)*K92</f>
        <v>1.8239516057632659E-4</v>
      </c>
      <c r="L124" s="1">
        <f>'[2]Electricity and CHPs_IN'!R$23/SUM('[2]Electricity and CHPs_IN'!R$22:R$23)*L92</f>
        <v>1.1835116931727043E-4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'[2]Electricity and CHPs_IN'!P$23/SUM('[2]Electricity and CHPs_IN'!P$22:P$23)*J93</f>
        <v>0.26186141418236564</v>
      </c>
      <c r="K125" s="1">
        <f>'[2]Electricity and CHPs_IN'!Q$23/SUM('[2]Electricity and CHPs_IN'!Q$22:Q$23)*K93</f>
        <v>5.5455894798210656E-2</v>
      </c>
      <c r="L125" s="1">
        <f>'[2]Electricity and CHPs_IN'!R$23/SUM('[2]Electricity and CHPs_IN'!R$22:R$23)*L93</f>
        <v>4.729153148904016E-2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'[2]Electricity and CHPs_IN'!P$23/SUM('[2]Electricity and CHPs_IN'!P$22:P$23)*J94</f>
        <v>5.0626917031815641E-2</v>
      </c>
      <c r="K126" s="1">
        <f>'[2]Electricity and CHPs_IN'!Q$23/SUM('[2]Electricity and CHPs_IN'!Q$22:Q$23)*K94</f>
        <v>0.3002668777862727</v>
      </c>
      <c r="L126" s="1">
        <f>'[2]Electricity and CHPs_IN'!R$23/SUM('[2]Electricity and CHPs_IN'!R$22:R$23)*L94</f>
        <v>0.31807502794815357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1.1059379078512506</v>
      </c>
      <c r="K127" s="1">
        <f t="shared" si="123"/>
        <v>1.1059384890876227</v>
      </c>
      <c r="L127" s="1">
        <f t="shared" ref="L127" si="124">L95</f>
        <v>1.1059282201660183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'[2]Electricity and CHPs_IN'!P$23/SUM('[2]Electricity and CHPs_IN'!P$22:P$23)*J96</f>
        <v>1.9228021026153442E-4</v>
      </c>
      <c r="K128" s="1">
        <f>'[2]Electricity and CHPs_IN'!Q$23/SUM('[2]Electricity and CHPs_IN'!Q$22:Q$23)*K96</f>
        <v>1.2777795052746499E-4</v>
      </c>
      <c r="L128" s="1">
        <f>'[2]Electricity and CHPs_IN'!R$23/SUM('[2]Electricity and CHPs_IN'!R$22:R$23)*L96</f>
        <v>3.5494648227033326E-5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'[2]Electricity and CHPs_IN'!P$23/SUM('[2]Electricity and CHPs_IN'!P$22:P$23)*J97</f>
        <v>1.7297292403016583E-4</v>
      </c>
      <c r="K129" s="1">
        <f>'[2]Electricity and CHPs_IN'!Q$23/SUM('[2]Electricity and CHPs_IN'!Q$22:Q$23)*K97</f>
        <v>1.4801938946174497E-4</v>
      </c>
      <c r="L129" s="1">
        <f>'[2]Electricity and CHPs_IN'!R$23/SUM('[2]Electricity and CHPs_IN'!R$22:R$23)*L97</f>
        <v>0.27207411363594025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9.0149294654759515</v>
      </c>
      <c r="K130" s="1">
        <f t="shared" si="125"/>
        <v>9.2337427038580557</v>
      </c>
      <c r="L130" s="1">
        <f t="shared" ref="L130" si="126">SUM(L131:L136)</f>
        <v>10.970688489986026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'[2]Electricity and CHPs'!F19</f>
        <v>7.5667799140842504</v>
      </c>
      <c r="K131" s="1">
        <f>'[2]Electricity and CHPs'!G19</f>
        <v>7.6680257303165273</v>
      </c>
      <c r="L131" s="1">
        <f>'[2]Electricity and CHPs'!H19</f>
        <v>1.0131364057186772E-3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9.2467458159889233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'[2]Electricity and CHPs'!F26</f>
        <v>1.4474812070534526</v>
      </c>
      <c r="K133" s="1">
        <f>'[2]Electricity and CHPs'!G26</f>
        <v>1.4508218618751039</v>
      </c>
      <c r="L133" s="1">
        <f>'[2]Electricity and CHPs'!H26</f>
        <v>0.19694642517929631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1.2341839800229155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'[2]Electricity and CHPs'!F44</f>
        <v>6.6834433824695667E-4</v>
      </c>
      <c r="K135" s="1">
        <f>'[2]Electricity and CHPs'!G44</f>
        <v>0.11489511166642442</v>
      </c>
      <c r="L135" s="1">
        <f>'[2]Electricity and CHPs'!H44</f>
        <v>8.8473559271559123E-5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0.29171065882989872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4.5071305605688519</v>
      </c>
      <c r="K137" s="1">
        <f t="shared" si="128"/>
        <v>4.5594237960958157</v>
      </c>
      <c r="L137" s="1">
        <f t="shared" ref="L137" si="129">SUM(L138:L141)</f>
        <v>5.3394446787984275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3.7833899570421252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3.8340128651582637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5.0656820285933859E-4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4.6233729079944617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0.72374060352672631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0.72541093093755193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9.8473212589648154E-2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0.61709199001145776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4.5077989049070988</v>
      </c>
      <c r="K144" s="1">
        <f t="shared" si="130"/>
        <v>4.67431890776224</v>
      </c>
      <c r="L144" s="1">
        <f t="shared" ref="L144" si="131">SUM(L145:L150)</f>
        <v>5.6312438111875975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3.7833899570421252</v>
      </c>
      <c r="K145" s="1">
        <f t="shared" si="132"/>
        <v>3.8340128651582637</v>
      </c>
      <c r="L145" s="1">
        <f t="shared" ref="L145" si="133">L131-L138</f>
        <v>5.0656820285933859E-4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4.6233729079944617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0.72374060352672631</v>
      </c>
      <c r="K147" s="1">
        <f t="shared" si="136"/>
        <v>0.72541093093755193</v>
      </c>
      <c r="L147" s="1">
        <f t="shared" ref="L147" si="137">L133-L140</f>
        <v>9.8473212589648154E-2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0.61709199001145776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6.6834433824695667E-4</v>
      </c>
      <c r="K149" s="1">
        <f t="shared" si="140"/>
        <v>0.11489511166642442</v>
      </c>
      <c r="L149" s="1">
        <f t="shared" ref="L149" si="141">L135-L142</f>
        <v>8.8473559271559123E-5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0.29171065882989872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3.8700224516964354</v>
      </c>
      <c r="K151" s="1">
        <f t="shared" si="147"/>
        <v>4.5422897038609991</v>
      </c>
      <c r="L151" s="1">
        <f t="shared" ref="L151" si="148">SUM(L152:L158)</f>
        <v>5.8868461469274758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'[2]Electricity and CHPs'!F25</f>
        <v>7.4808372093742421E-4</v>
      </c>
      <c r="K152" s="1">
        <f>'[2]Electricity and CHPs'!G25</f>
        <v>2.8311944066999636E-3</v>
      </c>
      <c r="L152" s="1">
        <f>'[2]Electricity and CHPs'!H25</f>
        <v>7.3823268206839722E-4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2.9454562281793524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'[2]Electricity and CHPs'!F42</f>
        <v>3.8309262387943472</v>
      </c>
      <c r="K154" s="1">
        <f>'[2]Electricity and CHPs'!G42</f>
        <v>3.5922145786064852</v>
      </c>
      <c r="L154" s="1">
        <f>'[2]Electricity and CHPs'!H42</f>
        <v>1.0500810809498233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1.3445169924771212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'[2]Electricity and CHPs'!F50</f>
        <v>2.055921585748988E-3</v>
      </c>
      <c r="K156" s="1">
        <f>'[2]Electricity and CHPs'!G50</f>
        <v>2.9511648382440883E-3</v>
      </c>
      <c r="L156" s="1">
        <f>'[2]Electricity and CHPs'!H50</f>
        <v>1.3495236898901281E-3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'[2]Electricity and CHPs'!F53</f>
        <v>3.5748285690618886E-2</v>
      </c>
      <c r="K157" s="1">
        <f>'[2]Electricity and CHPs'!G53</f>
        <v>0.94346346680318993</v>
      </c>
      <c r="L157" s="1">
        <f>'[2]Electricity and CHPs'!H53</f>
        <v>0.54437957984851792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'[2]Electricity and CHPs'!F56</f>
        <v>5.439219047829036E-4</v>
      </c>
      <c r="K158" s="1">
        <f>'[2]Electricity and CHPs'!G56</f>
        <v>8.2929920637987156E-4</v>
      </c>
      <c r="L158" s="1">
        <f>'[2]Electricity and CHPs'!H56</f>
        <v>3.2450910070303972E-4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3.6358989449662165</v>
      </c>
      <c r="K159" s="1">
        <f t="shared" si="149"/>
        <v>5.1006219495500558</v>
      </c>
      <c r="L159" s="1">
        <f t="shared" si="149"/>
        <v>6.1200029154631306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'[2]Electricity and CHPs'!F33</f>
        <v>3.6358989449662165</v>
      </c>
      <c r="K160" s="1">
        <f>'[2]Electricity and CHPs'!G33</f>
        <v>5.1006219495500558</v>
      </c>
      <c r="L160" s="1">
        <f>'[2]Electricity and CHPs'!H33</f>
        <v>6.1200029154631306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50.947402426715882</v>
      </c>
      <c r="K161" s="1">
        <f t="shared" si="150"/>
        <v>63.964945555576477</v>
      </c>
      <c r="L161" s="1">
        <f t="shared" ref="L161" si="151">SUM(L162:L166)</f>
        <v>90.000015741068438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'[2]Electricity and CHPs'!F34</f>
        <v>0.829639462633323</v>
      </c>
      <c r="K162" s="1">
        <f>'[2]Electricity and CHPs'!G34</f>
        <v>1.4212421655886716</v>
      </c>
      <c r="L162" s="1">
        <f>'[2]Electricity and CHPs'!H34</f>
        <v>1.6437131927835906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'[2]Electricity and CHPs'!F35</f>
        <v>30.162316632815816</v>
      </c>
      <c r="K163" s="1">
        <f>'[2]Electricity and CHPs'!G35</f>
        <v>40.847583691360121</v>
      </c>
      <c r="L163" s="1">
        <f>'[2]Electricity and CHPs'!H35</f>
        <v>64.282161369807724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'[2]Electricity and CHPs'!F36</f>
        <v>4.6126022886555305</v>
      </c>
      <c r="K164" s="1">
        <f>'[2]Electricity and CHPs'!G36</f>
        <v>4.8960738020436727</v>
      </c>
      <c r="L164" s="1">
        <f>'[2]Electricity and CHPs'!H36</f>
        <v>5.5163433054960702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'[2]Electricity and CHPs'!F37</f>
        <v>4.0163017633036038</v>
      </c>
      <c r="K165" s="1">
        <f>'[2]Electricity and CHPs'!G37</f>
        <v>4.2211844738582069</v>
      </c>
      <c r="L165" s="1">
        <f>'[2]Electricity and CHPs'!H37</f>
        <v>4.6628247121485131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'[2]Electricity and CHPs'!F38</f>
        <v>11.326542279307608</v>
      </c>
      <c r="K166" s="1">
        <f>'[2]Electricity and CHPs'!G38</f>
        <v>12.578861422725801</v>
      </c>
      <c r="L166" s="1">
        <f>'[2]Electricity and CHPs'!H38</f>
        <v>13.894973160832535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</v>
      </c>
      <c r="L167" s="1">
        <f>'[2]Electricity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2.4434856571627877E-3</v>
      </c>
      <c r="K169" s="1">
        <f t="shared" si="157"/>
        <v>0.16252848606060286</v>
      </c>
      <c r="L169" s="1">
        <f t="shared" ref="L169" si="158">SUM(L170:L172)</f>
        <v>0.16565011174153288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0.16066151239889076</v>
      </c>
      <c r="L170" s="1">
        <f>'[2]Electricity and CHPs'!H30</f>
        <v>0.16066218227691931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1.5591109364552394E-3</v>
      </c>
      <c r="K171" s="1">
        <f>'[2]Electricity and CHPs'!G46</f>
        <v>1.3049973977512788E-3</v>
      </c>
      <c r="L171" s="1">
        <f>'[2]Electricity and CHPs'!H46</f>
        <v>1.7237773295852516E-3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'[2]Electricity and CHPs'!F57</f>
        <v>8.8437472070754827E-4</v>
      </c>
      <c r="K172" s="1">
        <f>'[2]Electricity and CHPs'!G57</f>
        <v>5.6197626396081203E-4</v>
      </c>
      <c r="L172" s="1">
        <f>'[2]Electricity and CHPs'!H57</f>
        <v>3.2641521350283086E-3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0.22949151215331032</v>
      </c>
      <c r="K173" s="1">
        <f t="shared" si="160"/>
        <v>1.1588655657418032</v>
      </c>
      <c r="L173" s="1">
        <f t="shared" ref="L173" si="161">SUM(L174:L180)</f>
        <v>1.1402076848936231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'[2]Electricity and CHPs'!F70</f>
        <v>8.4936961500534959E-4</v>
      </c>
      <c r="K174" s="1">
        <f>'[2]Electricity and CHPs'!G70</f>
        <v>8.1940927475634246E-4</v>
      </c>
      <c r="L174" s="1">
        <f>'[2]Electricity and CHPs'!H70</f>
        <v>1.8628955992438481E-2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'[2]Electricity and CHPs'!F71</f>
        <v>4.1954330912853929E-2</v>
      </c>
      <c r="K175" s="1">
        <f>'[2]Electricity and CHPs'!G71</f>
        <v>4.2065382646371344E-2</v>
      </c>
      <c r="L175" s="1">
        <f>'[2]Electricity and CHPs'!H71</f>
        <v>0.22191395631774438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'[2]Electricity and CHPs'!F72</f>
        <v>1.7999990200125604E-2</v>
      </c>
      <c r="K176" s="1">
        <f>'[2]Electricity and CHPs'!G72</f>
        <v>2.4455500249119699E-2</v>
      </c>
      <c r="L176" s="1">
        <f>'[2]Electricity and CHPs'!H72</f>
        <v>3.522044503242807E-2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'[2]Electricity and CHPs'!F73</f>
        <v>6.726791626312173E-2</v>
      </c>
      <c r="K177" s="1">
        <f>'[2]Electricity and CHPs'!G73</f>
        <v>0.71870444332023642</v>
      </c>
      <c r="L177" s="1">
        <f>'[2]Electricity and CHPs'!H73</f>
        <v>0.54091893563071991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'[2]Electricity and CHPs'!F74</f>
        <v>3.3606425376882965E-2</v>
      </c>
      <c r="K178" s="1">
        <f>'[2]Electricity and CHPs'!G74</f>
        <v>0.14732579092454628</v>
      </c>
      <c r="L178" s="1">
        <f>'[2]Electricity and CHPs'!H74</f>
        <v>0.13881621207821496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'[2]Electricity and CHPs'!F75</f>
        <v>2.5068922660984455E-2</v>
      </c>
      <c r="K179" s="1">
        <f>'[2]Electricity and CHPs'!G75</f>
        <v>6.6202913379237532E-2</v>
      </c>
      <c r="L179" s="1">
        <f>'[2]Electricity and CHPs'!H75</f>
        <v>4.7613423885306982E-2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'[2]Electricity and CHPs'!F76</f>
        <v>4.2744557124336287E-2</v>
      </c>
      <c r="K180" s="1">
        <f>'[2]Electricity and CHPs'!G76</f>
        <v>0.15929212594753553</v>
      </c>
      <c r="L180" s="1">
        <f>'[2]Electricity and CHPs'!H76</f>
        <v>0.13709575595677026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49.074933419958718</v>
      </c>
      <c r="K181" s="3">
        <f t="shared" si="162"/>
        <v>51.486801184243845</v>
      </c>
      <c r="L181" s="3">
        <f t="shared" ref="L181" si="163">SUM(L182,L233)</f>
        <v>52.266213510923549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34.754172898277332</v>
      </c>
      <c r="K182" s="1">
        <f t="shared" si="164"/>
        <v>35.946661435187508</v>
      </c>
      <c r="L182" s="1">
        <f t="shared" ref="L182" si="165">L183+L210</f>
        <v>33.898680109124406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12.474042220995647</v>
      </c>
      <c r="K183" s="1">
        <f t="shared" si="166"/>
        <v>12.237547017515048</v>
      </c>
      <c r="L183" s="1">
        <f t="shared" ref="L183" si="167">SUM(L185,L189,L190,L198,L199,L207,L209)</f>
        <v>11.853302554195798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1.1060935067299929E-3</v>
      </c>
      <c r="K184" s="1">
        <f t="shared" si="168"/>
        <v>5.5076573073862574E-5</v>
      </c>
      <c r="L184" s="1">
        <f t="shared" si="168"/>
        <v>8.0687571537153916E-5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'[2]Electricity and CHPs'!F$94</f>
        <v>1.1060935067299929E-3</v>
      </c>
      <c r="K185" s="1">
        <f>'[2]Electricity and CHPs'!G$94</f>
        <v>5.5076573073862574E-5</v>
      </c>
      <c r="L185" s="1">
        <f>'[2]Electricity and CHPs'!H$94</f>
        <v>8.0687571537153916E-5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1.1060935067299929E-3</v>
      </c>
      <c r="K186" s="1">
        <f t="shared" si="169"/>
        <v>5.5076573073862574E-5</v>
      </c>
      <c r="L186" s="1">
        <f t="shared" ref="L186" si="170">L185-L187</f>
        <v>8.0687571537153916E-5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4.5979795459735358E-3</v>
      </c>
      <c r="K188" s="1">
        <f t="shared" si="173"/>
        <v>2.0787000565290417E-4</v>
      </c>
      <c r="L188" s="1">
        <f t="shared" ref="L188" si="174">SUM(L189:L190)</f>
        <v>0.71320510562630879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'[2]Electricity and CHPs'!F$91</f>
        <v>4.5979795459735358E-3</v>
      </c>
      <c r="K189" s="1">
        <f>'[2]Electricity and CHPs'!G$91</f>
        <v>1.625896054834534E-4</v>
      </c>
      <c r="L189" s="1">
        <f>'[2]Electricity and CHPs'!H$91</f>
        <v>8.196292834176612E-2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4.5280400169450758E-5</v>
      </c>
      <c r="L190" s="1">
        <f>'[2]Electricity and CHPs'!H$95</f>
        <v>0.63124217728454268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3.9220236594806205E-3</v>
      </c>
      <c r="K191" s="1">
        <f t="shared" si="175"/>
        <v>1.6713129594322589E-4</v>
      </c>
      <c r="L191" s="1">
        <f t="shared" ref="L191" si="176">SUM(L192:L193)</f>
        <v>0.6007121247595717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3.9220236594806205E-3</v>
      </c>
      <c r="K192" s="1">
        <f t="shared" si="177"/>
        <v>1.307250239686889E-4</v>
      </c>
      <c r="L192" s="1">
        <f t="shared" ref="L192" si="178">L189-L195</f>
        <v>6.9035014538295553E-2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3.6406271974536991E-5</v>
      </c>
      <c r="L193" s="1">
        <f t="shared" ref="L193" si="180">L190-L196</f>
        <v>0.53167711022127617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6.7595588649291564E-4</v>
      </c>
      <c r="K194" s="1">
        <f t="shared" si="181"/>
        <v>4.0738709709678255E-5</v>
      </c>
      <c r="L194" s="1">
        <f t="shared" ref="L194" si="182">SUM(L195:L196)</f>
        <v>0.11249298086673706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6.7595588649291564E-4</v>
      </c>
      <c r="K195" s="1">
        <f t="shared" si="183"/>
        <v>3.1864581514764488E-5</v>
      </c>
      <c r="L195" s="1">
        <f t="shared" ref="L195" si="184">L189*IFERROR(L118/L86,0)</f>
        <v>1.292791380347056E-2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8.8741281949137655E-6</v>
      </c>
      <c r="L196" s="1">
        <f t="shared" ref="L196" si="185">L190*IFERROR(L119/L87,0)</f>
        <v>9.9565067063266496E-2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12.466381770815088</v>
      </c>
      <c r="K197" s="1">
        <f t="shared" si="186"/>
        <v>12.034790995199238</v>
      </c>
      <c r="L197" s="1">
        <f t="shared" ref="L197" si="187">SUM(L198:L199)</f>
        <v>10.935345773283322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'[2]Electricity and CHPs'!F$93-J199</f>
        <v>12.466381770815088</v>
      </c>
      <c r="K198" s="1">
        <f>'[2]Electricity and CHPs'!G$93-K199</f>
        <v>12.034790995199238</v>
      </c>
      <c r="L198" s="1">
        <f>'[2]Electricity and CHPs'!H$93-L199</f>
        <v>4.757102802841473E-4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10.934870063003038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6.2331908854075442</v>
      </c>
      <c r="K200" s="1">
        <f t="shared" si="188"/>
        <v>6.017395497599618</v>
      </c>
      <c r="L200" s="1">
        <f t="shared" ref="L200" si="189">SUM(L201:L202)</f>
        <v>5.4676728866416608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6.2331908854075442</v>
      </c>
      <c r="K201" s="1">
        <f t="shared" si="190"/>
        <v>6.017395497599618</v>
      </c>
      <c r="L201" s="1">
        <f t="shared" ref="L201" si="191">L198*L140/L133</f>
        <v>2.3785514014207362E-4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5.4674350315015188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6.2331908854075442</v>
      </c>
      <c r="K203" s="1">
        <f t="shared" si="194"/>
        <v>6.0173954975996198</v>
      </c>
      <c r="L203" s="1">
        <f t="shared" ref="L203" si="195">SUM(L204:L205)</f>
        <v>5.4676728866416608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6.2331908854075442</v>
      </c>
      <c r="K204" s="1">
        <f t="shared" si="196"/>
        <v>6.0173954975996198</v>
      </c>
      <c r="L204" s="1">
        <f t="shared" ref="L204" si="197">L198-L201</f>
        <v>2.3785514014207368E-4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5.4674350315015188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1.9563771278554216E-3</v>
      </c>
      <c r="K206" s="1">
        <f t="shared" si="199"/>
        <v>7.4040963955735086E-3</v>
      </c>
      <c r="L206" s="1">
        <f t="shared" si="199"/>
        <v>1.9306148413765355E-3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'[2]Electricity and CHPs'!F$92</f>
        <v>1.9563771278554216E-3</v>
      </c>
      <c r="K207" s="1">
        <f>'[2]Electricity and CHPs'!G$92</f>
        <v>7.4040963955735086E-3</v>
      </c>
      <c r="L207" s="1">
        <f>'[2]Electricity and CHPs'!H$92</f>
        <v>1.9306148413765355E-3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0.19508897934150948</v>
      </c>
      <c r="L208" s="1">
        <f t="shared" si="200"/>
        <v>0.20274037287325494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0.19508897934150948</v>
      </c>
      <c r="L209" s="1">
        <f>'[2]Electricity and CHPs'!H$96</f>
        <v>0.20274037287325494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22.280130677281683</v>
      </c>
      <c r="K210" s="1">
        <f t="shared" si="201"/>
        <v>23.70911441767246</v>
      </c>
      <c r="L210" s="1">
        <f t="shared" ref="L210" si="202">SUM(L211,L217,L219,L225,L227,L229,L231)</f>
        <v>22.045377554928606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9.5746112919965967</v>
      </c>
      <c r="K211" s="1">
        <f t="shared" si="203"/>
        <v>10.193837536833733</v>
      </c>
      <c r="L211" s="1">
        <f t="shared" si="203"/>
        <v>6.6796686953529587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'[2]Electricity and CHPs'!F$97+J216</f>
        <v>9.5746112919965967</v>
      </c>
      <c r="K212" s="1">
        <f>'[2]Electricity and CHPs'!G$97+K216</f>
        <v>10.193837536833733</v>
      </c>
      <c r="L212" s="1">
        <f>'[2]Electricity and CHPs'!H$97+L216</f>
        <v>6.6796686953529587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4.3175148506821408</v>
      </c>
      <c r="K213" s="1">
        <f t="shared" si="204"/>
        <v>3.5142451583060019</v>
      </c>
      <c r="L213" s="1">
        <f t="shared" si="204"/>
        <v>8.0637965233165687E-5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4.3175148506821408</v>
      </c>
      <c r="K214" s="1">
        <f t="shared" si="205"/>
        <v>3.5142451583060019</v>
      </c>
      <c r="L214" s="1">
        <f t="shared" ref="L214" si="206">L212-L216</f>
        <v>8.0637965233165687E-5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5.2570964413144559</v>
      </c>
      <c r="K215" s="1">
        <f t="shared" si="207"/>
        <v>6.6795923785277314</v>
      </c>
      <c r="L215" s="1">
        <f t="shared" si="207"/>
        <v>6.6795880573877255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'[2]Electricity and CHPs'!F$98</f>
        <v>5.2570964413144559</v>
      </c>
      <c r="K216" s="1">
        <f>'[2]Electricity and CHPs'!G$98</f>
        <v>6.6795923785277314</v>
      </c>
      <c r="L216" s="1">
        <f>'[2]Electricity and CHPs'!H$98</f>
        <v>6.6795880573877255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1.3002487496771451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'[2]Electricity and CHPs'!F$99</f>
        <v>1.3002487496771451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9.7943594797837672E-5</v>
      </c>
      <c r="K219" s="1">
        <f t="shared" si="209"/>
        <v>1.6762832998070471E-5</v>
      </c>
      <c r="L219" s="1">
        <f t="shared" si="209"/>
        <v>5.288866634484719E-6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'[2]Electricity and CHPs'!F$100</f>
        <v>9.7943594797837672E-5</v>
      </c>
      <c r="K220" s="1">
        <f>'[2]Electricity and CHPs'!G$100</f>
        <v>1.6762832998070471E-5</v>
      </c>
      <c r="L220" s="1">
        <f>'[2]Electricity and CHPs'!H$100</f>
        <v>5.288866634484719E-6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9.7943594797837672E-5</v>
      </c>
      <c r="K221" s="1">
        <f t="shared" si="210"/>
        <v>1.6762832998070471E-5</v>
      </c>
      <c r="L221" s="1">
        <f t="shared" si="210"/>
        <v>5.288866634484719E-6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9.7943594797837672E-5</v>
      </c>
      <c r="K222" s="1">
        <f t="shared" si="211"/>
        <v>1.6762832998070471E-5</v>
      </c>
      <c r="L222" s="1">
        <f t="shared" ref="L222" si="212">L220-L224</f>
        <v>5.288866634484719E-6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4.0572502822107666</v>
      </c>
      <c r="K225" s="1">
        <f t="shared" si="214"/>
        <v>4.5028223349112526</v>
      </c>
      <c r="L225" s="1">
        <f t="shared" si="214"/>
        <v>5.4103660571119097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'[2]Electricity and CHPs'!F$101</f>
        <v>4.0572502822107666</v>
      </c>
      <c r="K226" s="1">
        <f>'[2]Electricity and CHPs'!G$101</f>
        <v>4.5028223349112526</v>
      </c>
      <c r="L226" s="1">
        <f>'[2]Electricity and CHPs'!H$101</f>
        <v>5.4103660571119097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'[2]Electricity and CHPs'!F$102</f>
        <v>0</v>
      </c>
      <c r="K228" s="1">
        <f>'[2]Electricity and CHPs'!G$102</f>
        <v>0</v>
      </c>
      <c r="L228" s="1">
        <f>'[2]Electricity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0</v>
      </c>
      <c r="L230" s="1">
        <f>'[2]Electricity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7.3479224098023765</v>
      </c>
      <c r="K231" s="1">
        <f t="shared" si="217"/>
        <v>9.0124377830944784</v>
      </c>
      <c r="L231" s="1">
        <f t="shared" si="217"/>
        <v>9.9553375135971027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'[2]Electricity and CHPs'!F$123</f>
        <v>7.3479224098023765</v>
      </c>
      <c r="K232" s="1">
        <f>'[2]Electricity and CHPs'!G$123</f>
        <v>9.0124377830944784</v>
      </c>
      <c r="L232" s="1">
        <f>'[2]Electricity and CHPs'!H$123</f>
        <v>9.9553375135971027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14.320760521681384</v>
      </c>
      <c r="K233" s="1">
        <f t="shared" si="218"/>
        <v>15.540139749056337</v>
      </c>
      <c r="L233" s="1">
        <f t="shared" ref="L233" si="219">SUM(L234,L240,L273,L282,L288)</f>
        <v>18.367533401799143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0.5264759356078782</v>
      </c>
      <c r="K234" s="1">
        <f t="shared" si="220"/>
        <v>1.5644696128544672E-4</v>
      </c>
      <c r="L234" s="1">
        <f t="shared" si="220"/>
        <v>0.38009916805165089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'[2]Electricity and CHPs'!F$104</f>
        <v>0.5264759356078782</v>
      </c>
      <c r="K235" s="1">
        <f>'[2]Electricity and CHPs'!G$104</f>
        <v>1.5644696128544672E-4</v>
      </c>
      <c r="L235" s="1">
        <f>'[2]Electricity and CHPs'!H$104</f>
        <v>0.38009916805165089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0.5264759356078782</v>
      </c>
      <c r="K236" s="1">
        <f t="shared" si="221"/>
        <v>1.5644696128544672E-4</v>
      </c>
      <c r="L236" s="1">
        <f t="shared" si="221"/>
        <v>0.38009916805165089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0.5264759356078782</v>
      </c>
      <c r="K237" s="1">
        <f t="shared" si="222"/>
        <v>1.5644696128544672E-4</v>
      </c>
      <c r="L237" s="1">
        <f t="shared" ref="L237" si="223">L235-L239</f>
        <v>0.38009916805165089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5.5834170135292389</v>
      </c>
      <c r="K240" s="1">
        <f t="shared" si="227"/>
        <v>4.8393712093668615</v>
      </c>
      <c r="L240" s="1">
        <f t="shared" ref="L240" si="228">SUM(L241:L250)</f>
        <v>10.477443184817599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'[2]Electricity and CHPs'!F$103-J242</f>
        <v>1.9341851501311732E-2</v>
      </c>
      <c r="K241" s="1">
        <f>'[2]Electricity and CHPs'!G$103-K242</f>
        <v>6.3302329101935411E-3</v>
      </c>
      <c r="L241" s="1">
        <f>'[2]Electricity and CHPs'!H$103-L242</f>
        <v>4.2816788453757811E-2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2.4813391945253081E-2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1.8755871814292162E-4</v>
      </c>
      <c r="K243" s="1">
        <f>'[2]Electricity and CHPs'!G$107</f>
        <v>1.4636270304462648E-4</v>
      </c>
      <c r="L243" s="1">
        <f>'[2]Electricity and CHPs'!H$107</f>
        <v>4.2742438888989804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'[2]Electricity and CHPs'!F$109</f>
        <v>9.6048048726383086E-3</v>
      </c>
      <c r="K244" s="1">
        <f>'[2]Electricity and CHPs'!G$109</f>
        <v>7.1298946589731741E-3</v>
      </c>
      <c r="L244" s="1">
        <f>'[2]Electricity and CHPs'!H$109</f>
        <v>5.3684991598562234E-3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'[2]Electricity and CHPs'!F$112</f>
        <v>4.3871711438869871</v>
      </c>
      <c r="K246" s="1">
        <f>'[2]Electricity and CHPs'!G$112</f>
        <v>3.8186566350569278</v>
      </c>
      <c r="L246" s="1">
        <f>'[2]Electricity and CHPs'!H$112</f>
        <v>4.6231735447373525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'[2]Electricity and CHPs'!F$115</f>
        <v>1.1649091623492087</v>
      </c>
      <c r="K248" s="1">
        <f>'[2]Electricity and CHPs'!G$115</f>
        <v>1.0059072330346099</v>
      </c>
      <c r="L248" s="1">
        <f>'[2]Electricity and CHPs'!H$115</f>
        <v>1.0058978929287903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'[2]Electricity and CHPs'!F$116</f>
        <v>1.8524071212174967E-3</v>
      </c>
      <c r="K249" s="1">
        <f>'[2]Electricity and CHPs'!G$116</f>
        <v>9.7798396737699858E-4</v>
      </c>
      <c r="L249" s="1">
        <f>'[2]Electricity and CHPs'!H$116</f>
        <v>3.3755391860296028E-4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'[2]Electricity and CHPs'!F$118</f>
        <v>3.5008507973341018E-4</v>
      </c>
      <c r="K250" s="1">
        <f>'[2]Electricity and CHPs'!G$118</f>
        <v>2.2286703573588478E-4</v>
      </c>
      <c r="L250" s="1">
        <f>'[2]Electricity and CHPs'!H$118</f>
        <v>0.50079162477500616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3.7689363683891206</v>
      </c>
      <c r="K251" s="1">
        <f t="shared" si="229"/>
        <v>3.0821753254093394</v>
      </c>
      <c r="L251" s="1">
        <f t="shared" ref="L251" si="230">SUM(L252:L261)</f>
        <v>7.9776098799104886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1.6498376830043859E-2</v>
      </c>
      <c r="K252" s="1">
        <f t="shared" si="231"/>
        <v>5.0896233277142062E-3</v>
      </c>
      <c r="L252" s="1">
        <f t="shared" ref="L252" si="232">L241-L263</f>
        <v>3.606334806710499E-2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2.0899605569754599E-2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1.5998542897881554E-4</v>
      </c>
      <c r="K254" s="1">
        <f t="shared" si="231"/>
        <v>1.1767829687967396E-4</v>
      </c>
      <c r="L254" s="1">
        <f t="shared" ref="L254" si="234">L243-L265</f>
        <v>3.6000725569489078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8.1927880666998968E-3</v>
      </c>
      <c r="K255" s="1">
        <f t="shared" si="235"/>
        <v>5.732566035922571E-3</v>
      </c>
      <c r="L255" s="1">
        <f t="shared" ref="L255" si="236">L244-L266</f>
        <v>4.521732264178349E-3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3.7422065175525367</v>
      </c>
      <c r="K257" s="1">
        <f t="shared" si="239"/>
        <v>3.0702699515241294</v>
      </c>
      <c r="L257" s="1">
        <f t="shared" ref="L257" si="240">L246-L268</f>
        <v>3.8939659591368052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1.5800819650812824E-3</v>
      </c>
      <c r="K260" s="1">
        <f t="shared" si="245"/>
        <v>7.8631704158580113E-4</v>
      </c>
      <c r="L260" s="1">
        <f t="shared" ref="L260" si="246">L249-L271</f>
        <v>2.8431194626241032E-4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2.9861854578017231E-4</v>
      </c>
      <c r="K261" s="1">
        <f t="shared" si="247"/>
        <v>1.7918918310782888E-4</v>
      </c>
      <c r="L261" s="1">
        <f t="shared" ref="L261" si="248">L250-L272</f>
        <v>0.42180236597747517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1.814480645140119</v>
      </c>
      <c r="K262" s="1">
        <f t="shared" si="249"/>
        <v>1.7571958839575221</v>
      </c>
      <c r="L262" s="1">
        <f t="shared" ref="L262" si="250">SUM(L263:L272)</f>
        <v>2.4998333049071113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2.8434746712678728E-3</v>
      </c>
      <c r="K263" s="1">
        <f t="shared" si="251"/>
        <v>1.2406095824793353E-3</v>
      </c>
      <c r="L263" s="1">
        <f t="shared" ref="L263" si="252">L241*IFERROR(L120/L88,0)</f>
        <v>6.7534403866528221E-3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3.9137863754984811E-3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2.7573289164106076E-5</v>
      </c>
      <c r="K265" s="1">
        <f t="shared" si="251"/>
        <v>2.8684406164952527E-5</v>
      </c>
      <c r="L265" s="1">
        <f t="shared" ref="L265" si="254">L243*IFERROR(L122/L90,0)</f>
        <v>0.67417133195007262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1.412016805938412E-3</v>
      </c>
      <c r="K266" s="1">
        <f t="shared" si="251"/>
        <v>1.3973286230506028E-3</v>
      </c>
      <c r="L266" s="1">
        <f t="shared" ref="L266" si="255">L244*IFERROR(L123/L91,0)</f>
        <v>8.4676689567787452E-4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0.64496462633445029</v>
      </c>
      <c r="K268" s="1">
        <f t="shared" si="251"/>
        <v>0.74838668353279814</v>
      </c>
      <c r="L268" s="1">
        <f t="shared" ref="L268" si="257">L246*IFERROR(L125/L93,0)</f>
        <v>0.72920758560054733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1.1649091623492087</v>
      </c>
      <c r="K270" s="1">
        <f t="shared" si="251"/>
        <v>1.0059072330346099</v>
      </c>
      <c r="L270" s="1">
        <f t="shared" ref="L270" si="259">L248*IFERROR(L127/L95,0)</f>
        <v>1.0058978929287903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2.7232515613621427E-4</v>
      </c>
      <c r="K271" s="1">
        <f t="shared" si="251"/>
        <v>1.9166692579119751E-4</v>
      </c>
      <c r="L271" s="1">
        <f t="shared" ref="L271" si="260">L249*IFERROR(L128/L96,0)</f>
        <v>5.3241972340549942E-5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5.1466533953237892E-5</v>
      </c>
      <c r="K272" s="1">
        <f t="shared" si="251"/>
        <v>4.3677852628055922E-5</v>
      </c>
      <c r="L272" s="1">
        <f t="shared" ref="L272" si="261">L250*IFERROR(L129/L97,0)</f>
        <v>7.8989258797530992E-2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3.9441905041383554E-3</v>
      </c>
      <c r="K273" s="1">
        <f t="shared" si="262"/>
        <v>0.581948213780482</v>
      </c>
      <c r="L273" s="1">
        <f t="shared" ref="L273" si="263">SUM(L274:L275)</f>
        <v>0.98985481727594771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'[2]Electricity and CHPs'!F$106-J275</f>
        <v>3.9441905041383554E-3</v>
      </c>
      <c r="K274" s="1">
        <f>'[2]Electricity and CHPs'!G$106-K275</f>
        <v>0.581948213780482</v>
      </c>
      <c r="L274" s="1">
        <f>'[2]Electricity and CHPs'!H$106-L275</f>
        <v>3.001241920408404E-4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0.98955469308390687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3.9441905041383554E-3</v>
      </c>
      <c r="K279" s="1">
        <f t="shared" si="266"/>
        <v>0.581948213780482</v>
      </c>
      <c r="L279" s="1">
        <f t="shared" ref="L279" si="267">SUM(L280:L281)</f>
        <v>0.98985481727594771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3.9441905041383554E-3</v>
      </c>
      <c r="K280" s="1">
        <f t="shared" si="268"/>
        <v>0.581948213780482</v>
      </c>
      <c r="L280" s="1">
        <f t="shared" ref="L280" si="269">L274</f>
        <v>3.001241920408404E-4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0.98955469308390687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8.2052623627817844</v>
      </c>
      <c r="K282" s="1">
        <f t="shared" si="272"/>
        <v>10.11752722231814</v>
      </c>
      <c r="L282" s="1">
        <f t="shared" ref="L282" si="273">SUM(L283:L287)</f>
        <v>6.517429903054671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'[2]Electricity and CHPs'!F$105-J284</f>
        <v>8.1038824282188244</v>
      </c>
      <c r="K283" s="1">
        <f>'[2]Electricity and CHPs'!G$105-K284</f>
        <v>7.5989154547445104</v>
      </c>
      <c r="L283" s="1">
        <f>'[2]Electricity and CHPs'!H$105-L284</f>
        <v>2.2213253635477055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2.8441705610093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'[2]Electricity and CHPs'!F$110</f>
        <v>5.4354282752333317E-3</v>
      </c>
      <c r="K285" s="1">
        <f>'[2]Electricity and CHPs'!G$110</f>
        <v>7.6376601462393758E-3</v>
      </c>
      <c r="L285" s="1">
        <f>'[2]Electricity and CHPs'!H$110</f>
        <v>3.3539933691045373E-3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'[2]Electricity and CHPs'!F$113</f>
        <v>9.5093961935636614E-2</v>
      </c>
      <c r="K286" s="1">
        <f>'[2]Electricity and CHPs'!G$113</f>
        <v>2.5097057737621835</v>
      </c>
      <c r="L286" s="1">
        <f>'[2]Electricity and CHPs'!H$113</f>
        <v>1.4481033158532017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'[2]Electricity and CHPs'!F$117</f>
        <v>8.5054435209059036E-4</v>
      </c>
      <c r="K287" s="1">
        <f>'[2]Electricity and CHPs'!G$117</f>
        <v>1.2683336652079063E-3</v>
      </c>
      <c r="L287" s="1">
        <f>'[2]Electricity and CHPs'!H$117</f>
        <v>4.7666927535904664E-4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1.6610192583437955E-3</v>
      </c>
      <c r="K288" s="1">
        <f t="shared" si="274"/>
        <v>1.1366566295687129E-3</v>
      </c>
      <c r="L288" s="1">
        <f t="shared" ref="L288" si="275">SUM(L289:L290)</f>
        <v>2.7063285992743173E-3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1.050431307692572E-3</v>
      </c>
      <c r="K289" s="1">
        <f>'[2]Electricity and CHPs'!G$108</f>
        <v>7.8299843865076786E-4</v>
      </c>
      <c r="L289" s="1">
        <f>'[2]Electricity and CHPs'!H$108</f>
        <v>8.61888664792626E-4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'[2]Electricity and CHPs'!F$119</f>
        <v>6.1058795065122343E-4</v>
      </c>
      <c r="K290" s="1">
        <f>'[2]Electricity and CHPs'!G$119</f>
        <v>3.5365819091794494E-4</v>
      </c>
      <c r="L290" s="1">
        <f>'[2]Electricity and CHPs'!H$119</f>
        <v>1.8444399344816913E-3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408.43493663750769</v>
      </c>
      <c r="K291" s="3">
        <f t="shared" ref="K291:L291" si="280">SUM(K292,K294,K302,K310,K358,K379,K387,K389,K397,K401,K395)</f>
        <v>359.24508826119893</v>
      </c>
      <c r="L291" s="3">
        <f t="shared" si="280"/>
        <v>326.42477884521526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167.60359869164529</v>
      </c>
      <c r="K292" s="1">
        <f t="shared" si="281"/>
        <v>98.945500114542966</v>
      </c>
      <c r="L292" s="1">
        <f t="shared" si="281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'[2]Electricity and CHPs_IN'!F$14</f>
        <v>167.60359869164529</v>
      </c>
      <c r="K293" s="1">
        <f>'[2]Electricity and CHPs_IN'!G$14</f>
        <v>98.945500114542966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151.94968059235796</v>
      </c>
      <c r="K294" s="1">
        <f t="shared" si="283"/>
        <v>152.15147341070684</v>
      </c>
      <c r="L294" s="1">
        <f t="shared" ref="L294" si="284">SUM(L295:L297)</f>
        <v>152.52842659144432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'[2]Electricity and CHPs_IN'!F$15</f>
        <v>72.133327636568779</v>
      </c>
      <c r="K295" s="1">
        <f>'[2]Electricity and CHPs_IN'!G$15</f>
        <v>72.137146697699663</v>
      </c>
      <c r="L295" s="1">
        <f>'[2]Electricity and CHPs_IN'!H$15</f>
        <v>69.335162994495874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'[2]Electricity and CHPs_IN'!F$16</f>
        <v>63.853081835385076</v>
      </c>
      <c r="K296" s="1">
        <f>'[2]Electricity and CHPs_IN'!G$16</f>
        <v>63.849268259655723</v>
      </c>
      <c r="L296" s="1">
        <f>'[2]Electricity and CHPs_IN'!H$16</f>
        <v>66.651249292662499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'[2]Electricity and CHPs_IN'!F$13</f>
        <v>15.963271120404102</v>
      </c>
      <c r="K297" s="1">
        <f>'[2]Electricity and CHPs_IN'!G$13</f>
        <v>16.165058453351453</v>
      </c>
      <c r="L297" s="1">
        <f>'[2]Electricity and CHPs_IN'!H$13</f>
        <v>16.542014304285935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6.9616843432403971E-2</v>
      </c>
      <c r="K298" s="1">
        <f t="shared" si="285"/>
        <v>3.7636635916645189E-4</v>
      </c>
      <c r="L298" s="1">
        <f t="shared" ref="L298" si="286">SUM(L299:L301)</f>
        <v>0.2027004809484394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'[2]Electricity and CHPs_IN'!F$18</f>
        <v>1.6066285602092418E-3</v>
      </c>
      <c r="K299" s="1">
        <f>'[2]Electricity and CHPs_IN'!G$18</f>
        <v>2.0311598337495554E-4</v>
      </c>
      <c r="L299" s="1">
        <f>'[2]Electricity and CHPs_IN'!H$18</f>
        <v>2.2534731170236532E-4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IFERROR(J72/SUM(J72,J185),0)*'[2]Electricity and CHPs_IN'!F$28</f>
        <v>3.3845766605400423E-4</v>
      </c>
      <c r="K300" s="1">
        <f>IFERROR(K72/SUM(K72,K185),0)*'[2]Electricity and CHPs_IN'!G$28</f>
        <v>3.4886268192649496E-5</v>
      </c>
      <c r="L300" s="1">
        <f>IFERROR(L72/SUM(L72,L185),0)*'[2]Electricity and CHPs_IN'!H$28</f>
        <v>2.5056698196983686E-5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IFERROR(J73/SUM(J73,J235),0)*'[2]Electricity and CHPs_IN'!F$41</f>
        <v>6.7671757206140729E-2</v>
      </c>
      <c r="K301" s="1">
        <f>IFERROR(K73/SUM(K73,K235),0)*'[2]Electricity and CHPs_IN'!G$41</f>
        <v>1.3836410759884686E-4</v>
      </c>
      <c r="L301" s="1">
        <f>IFERROR(L73/SUM(L73,L235),0)*'[2]Electricity and CHPs_IN'!H$41</f>
        <v>0.20245007693854006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6.9616843432403971E-2</v>
      </c>
      <c r="K302" s="1">
        <f t="shared" si="287"/>
        <v>3.7636635916645189E-4</v>
      </c>
      <c r="L302" s="1">
        <f t="shared" ref="L302" si="288">L298</f>
        <v>0.2027004809484394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1.6066285602092418E-3</v>
      </c>
      <c r="K303" s="1">
        <f t="shared" si="289"/>
        <v>2.0311598337495554E-4</v>
      </c>
      <c r="L303" s="1">
        <f t="shared" ref="L303" si="290">L299</f>
        <v>2.2534731170236532E-4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3.3845766605400423E-4</v>
      </c>
      <c r="K304" s="1">
        <f t="shared" si="291"/>
        <v>3.4886268192649496E-5</v>
      </c>
      <c r="L304" s="1">
        <f t="shared" ref="L304" si="292">L300</f>
        <v>2.5056698196983686E-5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6.7671757206140729E-2</v>
      </c>
      <c r="K305" s="1">
        <f t="shared" si="293"/>
        <v>1.3836410759884686E-4</v>
      </c>
      <c r="L305" s="1">
        <f t="shared" ref="L305" si="294">L301</f>
        <v>0.20245007693854006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3.9848529428908859</v>
      </c>
      <c r="K310" s="1">
        <f t="shared" si="295"/>
        <v>5.1047086522851997</v>
      </c>
      <c r="L310" s="1">
        <f t="shared" ref="L310" si="296">SUM(L311:L325)</f>
        <v>13.329000484243616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2.9147120550846719E-4</v>
      </c>
      <c r="L311" s="1">
        <f>'[2]Electricity and CHPs_IN'!H$21</f>
        <v>4.9146149092129394E-2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'[2]Electricity and CHPs_IN'!F$22</f>
        <v>3.2382977825825511E-3</v>
      </c>
      <c r="K312" s="1">
        <f>'[2]Electricity and CHPs_IN'!G$22</f>
        <v>2.4401288630108878E-4</v>
      </c>
      <c r="L312" s="1">
        <f>'[2]Electricity and CHPs_IN'!H$22</f>
        <v>2.080633793825799E-2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2.0327744619465304E-5</v>
      </c>
      <c r="L313" s="1">
        <f>'[2]Electricity and CHPs_IN'!H$23</f>
        <v>4.3755869563957921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IFERROR(J86/SUM(J86+J189),0)*'[2]Electricity and CHPs_IN'!F$24</f>
        <v>2.8379861171849404E-3</v>
      </c>
      <c r="K314" s="1">
        <f>IFERROR(K86/SUM(K86+K189),0)*'[2]Electricity and CHPs_IN'!G$24</f>
        <v>1.2432373430239241E-4</v>
      </c>
      <c r="L314" s="1">
        <f>IFERROR(L86/SUM(L86+L189),0)*'[2]Electricity and CHPs_IN'!H$24</f>
        <v>5.0281374852096307E-2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3.9026416866581126E-5</v>
      </c>
      <c r="L315" s="1">
        <f>IFERROR(L87/SUM(L87+L190),0)*'[2]Electricity and CHPs_IN'!H$29</f>
        <v>0.51226794667035314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J88/SUM(J88,J241)*'[2]Electricity and CHPs_IN'!F$39</f>
        <v>1.2605299594436238E-2</v>
      </c>
      <c r="K316" s="1">
        <f>K88/SUM(K88,K241)*'[2]Electricity and CHPs_IN'!G$39</f>
        <v>7.3174744991904043E-3</v>
      </c>
      <c r="L316" s="1">
        <f>L88/SUM(L88,L241)*'[2]Electricity and CHPs_IN'!H$39</f>
        <v>8.4255144263597107E-2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3.2952672791743666E-2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J91/SUM(J91,J244)*'[2]Electricity and CHPs_IN'!F$48</f>
        <v>3.2040083623480825E-3</v>
      </c>
      <c r="K319" s="1">
        <f>K91/SUM(K91,K244)*'[2]Electricity and CHPs_IN'!G$48</f>
        <v>2.0429068672460598E-3</v>
      </c>
      <c r="L319" s="1">
        <f>L91/SUM(L91,L244)*'[2]Electricity and CHPs_IN'!H$48</f>
        <v>1.5946227087367455E-3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IFERROR(J92/SUM(J92,J245),0)*'[2]Electricity and CHPs_IN'!F$49</f>
        <v>2.1442455994573248E-3</v>
      </c>
      <c r="K320" s="1">
        <f>IFERROR(K92/SUM(K92,K245),0)*'[2]Electricity and CHPs_IN'!G$49</f>
        <v>2.1151695843103992E-3</v>
      </c>
      <c r="L320" s="1">
        <f>IFERROR(L92/SUM(L92,L245),0)*'[2]Electricity and CHPs_IN'!H$49</f>
        <v>1.6674355554071674E-3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IFERROR(J93/SUM(J93,J246),0)*'[2]Electricity and CHPs_IN'!F$51</f>
        <v>1.7005225719958279</v>
      </c>
      <c r="K321" s="1">
        <f>IFERROR(K93/SUM(K93,K246),0)*'[2]Electricity and CHPs_IN'!G$51</f>
        <v>6.4023688922076202E-2</v>
      </c>
      <c r="L321" s="1">
        <f>IFERROR(L93/SUM(L93,L246),0)*'[2]Electricity and CHPs_IN'!H$51</f>
        <v>5.8978510298218878E-2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IFERROR(J94/SUM(J94,J247),0)*'[2]Electricity and CHPs_IN'!F$52</f>
        <v>0.80086941147008361</v>
      </c>
      <c r="K322" s="1">
        <f>IFERROR(K94/SUM(K94,K247),0)*'[2]Electricity and CHPs_IN'!G$52</f>
        <v>3.4820845304368513</v>
      </c>
      <c r="L322" s="1">
        <f>IFERROR(L94/SUM(L94,L247),0)*'[2]Electricity and CHPs_IN'!H$52</f>
        <v>4.4813212573007117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IFERROR(J95/SUM(J95,J248),0)*'[2]Electricity and CHPs_IN'!F$54</f>
        <v>1.4563013732051469</v>
      </c>
      <c r="K323" s="1">
        <f>IFERROR(K95/SUM(K95,K248),0)*'[2]Electricity and CHPs_IN'!G$54</f>
        <v>1.5446400505748188</v>
      </c>
      <c r="L323" s="1">
        <f>IFERROR(L95/SUM(L95,L248),0)*'[2]Electricity and CHPs_IN'!H$54</f>
        <v>1.5036389738918599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IFERROR(J96/SUM(J96,J249),0)*'[2]Electricity and CHPs_IN'!F$55</f>
        <v>1.6309257642023118E-3</v>
      </c>
      <c r="K324" s="1">
        <f>IFERROR(K96/SUM(K96,K249),0)*'[2]Electricity and CHPs_IN'!G$55</f>
        <v>8.0962938639340249E-4</v>
      </c>
      <c r="L324" s="1">
        <f>IFERROR(L96/SUM(L96,L249),0)*'[2]Electricity and CHPs_IN'!H$55</f>
        <v>3.1694025898718395E-4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IFERROR(J97/SUM(J97,J250),0)*'[2]Electricity and CHPs_IN'!F$58</f>
        <v>1.4988229996164895E-3</v>
      </c>
      <c r="K325" s="1">
        <f>IFERROR(K97/SUM(K97,K250),0)*'[2]Electricity and CHPs_IN'!G$58</f>
        <v>9.5604002671511559E-4</v>
      </c>
      <c r="L325" s="1">
        <f>IFERROR(L97/SUM(L97,L250),0)*'[2]Electricity and CHPs_IN'!H$58</f>
        <v>2.1561861622257243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7">G310-G342</f>
        <v>1.4618679316465293</v>
      </c>
      <c r="H326" s="1">
        <f t="shared" si="297"/>
        <v>2.0828425246483451</v>
      </c>
      <c r="I326" s="1">
        <f t="shared" si="297"/>
        <v>1.8084275708349775</v>
      </c>
      <c r="J326" s="1">
        <f t="shared" si="297"/>
        <v>2.1568254015415773</v>
      </c>
      <c r="K326" s="1">
        <f t="shared" si="297"/>
        <v>2.8623440874959614</v>
      </c>
      <c r="L326" s="1">
        <f t="shared" ref="L326" si="298">L310-L342</f>
        <v>9.9601615059882747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2.3434819349601468E-4</v>
      </c>
      <c r="L327" s="1">
        <f t="shared" ref="L327" si="300">IFERROR(L99/L83,0)*L311</f>
        <v>4.13943862880203E-2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2.8452991558780907E-3</v>
      </c>
      <c r="J328" s="1">
        <f t="shared" si="301"/>
        <v>2.7622307565187882E-3</v>
      </c>
      <c r="K328" s="1">
        <f t="shared" si="301"/>
        <v>1.9619083468177238E-4</v>
      </c>
      <c r="L328" s="1">
        <f t="shared" ref="L328" si="302">IFERROR(L100/L84,0)*L312</f>
        <v>1.752457935698714E-2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3.6854309046744218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1.2547957169485704</v>
      </c>
      <c r="G330" s="1">
        <f t="shared" si="305"/>
        <v>7.9520007601480071E-4</v>
      </c>
      <c r="H330" s="1">
        <f t="shared" si="305"/>
        <v>1.4356933609214244</v>
      </c>
      <c r="I330" s="1">
        <f t="shared" si="305"/>
        <v>2.6224015324489498E-3</v>
      </c>
      <c r="J330" s="1">
        <f t="shared" si="305"/>
        <v>2.4207695109527004E-3</v>
      </c>
      <c r="K330" s="1">
        <f t="shared" si="305"/>
        <v>9.9958561915639393E-5</v>
      </c>
      <c r="L330" s="1">
        <f t="shared" ref="L330" si="306">IFERROR(L102/L86,0)*L314</f>
        <v>4.2350554258456616E-2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3.1377954729185081E-5</v>
      </c>
      <c r="L331" s="1">
        <f t="shared" ref="L331" si="308">IFERROR(L103/L87,0)*L315</f>
        <v>0.4314685414658358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0.86998096013510462</v>
      </c>
      <c r="G332" s="1">
        <f t="shared" si="309"/>
        <v>0.6807051939891291</v>
      </c>
      <c r="H332" s="1">
        <f t="shared" si="309"/>
        <v>0.52209810873808249</v>
      </c>
      <c r="I332" s="1">
        <f t="shared" si="309"/>
        <v>3.7488043613318998E-2</v>
      </c>
      <c r="J332" s="1">
        <f t="shared" si="309"/>
        <v>1.0752175547956414E-2</v>
      </c>
      <c r="K332" s="1">
        <f t="shared" si="309"/>
        <v>5.8833836668254012E-3</v>
      </c>
      <c r="L332" s="1">
        <f t="shared" ref="L332" si="310">IFERROR(L104/L88,0)*L316</f>
        <v>7.0965682008211697E-2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0</v>
      </c>
      <c r="L333" s="1">
        <f t="shared" ref="L333" si="312">IFERROR(L105/L89,0)*L317</f>
        <v>2.7755087467933939E-2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2.6586096294861208E-2</v>
      </c>
      <c r="G335" s="1">
        <f t="shared" si="315"/>
        <v>1.8754391125279813E-3</v>
      </c>
      <c r="H335" s="1">
        <f t="shared" si="315"/>
        <v>1.1127081896946178E-2</v>
      </c>
      <c r="I335" s="1">
        <f t="shared" si="315"/>
        <v>8.3049129555064979E-3</v>
      </c>
      <c r="J335" s="1">
        <f t="shared" si="315"/>
        <v>2.7329822755099444E-3</v>
      </c>
      <c r="K335" s="1">
        <f t="shared" si="315"/>
        <v>1.6425345789630981E-3</v>
      </c>
      <c r="L335" s="1">
        <f t="shared" ref="L335" si="316">IFERROR(L107/L91,0)*L319</f>
        <v>1.3431047927144543E-3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1.4311233571994281E-3</v>
      </c>
      <c r="J336" s="1">
        <f t="shared" si="317"/>
        <v>1.8290168298319865E-3</v>
      </c>
      <c r="K336" s="1">
        <f t="shared" si="317"/>
        <v>1.7006351284551116E-3</v>
      </c>
      <c r="L336" s="1">
        <f t="shared" ref="L336" si="318">IFERROR(L108/L92,0)*L320</f>
        <v>1.4044329569243442E-3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3.9180547992539602E-2</v>
      </c>
      <c r="G337" s="1">
        <f t="shared" si="319"/>
        <v>1.9149338324680014E-3</v>
      </c>
      <c r="H337" s="1">
        <f t="shared" si="319"/>
        <v>2.7667180717007297E-2</v>
      </c>
      <c r="I337" s="1">
        <f t="shared" si="319"/>
        <v>1.722768874038171</v>
      </c>
      <c r="J337" s="1">
        <f t="shared" si="319"/>
        <v>1.4505261918115677</v>
      </c>
      <c r="K337" s="1">
        <f t="shared" si="319"/>
        <v>5.147621979902061E-2</v>
      </c>
      <c r="L337" s="1">
        <f t="shared" ref="L337" si="320">IFERROR(L109/L93,0)*L321</f>
        <v>4.9675901023289643E-2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6.3515124682740533E-3</v>
      </c>
      <c r="J338" s="1">
        <f t="shared" si="321"/>
        <v>0.68313239511702395</v>
      </c>
      <c r="K338" s="1">
        <f t="shared" si="321"/>
        <v>2.7996598081953223</v>
      </c>
      <c r="L338" s="1">
        <f t="shared" ref="L338" si="322">IFERROR(L110/L94,0)*L322</f>
        <v>3.7744878618603708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0.7568196093721572</v>
      </c>
      <c r="G340" s="1">
        <f t="shared" si="325"/>
        <v>0.77657716463638948</v>
      </c>
      <c r="H340" s="1">
        <f t="shared" si="325"/>
        <v>8.6256792374884178E-2</v>
      </c>
      <c r="I340" s="1">
        <f t="shared" si="325"/>
        <v>2.5708670095973989E-2</v>
      </c>
      <c r="J340" s="1">
        <f t="shared" si="325"/>
        <v>1.3911609153762845E-3</v>
      </c>
      <c r="K340" s="1">
        <f t="shared" si="325"/>
        <v>6.5095687161135E-4</v>
      </c>
      <c r="L340" s="1">
        <f t="shared" ref="L340" si="326">IFERROR(L112/L96,0)*L324</f>
        <v>2.669496543085559E-4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9.0673361820616785E-4</v>
      </c>
      <c r="J341" s="1">
        <f t="shared" si="327"/>
        <v>1.2784787768395649E-3</v>
      </c>
      <c r="K341" s="1">
        <f t="shared" si="327"/>
        <v>7.6867371094075515E-4</v>
      </c>
      <c r="L341" s="1">
        <f t="shared" ref="L341" si="328">IFERROR(L113/L97,0)*L325</f>
        <v>1.8160935201807988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9">SUM(G343:G357)</f>
        <v>1.281668556533609</v>
      </c>
      <c r="H342" s="1">
        <f t="shared" si="329"/>
        <v>1.4489727045639085</v>
      </c>
      <c r="I342" s="1">
        <f t="shared" si="329"/>
        <v>1.6199977535012677</v>
      </c>
      <c r="J342" s="1">
        <f t="shared" si="329"/>
        <v>1.8280275413493088</v>
      </c>
      <c r="K342" s="1">
        <f t="shared" si="329"/>
        <v>2.2423645647892383</v>
      </c>
      <c r="L342" s="1">
        <f t="shared" ref="L342" si="330">SUM(L343:L357)</f>
        <v>3.3688389782553418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5.7123012012452517E-5</v>
      </c>
      <c r="L343" s="1">
        <f t="shared" ref="L343" si="332">L311-L327</f>
        <v>7.7517628041090941E-3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3.7732353709279401E-4</v>
      </c>
      <c r="J344" s="1">
        <f t="shared" si="333"/>
        <v>4.7606702606376285E-4</v>
      </c>
      <c r="K344" s="1">
        <f t="shared" si="333"/>
        <v>4.7822051619316396E-5</v>
      </c>
      <c r="L344" s="1">
        <f t="shared" ref="L344" si="334">L312-L328</f>
        <v>3.2817585812708501E-3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2.0327744619465304E-5</v>
      </c>
      <c r="L345" s="1">
        <f t="shared" ref="L345" si="336">L313-L329</f>
        <v>0.69015605172137029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3.3632343493294803E-2</v>
      </c>
      <c r="G346" s="1">
        <f t="shared" si="337"/>
        <v>1.4502050324297251E-5</v>
      </c>
      <c r="H346" s="1">
        <f t="shared" si="337"/>
        <v>1.7394803873939102E-2</v>
      </c>
      <c r="I346" s="1">
        <f t="shared" si="337"/>
        <v>3.4776442394713128E-4</v>
      </c>
      <c r="J346" s="1">
        <f t="shared" si="337"/>
        <v>4.1721660623223996E-4</v>
      </c>
      <c r="K346" s="1">
        <f t="shared" si="337"/>
        <v>2.4365172386753013E-5</v>
      </c>
      <c r="L346" s="1">
        <f t="shared" ref="L346" si="338">L314-L330</f>
        <v>7.9308205936396911E-3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7.6484621373960445E-6</v>
      </c>
      <c r="L347" s="1">
        <f t="shared" ref="L347" si="340">L315-L331</f>
        <v>8.0799405204517338E-2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2.3318137039106013E-2</v>
      </c>
      <c r="G348" s="1">
        <f t="shared" si="341"/>
        <v>1.2414009099085188E-2</v>
      </c>
      <c r="H348" s="1">
        <f t="shared" si="341"/>
        <v>6.3257199981928691E-3</v>
      </c>
      <c r="I348" s="1">
        <f t="shared" si="341"/>
        <v>4.9714003484112174E-3</v>
      </c>
      <c r="J348" s="1">
        <f t="shared" si="341"/>
        <v>1.8531240464798246E-3</v>
      </c>
      <c r="K348" s="1">
        <f t="shared" si="341"/>
        <v>1.4340908323650032E-3</v>
      </c>
      <c r="L348" s="1">
        <f t="shared" ref="L348" si="342">L316-L332</f>
        <v>1.3289462255385409E-2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0</v>
      </c>
      <c r="L349" s="1">
        <f t="shared" ref="L349" si="344">L317-L333</f>
        <v>5.1975853238097267E-3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7.1258828083107378E-4</v>
      </c>
      <c r="G351" s="1">
        <f t="shared" si="347"/>
        <v>3.4202351345763785E-5</v>
      </c>
      <c r="H351" s="1">
        <f t="shared" si="347"/>
        <v>1.3481528337110603E-4</v>
      </c>
      <c r="I351" s="1">
        <f t="shared" si="347"/>
        <v>1.1013390719024092E-3</v>
      </c>
      <c r="J351" s="1">
        <f t="shared" si="347"/>
        <v>4.7102608683813807E-4</v>
      </c>
      <c r="K351" s="1">
        <f t="shared" si="347"/>
        <v>4.0037228828296171E-4</v>
      </c>
      <c r="L351" s="1">
        <f t="shared" ref="L351" si="348">L319-L335</f>
        <v>2.5151791602229115E-4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1.8978550147847402E-4</v>
      </c>
      <c r="J352" s="1">
        <f t="shared" si="349"/>
        <v>3.1522876962533837E-4</v>
      </c>
      <c r="K352" s="1">
        <f t="shared" si="349"/>
        <v>4.1453445585528759E-4</v>
      </c>
      <c r="L352" s="1">
        <f t="shared" ref="L352" si="350">L320-L336</f>
        <v>2.6300259848282322E-4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1.0501579106000497E-3</v>
      </c>
      <c r="G353" s="1">
        <f t="shared" si="351"/>
        <v>3.4922615884701693E-5</v>
      </c>
      <c r="H353" s="1">
        <f t="shared" si="351"/>
        <v>3.3521446530078783E-4</v>
      </c>
      <c r="I353" s="1">
        <f t="shared" si="351"/>
        <v>0.22846147611668055</v>
      </c>
      <c r="J353" s="1">
        <f t="shared" si="351"/>
        <v>0.24999638018426018</v>
      </c>
      <c r="K353" s="1">
        <f t="shared" si="351"/>
        <v>1.2547469123055592E-2</v>
      </c>
      <c r="L353" s="1">
        <f t="shared" ref="L353" si="352">L321-L337</f>
        <v>9.3026092749292355E-3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8.4229285538115709E-4</v>
      </c>
      <c r="J354" s="1">
        <f t="shared" si="353"/>
        <v>0.11773701635305966</v>
      </c>
      <c r="K354" s="1">
        <f t="shared" si="353"/>
        <v>0.68242472224152895</v>
      </c>
      <c r="L354" s="1">
        <f t="shared" ref="L354" si="354">L322-L338</f>
        <v>0.70683339544034096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1.0647037863800024</v>
      </c>
      <c r="G355" s="1">
        <f t="shared" si="355"/>
        <v>1.2550084958122114</v>
      </c>
      <c r="H355" s="1">
        <f t="shared" si="355"/>
        <v>1.423737067064474</v>
      </c>
      <c r="I355" s="1">
        <f t="shared" si="355"/>
        <v>1.3801768242348689</v>
      </c>
      <c r="J355" s="1">
        <f t="shared" si="355"/>
        <v>1.4563013732051469</v>
      </c>
      <c r="K355" s="1">
        <f t="shared" si="355"/>
        <v>1.5446400505748188</v>
      </c>
      <c r="L355" s="1">
        <f t="shared" ref="L355" si="356">L323-L339</f>
        <v>1.5036389738918599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2.0285068494466985E-2</v>
      </c>
      <c r="G356" s="1">
        <f t="shared" si="357"/>
        <v>1.4162424604757584E-2</v>
      </c>
      <c r="H356" s="1">
        <f t="shared" si="357"/>
        <v>1.0450838786307537E-3</v>
      </c>
      <c r="I356" s="1">
        <f t="shared" si="357"/>
        <v>3.4093027843924498E-3</v>
      </c>
      <c r="J356" s="1">
        <f t="shared" si="357"/>
        <v>2.3976484882602721E-4</v>
      </c>
      <c r="K356" s="1">
        <f t="shared" si="357"/>
        <v>1.5867251478205249E-4</v>
      </c>
      <c r="L356" s="1">
        <f t="shared" ref="L356" si="358">L324-L340</f>
        <v>4.9990604678628052E-5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1.2024462711264993E-4</v>
      </c>
      <c r="J357" s="1">
        <f t="shared" si="359"/>
        <v>2.2034422277692465E-4</v>
      </c>
      <c r="K357" s="1">
        <f t="shared" si="359"/>
        <v>1.8736631577436044E-4</v>
      </c>
      <c r="L357" s="1">
        <f t="shared" ref="L357" si="360">L325-L341</f>
        <v>0.34009264204492551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22.495513724299485</v>
      </c>
      <c r="G358" s="1">
        <f t="shared" ref="G358:K358" si="362">SUM(G359:G364)</f>
        <v>24.624386410689073</v>
      </c>
      <c r="H358" s="1">
        <f t="shared" si="362"/>
        <v>26.540375356185571</v>
      </c>
      <c r="I358" s="1">
        <f t="shared" si="362"/>
        <v>24.62579737847101</v>
      </c>
      <c r="J358" s="1">
        <f t="shared" si="362"/>
        <v>25.425930112154354</v>
      </c>
      <c r="K358" s="1">
        <f t="shared" si="362"/>
        <v>26.258954975250884</v>
      </c>
      <c r="L358" s="1">
        <f t="shared" ref="L358" si="363">SUM(L359:L364)</f>
        <v>47.483981147728365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'[2]Electricity and CHPs_IN'!F$19</f>
        <v>21.16836680469541</v>
      </c>
      <c r="K359" s="1">
        <f>'[2]Electricity and CHPs_IN'!G$19</f>
        <v>21.45160598963016</v>
      </c>
      <c r="L359" s="1">
        <f>'[2]Electricity and CHPs_IN'!H$19</f>
        <v>2.8342892621371044E-3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27.084582454622367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IFERROR(J133/SUM(J133,J198),0)*'[2]Electricity and CHPs_IN'!F$26</f>
        <v>4.2560006606995699</v>
      </c>
      <c r="K361" s="1">
        <f>IFERROR(K133/SUM(K133,K198),0)*'[2]Electricity and CHPs_IN'!G$26</f>
        <v>4.5016683785175813</v>
      </c>
      <c r="L361" s="1">
        <f>IFERROR(L133/SUM(L133,L198),0)*'[2]Electricity and CHPs_IN'!H$26</f>
        <v>16.887505371761591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2.3179775749810587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IFERROR(J135/SUM(J135,J274),0)*'[2]Electricity and CHPs_IN'!F$44</f>
        <v>1.562646759374262E-3</v>
      </c>
      <c r="K363" s="1">
        <f>IFERROR(K135/SUM(K135,K274),0)*'[2]Electricity and CHPs_IN'!G$44</f>
        <v>0.30568060710314204</v>
      </c>
      <c r="L363" s="1">
        <f>IFERROR(L135/SUM(L135,L274),0)*'[2]Electricity and CHPs_IN'!H$44</f>
        <v>3.2503239198683568E-4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1.1907564247092279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11.050534143630552</v>
      </c>
      <c r="G365" s="1">
        <f t="shared" ref="G365:K365" si="364">SUM(G366:G369)</f>
        <v>12.107596821910951</v>
      </c>
      <c r="H365" s="1">
        <f t="shared" si="364"/>
        <v>13.268286905764915</v>
      </c>
      <c r="I365" s="1">
        <f t="shared" si="364"/>
        <v>12.312022452699587</v>
      </c>
      <c r="J365" s="1">
        <f t="shared" si="364"/>
        <v>12.71218373269749</v>
      </c>
      <c r="K365" s="1">
        <f t="shared" si="364"/>
        <v>12.976637184073871</v>
      </c>
      <c r="L365" s="1">
        <f t="shared" ref="L365" si="365">SUM(L366:L369)</f>
        <v>23.146449845313576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9.1017964550915877</v>
      </c>
      <c r="G366" s="1">
        <f t="shared" ref="G366:K366" si="366">G359*IFERROR(G138/G131,0)</f>
        <v>10.214891427998639</v>
      </c>
      <c r="H366" s="1">
        <f t="shared" si="366"/>
        <v>11.468183475729937</v>
      </c>
      <c r="I366" s="1">
        <f t="shared" si="366"/>
        <v>10.348293249681497</v>
      </c>
      <c r="J366" s="1">
        <f t="shared" si="366"/>
        <v>10.584183402347705</v>
      </c>
      <c r="K366" s="1">
        <f t="shared" si="366"/>
        <v>10.72580299481508</v>
      </c>
      <c r="L366" s="1">
        <f t="shared" ref="L366" si="367">L359*IFERROR(L138/L131,0)</f>
        <v>1.4171446310685522E-3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0</v>
      </c>
      <c r="L367" s="1">
        <f t="shared" ref="L367" si="369">L360*IFERROR(L139/L132,0)</f>
        <v>13.542291227311184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1.9487376885389636</v>
      </c>
      <c r="G368" s="1">
        <f t="shared" si="370"/>
        <v>1.8927053939123113</v>
      </c>
      <c r="H368" s="1">
        <f t="shared" si="370"/>
        <v>1.800103430034979</v>
      </c>
      <c r="I368" s="1">
        <f t="shared" si="370"/>
        <v>1.9637292030180911</v>
      </c>
      <c r="J368" s="1">
        <f t="shared" si="370"/>
        <v>2.128000330349785</v>
      </c>
      <c r="K368" s="1">
        <f t="shared" si="370"/>
        <v>2.2508341892587906</v>
      </c>
      <c r="L368" s="1">
        <f t="shared" ref="L368" si="371">L361*IFERROR(L140/L133,0)</f>
        <v>8.4437526858807956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</v>
      </c>
      <c r="L369" s="1">
        <f t="shared" ref="L369" si="373">L362*IFERROR(L141/L134,0)</f>
        <v>1.1589887874905294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11.444979580668932</v>
      </c>
      <c r="G372" s="1">
        <f t="shared" ref="G372:K372" si="378">SUM(G373:G378)</f>
        <v>12.516789588778122</v>
      </c>
      <c r="H372" s="1">
        <f t="shared" si="378"/>
        <v>13.272088450420656</v>
      </c>
      <c r="I372" s="1">
        <f t="shared" si="378"/>
        <v>12.313774925771421</v>
      </c>
      <c r="J372" s="1">
        <f t="shared" si="378"/>
        <v>12.713746379456865</v>
      </c>
      <c r="K372" s="1">
        <f t="shared" si="378"/>
        <v>13.282317791177013</v>
      </c>
      <c r="L372" s="1">
        <f t="shared" ref="L372" si="379">SUM(L373:L378)</f>
        <v>24.337531302414792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9.1017964550915877</v>
      </c>
      <c r="G373" s="1">
        <f t="shared" si="380"/>
        <v>10.214891427998639</v>
      </c>
      <c r="H373" s="1">
        <f t="shared" si="380"/>
        <v>11.468183475729937</v>
      </c>
      <c r="I373" s="1">
        <f t="shared" si="380"/>
        <v>10.348293249681497</v>
      </c>
      <c r="J373" s="1">
        <f t="shared" si="380"/>
        <v>10.584183402347705</v>
      </c>
      <c r="K373" s="1">
        <f t="shared" si="380"/>
        <v>10.72580299481508</v>
      </c>
      <c r="L373" s="1">
        <f t="shared" ref="L373" si="381">L366*IFERROR(L145/L138,0)</f>
        <v>1.4171446310685522E-3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0</v>
      </c>
      <c r="L374" s="1">
        <f t="shared" ref="L374" si="383">L367*IFERROR(L146/L139,0)</f>
        <v>13.542291227311184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1.9487376885389636</v>
      </c>
      <c r="G375" s="1">
        <f t="shared" si="384"/>
        <v>1.8927053939123113</v>
      </c>
      <c r="H375" s="1">
        <f t="shared" si="384"/>
        <v>1.800103430034979</v>
      </c>
      <c r="I375" s="1">
        <f t="shared" si="384"/>
        <v>1.9637292030180911</v>
      </c>
      <c r="J375" s="1">
        <f t="shared" si="384"/>
        <v>2.128000330349785</v>
      </c>
      <c r="K375" s="1">
        <f t="shared" si="384"/>
        <v>2.2508341892587906</v>
      </c>
      <c r="L375" s="1">
        <f t="shared" ref="L375" si="385">L368*IFERROR(L147/L140,0)</f>
        <v>8.4437526858807956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</v>
      </c>
      <c r="L376" s="1">
        <f t="shared" ref="L376" si="387">L369*IFERROR(L148/L141,0)</f>
        <v>1.1589887874905294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0.3944454370383807</v>
      </c>
      <c r="G377" s="1">
        <f t="shared" ref="G377:K377" si="388">G363</f>
        <v>0.40919276686717115</v>
      </c>
      <c r="H377" s="1">
        <f t="shared" si="388"/>
        <v>3.8015446557410782E-3</v>
      </c>
      <c r="I377" s="1">
        <f t="shared" si="388"/>
        <v>1.7524730718346182E-3</v>
      </c>
      <c r="J377" s="1">
        <f t="shared" si="388"/>
        <v>1.562646759374262E-3</v>
      </c>
      <c r="K377" s="1">
        <f t="shared" si="388"/>
        <v>0.30568060710314204</v>
      </c>
      <c r="L377" s="1">
        <f t="shared" ref="L377" si="389">L363</f>
        <v>3.2503239198683568E-4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0</v>
      </c>
      <c r="L378" s="1">
        <f t="shared" ref="L378" si="391">L364</f>
        <v>1.1907564247092279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0.18092069480103751</v>
      </c>
      <c r="G379" s="1">
        <f t="shared" ref="G379:K379" si="392">SUM(G380:G386)</f>
        <v>0.16227120255614966</v>
      </c>
      <c r="H379" s="1">
        <f t="shared" si="392"/>
        <v>1.3489875366597841</v>
      </c>
      <c r="I379" s="1">
        <f t="shared" si="392"/>
        <v>3.4460066155266373</v>
      </c>
      <c r="J379" s="1">
        <f t="shared" si="392"/>
        <v>4.5588471216695554</v>
      </c>
      <c r="K379" s="1">
        <f t="shared" si="392"/>
        <v>6.2595062877855936</v>
      </c>
      <c r="L379" s="1">
        <f t="shared" ref="L379" si="393">SUM(L380:L386)</f>
        <v>15.30808392588532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IFERROR(J152/SUM(J152,J207),0)*'[2]Electricity and CHPs_IN'!F$25</f>
        <v>0.1655665840202917</v>
      </c>
      <c r="K380" s="1">
        <f>IFERROR(K152/SUM(K152,K207),0)*'[2]Electricity and CHPs_IN'!G$25</f>
        <v>0.17667494408705575</v>
      </c>
      <c r="L380" s="1">
        <f>IFERROR(L152/SUM(L152,L207),0)*'[2]Electricity and CHPs_IN'!H$25</f>
        <v>0.1117128746596795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0.63011655159596347</v>
      </c>
      <c r="L381" s="1">
        <f>'[2]Electricity and CHPs_IN'!H$31</f>
        <v>11.618573432806304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IFERROR(J154/SUM(J154,J283),0)*'[2]Electricity and CHPs_IN'!F$42</f>
        <v>3.6689497143932255</v>
      </c>
      <c r="K382" s="1">
        <f>IFERROR(K154/SUM(K154,K283),0)*'[2]Electricity and CHPs_IN'!G$42</f>
        <v>3.4363144288778122</v>
      </c>
      <c r="L382" s="1">
        <f>IFERROR(L154/SUM(L154,L283),0)*'[2]Electricity and CHPs_IN'!H$42</f>
        <v>1.0472444818307576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1.3502811472923182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IFERROR(J156/SUM(J285,J156),0)*'[2]Electricity and CHPs_IN'!F$50</f>
        <v>0.22522996602755582</v>
      </c>
      <c r="K384" s="1">
        <f>IFERROR(K156/SUM(K285,K156),0)*'[2]Electricity and CHPs_IN'!G$50</f>
        <v>0.35604394525391853</v>
      </c>
      <c r="L384" s="1">
        <f>IFERROR(L156/SUM(L285,L156),0)*'[2]Electricity and CHPs_IN'!H$50</f>
        <v>0.2406418556116342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IFERROR(J157/SUM(J286,J157),0)*'[2]Electricity and CHPs_IN'!F$53</f>
        <v>0.25821405899074945</v>
      </c>
      <c r="K385" s="1">
        <f>IFERROR(K157/SUM(K286,K157),0)*'[2]Electricity and CHPs_IN'!G$53</f>
        <v>1.2789410637308827</v>
      </c>
      <c r="L385" s="1">
        <f>IFERROR(L157/SUM(L286,L157),0)*'[2]Electricity and CHPs_IN'!H$53</f>
        <v>0.74354604061208929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IFERROR(J158/SUM(J287,J158),0)*'[2]Electricity and CHPs_IN'!F$56</f>
        <v>0.24088679823773212</v>
      </c>
      <c r="K386" s="1">
        <f>IFERROR(K158/SUM(K287,K158),0)*'[2]Electricity and CHPs_IN'!G$56</f>
        <v>0.38141535423996131</v>
      </c>
      <c r="L386" s="1">
        <f>IFERROR(L158/SUM(L287,L158),0)*'[2]Electricity and CHPs_IN'!H$56</f>
        <v>0.19608409307253796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0.54529224331287351</v>
      </c>
      <c r="H387" s="1">
        <f t="shared" si="394"/>
        <v>0.50316484164642317</v>
      </c>
      <c r="I387" s="1">
        <f t="shared" si="394"/>
        <v>1.6453367237501542</v>
      </c>
      <c r="J387" s="1">
        <f t="shared" si="394"/>
        <v>3.6358989449662165</v>
      </c>
      <c r="K387" s="1">
        <f t="shared" si="394"/>
        <v>5.1006219495500558</v>
      </c>
      <c r="L387" s="1">
        <f t="shared" si="394"/>
        <v>6.1200029154631306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'[2]Electricity and CHPs_IN'!F$33</f>
        <v>3.6358989449662165</v>
      </c>
      <c r="K388" s="1">
        <f>'[2]Electricity and CHPs_IN'!G$33</f>
        <v>5.1006219495500558</v>
      </c>
      <c r="L388" s="1">
        <f>'[2]Electricity and CHPs_IN'!H$33</f>
        <v>6.1200029154631306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12.821412724156708</v>
      </c>
      <c r="H389" s="1">
        <f t="shared" si="395"/>
        <v>28.800005811017826</v>
      </c>
      <c r="I389" s="1">
        <f t="shared" si="395"/>
        <v>31.1749998053978</v>
      </c>
      <c r="J389" s="1">
        <f t="shared" si="395"/>
        <v>50.947402426715882</v>
      </c>
      <c r="K389" s="1">
        <f t="shared" si="395"/>
        <v>63.964945555576477</v>
      </c>
      <c r="L389" s="1">
        <f t="shared" ref="L389" si="396">SUM(L390:L394)</f>
        <v>90.000015741068438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'[2]Electricity and CHPs_IN'!F34</f>
        <v>0.829639462633323</v>
      </c>
      <c r="K390" s="1">
        <f>'[2]Electricity and CHPs_IN'!G34</f>
        <v>1.4212421655886716</v>
      </c>
      <c r="L390" s="1">
        <f>'[2]Electricity and CHPs_IN'!H34</f>
        <v>1.6437131927835906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'[2]Electricity and CHPs_IN'!F35</f>
        <v>30.162316632815816</v>
      </c>
      <c r="K391" s="1">
        <f>'[2]Electricity and CHPs_IN'!G35</f>
        <v>40.847583691360121</v>
      </c>
      <c r="L391" s="1">
        <f>'[2]Electricity and CHPs_IN'!H35</f>
        <v>64.282161369807724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'[2]Electricity and CHPs_IN'!F36</f>
        <v>4.6126022886555305</v>
      </c>
      <c r="K392" s="1">
        <f>'[2]Electricity and CHPs_IN'!G36</f>
        <v>4.8960738020436727</v>
      </c>
      <c r="L392" s="1">
        <f>'[2]Electricity and CHPs_IN'!H36</f>
        <v>5.5163433054960702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'[2]Electricity and CHPs_IN'!F37</f>
        <v>4.0163017633036038</v>
      </c>
      <c r="K393" s="1">
        <f>'[2]Electricity and CHPs_IN'!G37</f>
        <v>4.2211844738582069</v>
      </c>
      <c r="L393" s="1">
        <f>'[2]Electricity and CHPs_IN'!H37</f>
        <v>4.6628247121485131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'[2]Electricity and CHPs_IN'!F38</f>
        <v>11.326542279307608</v>
      </c>
      <c r="K394" s="1">
        <f>'[2]Electricity and CHPs_IN'!G38</f>
        <v>12.578861422725801</v>
      </c>
      <c r="L394" s="1">
        <f>'[2]Electricity and CHPs_IN'!H38</f>
        <v>13.894973160832535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</v>
      </c>
      <c r="L396" s="1">
        <f>'[2]Electricity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4.1942788197668439E-3</v>
      </c>
      <c r="J397" s="1">
        <f t="shared" ref="J397" si="401">SUM(J398:J400)</f>
        <v>2.8136787813125082E-3</v>
      </c>
      <c r="K397" s="1">
        <f t="shared" ref="K397:L397" si="402">SUM(K398:K400)</f>
        <v>0.17487600003214382</v>
      </c>
      <c r="L397" s="1">
        <f t="shared" si="402"/>
        <v>0.17466059652041185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0.17275431440740974</v>
      </c>
      <c r="L398" s="1">
        <f>IFERROR(L170/SUM(L170,L209),0)*'[2]Electricity and CHPs_IN'!H$30</f>
        <v>0.16911808660728361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1.7828032180030055E-3</v>
      </c>
      <c r="K399" s="1">
        <f>IFERROR(K171/SUM(K171,K289),0)*'[2]Electricity and CHPs_IN'!G$46</f>
        <v>1.4829515883537257E-3</v>
      </c>
      <c r="L399" s="1">
        <f>IFERROR(L171/SUM(L171,L289),0)*'[2]Electricity and CHPs_IN'!H$46</f>
        <v>1.915308143983611E-3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IFERROR(J172/SUM(J172,J290),0)*'[2]Electricity and CHPs_IN'!F$57</f>
        <v>1.0308755633095027E-3</v>
      </c>
      <c r="K400" s="1">
        <f>IFERROR(K172/SUM(K172,K290),0)*'[2]Electricity and CHPs_IN'!G$57</f>
        <v>6.3873403638033469E-4</v>
      </c>
      <c r="L400" s="1">
        <f>IFERROR(L172/SUM(L172,L290),0)*'[2]Electricity and CHPs_IN'!H$57</f>
        <v>3.6272017691446456E-3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0.16869266037851247</v>
      </c>
      <c r="G401" s="1">
        <f t="shared" ref="G401:K401" si="403">SUM(G402:G408)</f>
        <v>4.2955337908309736E-2</v>
      </c>
      <c r="H401" s="1">
        <f t="shared" si="403"/>
        <v>0.43440832806451735</v>
      </c>
      <c r="I401" s="1">
        <f t="shared" si="403"/>
        <v>1.0969631754705589</v>
      </c>
      <c r="J401" s="1">
        <f t="shared" si="403"/>
        <v>0.25629528289387171</v>
      </c>
      <c r="K401" s="1">
        <f t="shared" si="403"/>
        <v>1.2841249491095958</v>
      </c>
      <c r="L401" s="1">
        <f t="shared" ref="L401" si="404">SUM(L402:L408)</f>
        <v>1.2779069619132082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'[2]Electricity and CHPs_IN'!F63</f>
        <v>1.2172367868690211E-3</v>
      </c>
      <c r="K402" s="1">
        <f>'[2]Electricity and CHPs_IN'!G63</f>
        <v>1.1748418269552671E-3</v>
      </c>
      <c r="L402" s="1">
        <f>'[2]Electricity and CHPs_IN'!H63</f>
        <v>2.6615083911318033E-2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'[2]Electricity and CHPs_IN'!F64</f>
        <v>4.8391070243207018E-2</v>
      </c>
      <c r="K403" s="1">
        <f>'[2]Electricity and CHPs_IN'!G64</f>
        <v>4.8518088914600806E-2</v>
      </c>
      <c r="L403" s="1">
        <f>'[2]Electricity and CHPs_IN'!H64</f>
        <v>0.25594481094196736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'[2]Electricity and CHPs_IN'!F65</f>
        <v>2.0130434433853758E-2</v>
      </c>
      <c r="K404" s="1">
        <f>'[2]Electricity and CHPs_IN'!G65</f>
        <v>2.734880878405763E-2</v>
      </c>
      <c r="L404" s="1">
        <f>'[2]Electricity and CHPs_IN'!H65</f>
        <v>3.9384708962044289E-2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'[2]Electricity and CHPs_IN'!F66</f>
        <v>7.4390990210083011E-2</v>
      </c>
      <c r="K405" s="1">
        <f>'[2]Electricity and CHPs_IN'!G66</f>
        <v>0.7947905820570933</v>
      </c>
      <c r="L405" s="1">
        <f>'[2]Electricity and CHPs_IN'!H66</f>
        <v>0.59818384754260345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'[2]Electricity and CHPs_IN'!F67</f>
        <v>3.7167702136113034E-2</v>
      </c>
      <c r="K406" s="1">
        <f>'[2]Electricity and CHPs_IN'!G67</f>
        <v>0.16292368418023617</v>
      </c>
      <c r="L406" s="1">
        <f>'[2]Electricity and CHPs_IN'!H67</f>
        <v>0.15351322927106692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'[2]Electricity and CHPs_IN'!F68</f>
        <v>2.7726378433755666E-2</v>
      </c>
      <c r="K407" s="1">
        <f>'[2]Electricity and CHPs_IN'!G68</f>
        <v>7.3212749723320258E-2</v>
      </c>
      <c r="L407" s="1">
        <f>'[2]Electricity and CHPs_IN'!H68</f>
        <v>5.2655276592716405E-2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'[2]Electricity and CHPs_IN'!F69</f>
        <v>4.7271470649990238E-2</v>
      </c>
      <c r="K408" s="1">
        <f>'[2]Electricity and CHPs_IN'!G69</f>
        <v>0.17615619362333237</v>
      </c>
      <c r="L408" s="1">
        <f>'[2]Electricity and CHPs_IN'!H69</f>
        <v>0.15161000469149163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6">G410+G463</f>
        <v>57.935578782761013</v>
      </c>
      <c r="H409" s="3">
        <f t="shared" si="406"/>
        <v>52.158931962086463</v>
      </c>
      <c r="I409" s="3">
        <f t="shared" si="406"/>
        <v>73.619309450364355</v>
      </c>
      <c r="J409" s="3">
        <f t="shared" si="406"/>
        <v>80.454353099766848</v>
      </c>
      <c r="K409" s="3">
        <f t="shared" si="406"/>
        <v>85.544935584086105</v>
      </c>
      <c r="L409" s="3">
        <f t="shared" ref="L409" si="407">L410+L463</f>
        <v>67.225797655520793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48.024932994853664</v>
      </c>
      <c r="G410" s="1">
        <f t="shared" si="408"/>
        <v>49.898749520577475</v>
      </c>
      <c r="H410" s="1">
        <f t="shared" si="408"/>
        <v>45.148285597209721</v>
      </c>
      <c r="I410" s="1">
        <f t="shared" si="408"/>
        <v>60.008437927749213</v>
      </c>
      <c r="J410" s="1">
        <f t="shared" si="408"/>
        <v>64.932652751858143</v>
      </c>
      <c r="K410" s="1">
        <f t="shared" si="408"/>
        <v>69.206975652043951</v>
      </c>
      <c r="L410" s="1">
        <f t="shared" ref="L410" si="409">L411+L440</f>
        <v>50.56925504156397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10">SUM(G412,G418,G427,G436,G438)</f>
        <v>36.498036008821636</v>
      </c>
      <c r="H411" s="1">
        <f t="shared" si="410"/>
        <v>35.724478340294183</v>
      </c>
      <c r="I411" s="1">
        <f t="shared" si="410"/>
        <v>35.429652840039992</v>
      </c>
      <c r="J411" s="1">
        <f t="shared" si="410"/>
        <v>37.095423209978421</v>
      </c>
      <c r="K411" s="1">
        <f t="shared" si="410"/>
        <v>38.014336075739877</v>
      </c>
      <c r="L411" s="1">
        <f t="shared" ref="L411" si="411">SUM(L412,L418,L427,L436,L438)</f>
        <v>21.867766839836442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12">G413</f>
        <v>1.7653249789384595</v>
      </c>
      <c r="H412" s="1">
        <f t="shared" si="412"/>
        <v>2.6822934305441533E-2</v>
      </c>
      <c r="I412" s="1">
        <f t="shared" si="412"/>
        <v>1.868837006075811E-3</v>
      </c>
      <c r="J412" s="1">
        <f t="shared" si="412"/>
        <v>1.7406394254205913E-3</v>
      </c>
      <c r="K412" s="1">
        <f t="shared" si="412"/>
        <v>1.7941509356219712E-4</v>
      </c>
      <c r="L412" s="1">
        <f t="shared" si="412"/>
        <v>1.2886301929877311E-4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'[2]Electricity and CHPs_IN'!F$28-J300</f>
        <v>1.7406394254205913E-3</v>
      </c>
      <c r="K413" s="1">
        <f>'[2]Electricity and CHPs_IN'!G$28-K300</f>
        <v>1.7941509356219712E-4</v>
      </c>
      <c r="L413" s="1">
        <f>'[2]Electricity and CHPs_IN'!H$28-L300</f>
        <v>1.2886301929877311E-4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13">G415</f>
        <v>1.7653249789384595</v>
      </c>
      <c r="H414" s="1">
        <f t="shared" si="413"/>
        <v>2.6822934305441533E-2</v>
      </c>
      <c r="I414" s="1">
        <f t="shared" si="413"/>
        <v>1.868837006075811E-3</v>
      </c>
      <c r="J414" s="1">
        <f t="shared" si="413"/>
        <v>1.7406394254205913E-3</v>
      </c>
      <c r="K414" s="1">
        <f t="shared" si="413"/>
        <v>1.7941509356219712E-4</v>
      </c>
      <c r="L414" s="1">
        <f t="shared" si="413"/>
        <v>1.2886301929877311E-4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14">G413-G417</f>
        <v>1.7653249789384595</v>
      </c>
      <c r="H415" s="1">
        <f t="shared" si="414"/>
        <v>2.6822934305441533E-2</v>
      </c>
      <c r="I415" s="1">
        <f t="shared" si="414"/>
        <v>1.868837006075811E-3</v>
      </c>
      <c r="J415" s="1">
        <f t="shared" si="414"/>
        <v>1.7406394254205913E-3</v>
      </c>
      <c r="K415" s="1">
        <f t="shared" si="414"/>
        <v>1.7941509356219712E-4</v>
      </c>
      <c r="L415" s="1">
        <f t="shared" ref="L415" si="415">L413-L417</f>
        <v>1.2886301929877311E-4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9">SUM(G419:G420)</f>
        <v>1.5558871412924297E-3</v>
      </c>
      <c r="H418" s="1">
        <f t="shared" si="419"/>
        <v>2.9105301847794447</v>
      </c>
      <c r="I418" s="1">
        <f t="shared" si="419"/>
        <v>6.3523883747074027E-3</v>
      </c>
      <c r="J418" s="1">
        <f t="shared" si="419"/>
        <v>6.0370584014859075E-3</v>
      </c>
      <c r="K418" s="1">
        <f t="shared" si="419"/>
        <v>3.1279471788567303E-4</v>
      </c>
      <c r="L418" s="1">
        <f t="shared" ref="L418" si="420">SUM(L419:L420)</f>
        <v>0.78400535401838323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'[2]Electricity and CHPs_IN'!F$24-J314</f>
        <v>6.0370584014859075E-3</v>
      </c>
      <c r="K419" s="1">
        <f>'[2]Electricity and CHPs_IN'!G$24-K314</f>
        <v>2.6303603638078209E-4</v>
      </c>
      <c r="L419" s="1">
        <f>'[2]Electricity and CHPs_IN'!H$24-L314</f>
        <v>0.10525032468016526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4.9758681504890919E-5</v>
      </c>
      <c r="L420" s="1">
        <f>'[2]Electricity and CHPs_IN'!H$29-L315</f>
        <v>0.67875502933821796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21">SUM(G422:G423)</f>
        <v>1.5280206544845388E-3</v>
      </c>
      <c r="H421" s="1">
        <f t="shared" si="421"/>
        <v>2.8756884573743164</v>
      </c>
      <c r="I421" s="1">
        <f t="shared" si="421"/>
        <v>5.6086135431828105E-3</v>
      </c>
      <c r="J421" s="1">
        <f t="shared" si="421"/>
        <v>5.1495413686710343E-3</v>
      </c>
      <c r="K421" s="1">
        <f t="shared" si="421"/>
        <v>2.5149268842432392E-4</v>
      </c>
      <c r="L421" s="1">
        <f t="shared" ref="L421" si="422">SUM(L422:L423)</f>
        <v>0.66034513538946604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23">G419-G425</f>
        <v>1.5280206544845388E-3</v>
      </c>
      <c r="H422" s="1">
        <f t="shared" si="423"/>
        <v>2.8756884573743164</v>
      </c>
      <c r="I422" s="1">
        <f t="shared" si="423"/>
        <v>5.6086135431828105E-3</v>
      </c>
      <c r="J422" s="1">
        <f t="shared" si="423"/>
        <v>5.1495413686710343E-3</v>
      </c>
      <c r="K422" s="1">
        <f t="shared" si="423"/>
        <v>2.1148579614461294E-4</v>
      </c>
      <c r="L422" s="1">
        <f t="shared" ref="L422" si="424">L419-L425</f>
        <v>8.8649317947233464E-2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4.0006892279710963E-5</v>
      </c>
      <c r="L423" s="1">
        <f t="shared" ref="L423" si="426">L420-L426</f>
        <v>0.57169581744223252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7">SUM(G425:G426)</f>
        <v>2.7866486807891047E-5</v>
      </c>
      <c r="H424" s="1">
        <f t="shared" si="427"/>
        <v>3.4841727405128281E-2</v>
      </c>
      <c r="I424" s="1">
        <f t="shared" si="427"/>
        <v>7.4377483152459191E-4</v>
      </c>
      <c r="J424" s="1">
        <f t="shared" si="427"/>
        <v>8.8751703281487342E-4</v>
      </c>
      <c r="K424" s="1">
        <f t="shared" si="427"/>
        <v>6.1302029461349108E-5</v>
      </c>
      <c r="L424" s="1">
        <f t="shared" ref="L424" si="428">SUM(L425:L426)</f>
        <v>0.12366021862891728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9">IFERROR(G346/G314,0)*G419</f>
        <v>2.7866486807891047E-5</v>
      </c>
      <c r="H425" s="1">
        <f t="shared" si="429"/>
        <v>3.4841727405128281E-2</v>
      </c>
      <c r="I425" s="1">
        <f t="shared" si="429"/>
        <v>7.4377483152459191E-4</v>
      </c>
      <c r="J425" s="1">
        <f t="shared" si="429"/>
        <v>8.8751703281487342E-4</v>
      </c>
      <c r="K425" s="1">
        <f t="shared" si="429"/>
        <v>5.1550240236169153E-5</v>
      </c>
      <c r="L425" s="1">
        <f t="shared" ref="L425" si="430">IFERROR(L346/L314,0)*L419</f>
        <v>1.66010067329318E-2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9.7517892251799536E-6</v>
      </c>
      <c r="L426" s="1">
        <f t="shared" ref="L426" si="432">IFERROR(L347/L315,0)*L420</f>
        <v>0.10705921189598548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33">SUM(G428:G429)</f>
        <v>34.687807861201172</v>
      </c>
      <c r="H427" s="1">
        <f t="shared" si="433"/>
        <v>32.726074862664703</v>
      </c>
      <c r="I427" s="1">
        <f t="shared" si="433"/>
        <v>35.219552309528666</v>
      </c>
      <c r="J427" s="1">
        <f t="shared" si="433"/>
        <v>36.654658308916346</v>
      </c>
      <c r="K427" s="1">
        <f t="shared" si="433"/>
        <v>37.342033152944332</v>
      </c>
      <c r="L427" s="1">
        <f t="shared" ref="L427" si="434">SUM(L428:L429)</f>
        <v>20.578071899418404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'[2]Electricity and CHPs_IN'!F$26-J361</f>
        <v>36.654658308916346</v>
      </c>
      <c r="K428" s="1">
        <f>'[2]Electricity and CHPs_IN'!G$26-K361</f>
        <v>37.342033152944332</v>
      </c>
      <c r="L428" s="1">
        <f>'[2]Electricity and CHPs_IN'!H$26-L361</f>
        <v>4.0790585086210029E-2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20.537281314332194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35">SUM(G431:G432)</f>
        <v>17.343903930600586</v>
      </c>
      <c r="H430" s="1">
        <f t="shared" si="435"/>
        <v>16.363037431332351</v>
      </c>
      <c r="I430" s="1">
        <f t="shared" si="435"/>
        <v>17.609776154764333</v>
      </c>
      <c r="J430" s="1">
        <f t="shared" si="435"/>
        <v>18.327329154458173</v>
      </c>
      <c r="K430" s="1">
        <f t="shared" si="435"/>
        <v>18.671016576472166</v>
      </c>
      <c r="L430" s="1">
        <f t="shared" ref="L430" si="436">SUM(L431:L432)</f>
        <v>10.289035949709202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7">IFERROR(G368/G361,0)*G428</f>
        <v>17.343903930600586</v>
      </c>
      <c r="H431" s="1">
        <f t="shared" si="437"/>
        <v>16.363037431332351</v>
      </c>
      <c r="I431" s="1">
        <f t="shared" si="437"/>
        <v>17.609776154764333</v>
      </c>
      <c r="J431" s="1">
        <f t="shared" si="437"/>
        <v>18.327329154458173</v>
      </c>
      <c r="K431" s="1">
        <f t="shared" si="437"/>
        <v>18.671016576472166</v>
      </c>
      <c r="L431" s="1">
        <f t="shared" ref="L431" si="438">IFERROR(L368/L361,0)*L428</f>
        <v>2.0395292543105015E-2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0</v>
      </c>
      <c r="L432" s="1">
        <f t="shared" ref="L432" si="440">IFERROR(L369/L362,0)*L429</f>
        <v>10.268640657166097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41">SUM(G434:G435)</f>
        <v>17.343903930600586</v>
      </c>
      <c r="H433" s="1">
        <f t="shared" si="441"/>
        <v>16.363037431332351</v>
      </c>
      <c r="I433" s="1">
        <f t="shared" si="441"/>
        <v>17.609776154764333</v>
      </c>
      <c r="J433" s="1">
        <f t="shared" si="441"/>
        <v>18.327329154458173</v>
      </c>
      <c r="K433" s="1">
        <f t="shared" si="441"/>
        <v>18.671016576472166</v>
      </c>
      <c r="L433" s="1">
        <f t="shared" ref="L433" si="442">SUM(L434:L435)</f>
        <v>10.289035949709202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43">G428-G431</f>
        <v>17.343903930600586</v>
      </c>
      <c r="H434" s="1">
        <f t="shared" si="443"/>
        <v>16.363037431332351</v>
      </c>
      <c r="I434" s="1">
        <f t="shared" si="443"/>
        <v>17.609776154764333</v>
      </c>
      <c r="J434" s="1">
        <f t="shared" si="443"/>
        <v>18.327329154458173</v>
      </c>
      <c r="K434" s="1">
        <f t="shared" si="443"/>
        <v>18.671016576472166</v>
      </c>
      <c r="L434" s="1">
        <f t="shared" ref="L434" si="444">L428-L431</f>
        <v>2.0395292543105015E-2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0</v>
      </c>
      <c r="L435" s="1">
        <f t="shared" ref="L435" si="446">L429-L432</f>
        <v>10.268640657166097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7">G437</f>
        <v>4.3347281540713004E-2</v>
      </c>
      <c r="H436" s="1">
        <f t="shared" si="447"/>
        <v>6.1050358544590365E-2</v>
      </c>
      <c r="I436" s="1">
        <f t="shared" si="447"/>
        <v>0.20187930513053909</v>
      </c>
      <c r="J436" s="1">
        <f t="shared" si="447"/>
        <v>0.43298720323516593</v>
      </c>
      <c r="K436" s="1">
        <f t="shared" si="447"/>
        <v>0.46203761691796419</v>
      </c>
      <c r="L436" s="1">
        <f t="shared" si="447"/>
        <v>0.29214980456640316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'[2]Electricity and CHPs_IN'!F$25-J380</f>
        <v>0.43298720323516593</v>
      </c>
      <c r="K437" s="1">
        <f>'[2]Electricity and CHPs_IN'!G$25-K380</f>
        <v>0.46203761691796419</v>
      </c>
      <c r="L437" s="1">
        <f>'[2]Electricity and CHPs_IN'!H$25-L380</f>
        <v>0.29214980456640316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0.20977309606613959</v>
      </c>
      <c r="L438" s="1">
        <f t="shared" si="448"/>
        <v>0.21341091881395274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0.20977309606613959</v>
      </c>
      <c r="L439" s="1">
        <f>'[2]Electricity and CHPs_IN'!H$30-L398</f>
        <v>0.21341091881395274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9">SUM(G441,G447,G449,G455,G457,G459,G461)</f>
        <v>13.400713511755837</v>
      </c>
      <c r="H440" s="1">
        <f t="shared" si="449"/>
        <v>9.4238072569155396</v>
      </c>
      <c r="I440" s="1">
        <f t="shared" si="449"/>
        <v>24.578785087709221</v>
      </c>
      <c r="J440" s="1">
        <f t="shared" si="449"/>
        <v>27.837229541879729</v>
      </c>
      <c r="K440" s="1">
        <f t="shared" si="449"/>
        <v>31.192639576304067</v>
      </c>
      <c r="L440" s="1">
        <f t="shared" ref="L440" si="450">SUM(L441,L447,L449,L455,L457,L459,L461)</f>
        <v>28.701488201727528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51">+G442</f>
        <v>5.7131700349637971</v>
      </c>
      <c r="H441" s="1">
        <f t="shared" si="451"/>
        <v>2.3761144905951959</v>
      </c>
      <c r="I441" s="1">
        <f t="shared" si="451"/>
        <v>17.233226768035145</v>
      </c>
      <c r="J441" s="1">
        <f t="shared" si="451"/>
        <v>18.857152360126904</v>
      </c>
      <c r="K441" s="1">
        <f t="shared" si="451"/>
        <v>21.65227945597475</v>
      </c>
      <c r="L441" s="1">
        <f t="shared" si="451"/>
        <v>17.539512639981794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52">SUM(G444:G446)</f>
        <v>5.7131700349637971</v>
      </c>
      <c r="H442" s="1">
        <f t="shared" si="452"/>
        <v>2.3761144905951959</v>
      </c>
      <c r="I442" s="1">
        <f t="shared" si="452"/>
        <v>17.233226768035145</v>
      </c>
      <c r="J442" s="1">
        <f t="shared" si="452"/>
        <v>18.857152360126904</v>
      </c>
      <c r="K442" s="1">
        <f t="shared" si="452"/>
        <v>21.65227945597475</v>
      </c>
      <c r="L442" s="1">
        <f t="shared" ref="L442" si="453">SUM(L444:L446)</f>
        <v>17.539512639981794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54">G444</f>
        <v>3.3452617801954414</v>
      </c>
      <c r="H443" s="1">
        <f t="shared" si="454"/>
        <v>8.1803202411154154E-3</v>
      </c>
      <c r="I443" s="1">
        <f t="shared" si="454"/>
        <v>7.1635101197639797</v>
      </c>
      <c r="J443" s="1">
        <f t="shared" si="454"/>
        <v>5.052945789464883</v>
      </c>
      <c r="K443" s="1">
        <f t="shared" si="454"/>
        <v>4.112849843007286</v>
      </c>
      <c r="L443" s="1">
        <f t="shared" si="454"/>
        <v>9.437356465186018E-5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'[2]Electricity and CHPs_IN'!F$90</f>
        <v>5.052945789464883</v>
      </c>
      <c r="K444" s="1">
        <f>'[2]Electricity and CHPs_IN'!G$90</f>
        <v>4.112849843007286</v>
      </c>
      <c r="L444" s="1">
        <f>'[2]Electricity and CHPs_IN'!H$90</f>
        <v>9.437356465186018E-5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55">G446</f>
        <v>1.1839541273841776</v>
      </c>
      <c r="H445" s="1">
        <f t="shared" si="455"/>
        <v>1.1839670851770401</v>
      </c>
      <c r="I445" s="1">
        <f t="shared" si="455"/>
        <v>5.0348583241355831</v>
      </c>
      <c r="J445" s="1">
        <f t="shared" si="455"/>
        <v>6.9021032853310098</v>
      </c>
      <c r="K445" s="1">
        <f t="shared" si="455"/>
        <v>8.7697148064837318</v>
      </c>
      <c r="L445" s="1">
        <f t="shared" si="455"/>
        <v>8.7697091332085702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'[2]Electricity and CHPs_IN'!F$91</f>
        <v>6.9021032853310098</v>
      </c>
      <c r="K446" s="1">
        <f>'[2]Electricity and CHPs_IN'!G$91</f>
        <v>8.7697148064837318</v>
      </c>
      <c r="L446" s="1">
        <f>'[2]Electricity and CHPs_IN'!H$91</f>
        <v>8.7697091332085702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6">G448</f>
        <v>3.8018808539604878</v>
      </c>
      <c r="H447" s="1">
        <f t="shared" si="456"/>
        <v>3.7505044664968259</v>
      </c>
      <c r="I447" s="1">
        <f t="shared" si="456"/>
        <v>0.83544678137636186</v>
      </c>
      <c r="J447" s="1">
        <f t="shared" si="456"/>
        <v>0.65012437483857255</v>
      </c>
      <c r="K447" s="1">
        <f t="shared" si="456"/>
        <v>0</v>
      </c>
      <c r="L447" s="1">
        <f t="shared" si="456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'[2]Electricity and CHPs_IN'!F$92</f>
        <v>0.65012437483857255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7">G450</f>
        <v>0.21741804082315655</v>
      </c>
      <c r="H449" s="1">
        <f t="shared" si="457"/>
        <v>2.8933107913978818E-3</v>
      </c>
      <c r="I449" s="1">
        <f t="shared" si="457"/>
        <v>8.547925020521421E-4</v>
      </c>
      <c r="J449" s="1">
        <f t="shared" si="457"/>
        <v>1.1462697687318821E-4</v>
      </c>
      <c r="K449" s="1">
        <f t="shared" si="457"/>
        <v>1.9618157515710887E-5</v>
      </c>
      <c r="L449" s="1">
        <f t="shared" si="457"/>
        <v>6.1897543647217759E-6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'[2]Electricity and CHPs_IN'!F$93</f>
        <v>1.1462697687318821E-4</v>
      </c>
      <c r="K450" s="1">
        <f>'[2]Electricity and CHPs_IN'!G$93</f>
        <v>1.9618157515710887E-5</v>
      </c>
      <c r="L450" s="1">
        <f>'[2]Electricity and CHPs_IN'!H$93</f>
        <v>6.1897543647217759E-6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8">G452</f>
        <v>0.21741804082315655</v>
      </c>
      <c r="H451" s="1">
        <f t="shared" si="458"/>
        <v>2.8933107913978818E-3</v>
      </c>
      <c r="I451" s="1">
        <f t="shared" si="458"/>
        <v>8.547925020521421E-4</v>
      </c>
      <c r="J451" s="1">
        <f t="shared" si="458"/>
        <v>1.1462697687318821E-4</v>
      </c>
      <c r="K451" s="1">
        <f t="shared" si="458"/>
        <v>1.9618157515710887E-5</v>
      </c>
      <c r="L451" s="1">
        <f t="shared" si="458"/>
        <v>6.1897543647217759E-6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9">G450</f>
        <v>0.21741804082315655</v>
      </c>
      <c r="H452" s="1">
        <f t="shared" si="459"/>
        <v>2.8933107913978818E-3</v>
      </c>
      <c r="I452" s="1">
        <f t="shared" si="459"/>
        <v>8.547925020521421E-4</v>
      </c>
      <c r="J452" s="1">
        <f t="shared" si="459"/>
        <v>1.1462697687318821E-4</v>
      </c>
      <c r="K452" s="1">
        <f t="shared" si="459"/>
        <v>1.9618157515710887E-5</v>
      </c>
      <c r="L452" s="1">
        <f t="shared" ref="L452" si="460">L450</f>
        <v>6.1897543647217759E-6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62">G456</f>
        <v>2.8053432154168556</v>
      </c>
      <c r="H455" s="1">
        <f t="shared" si="462"/>
        <v>2.4052461556359179</v>
      </c>
      <c r="I455" s="1">
        <f t="shared" si="462"/>
        <v>5.1497190955467316</v>
      </c>
      <c r="J455" s="1">
        <f t="shared" si="462"/>
        <v>5.7960718317296669</v>
      </c>
      <c r="K455" s="1">
        <f t="shared" si="462"/>
        <v>6.4326033355874994</v>
      </c>
      <c r="L455" s="1">
        <f t="shared" si="462"/>
        <v>7.7290943673027153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'[2]Electricity and CHPs_IN'!F$94</f>
        <v>5.7960718317296669</v>
      </c>
      <c r="K456" s="1">
        <f>'[2]Electricity and CHPs_IN'!G$94</f>
        <v>6.4326033355874994</v>
      </c>
      <c r="L456" s="1">
        <f>'[2]Electricity and CHPs_IN'!H$94</f>
        <v>7.7290943673027153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0</v>
      </c>
      <c r="J457" s="1">
        <f t="shared" si="463"/>
        <v>0</v>
      </c>
      <c r="K457" s="1">
        <f t="shared" si="463"/>
        <v>0</v>
      </c>
      <c r="L457" s="1">
        <f t="shared" si="463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'[2]Electricity and CHPs_IN'!F$95</f>
        <v>0</v>
      </c>
      <c r="K458" s="1">
        <f>'[2]Electricity and CHPs_IN'!G$95</f>
        <v>0</v>
      </c>
      <c r="L458" s="1">
        <f>'[2]Electricity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0</v>
      </c>
      <c r="L459" s="1">
        <f t="shared" si="464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0</v>
      </c>
      <c r="L460" s="1">
        <f>'[2]Electricity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0.86290136659153904</v>
      </c>
      <c r="H461" s="1">
        <f>H462</f>
        <v>0.88904883339620122</v>
      </c>
      <c r="I461" s="1">
        <f t="shared" ref="I461" si="466">I462</f>
        <v>1.3595376502489278</v>
      </c>
      <c r="J461" s="1">
        <f t="shared" ref="J461" si="467">J462</f>
        <v>2.5337663482077151</v>
      </c>
      <c r="K461" s="1">
        <f t="shared" ref="K461:L461" si="468">K462</f>
        <v>3.1077371665843021</v>
      </c>
      <c r="L461" s="1">
        <f t="shared" si="468"/>
        <v>3.4328750046886554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'[2]Electricity and CHPs_IN'!F$97</f>
        <v>2.5337663482077151</v>
      </c>
      <c r="K462" s="1">
        <f>'[2]Electricity and CHPs_IN'!G$97</f>
        <v>3.1077371665843021</v>
      </c>
      <c r="L462" s="1">
        <f>'[2]Electricity and CHPs_IN'!H$97</f>
        <v>3.4328750046886554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9">SUM(G464,G470,G503,G512,G518)</f>
        <v>8.0368292621835398</v>
      </c>
      <c r="H463" s="1">
        <f t="shared" si="469"/>
        <v>7.0106463648767443</v>
      </c>
      <c r="I463" s="1">
        <f t="shared" si="469"/>
        <v>13.610871522615138</v>
      </c>
      <c r="J463" s="1">
        <f t="shared" si="469"/>
        <v>15.521700347908711</v>
      </c>
      <c r="K463" s="1">
        <f t="shared" si="469"/>
        <v>16.337959932042153</v>
      </c>
      <c r="L463" s="1">
        <f t="shared" ref="L463" si="470">SUM(L464,L470,L503,L512,L518)</f>
        <v>16.65654261395682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71">+G465</f>
        <v>0.64162313948980976</v>
      </c>
      <c r="H464" s="1">
        <f t="shared" si="471"/>
        <v>0.28747340978908109</v>
      </c>
      <c r="I464" s="1">
        <f t="shared" si="471"/>
        <v>0.57442529290132938</v>
      </c>
      <c r="J464" s="1">
        <f t="shared" si="471"/>
        <v>0.33551620124243781</v>
      </c>
      <c r="K464" s="1">
        <f t="shared" si="471"/>
        <v>3.067144795069208E-4</v>
      </c>
      <c r="L464" s="1">
        <f t="shared" si="471"/>
        <v>0.44877512710426254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'[2]Electricity and CHPs_IN'!F$41-J301</f>
        <v>0.33551620124243781</v>
      </c>
      <c r="K465" s="1">
        <f>'[2]Electricity and CHPs_IN'!G$41-K301</f>
        <v>3.067144795069208E-4</v>
      </c>
      <c r="L465" s="1">
        <f>'[2]Electricity and CHPs_IN'!H$41-L301</f>
        <v>0.44877512710426254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72">G467</f>
        <v>0.64162313948980976</v>
      </c>
      <c r="H466" s="1">
        <f t="shared" si="472"/>
        <v>0.28747340978908109</v>
      </c>
      <c r="I466" s="1">
        <f t="shared" si="472"/>
        <v>0.57442529290132938</v>
      </c>
      <c r="J466" s="1">
        <f t="shared" si="472"/>
        <v>0.33551620124243781</v>
      </c>
      <c r="K466" s="1">
        <f t="shared" si="472"/>
        <v>3.067144795069208E-4</v>
      </c>
      <c r="L466" s="1">
        <f t="shared" si="472"/>
        <v>0.44877512710426254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73">G465-G469</f>
        <v>0.64162313948980976</v>
      </c>
      <c r="H467" s="1">
        <f t="shared" si="473"/>
        <v>0.28747340978908109</v>
      </c>
      <c r="I467" s="1">
        <f t="shared" si="473"/>
        <v>0.57442529290132938</v>
      </c>
      <c r="J467" s="1">
        <f t="shared" si="473"/>
        <v>0.33551620124243781</v>
      </c>
      <c r="K467" s="1">
        <f t="shared" si="473"/>
        <v>3.067144795069208E-4</v>
      </c>
      <c r="L467" s="1">
        <f t="shared" ref="L467" si="474">L465-L469</f>
        <v>0.44877512710426254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8">SUM(G471:G480)</f>
        <v>3.5315271747903876</v>
      </c>
      <c r="H470" s="1">
        <f t="shared" si="478"/>
        <v>2.6935756308812926</v>
      </c>
      <c r="I470" s="1">
        <f t="shared" si="478"/>
        <v>5.8012610382688656</v>
      </c>
      <c r="J470" s="1">
        <f t="shared" si="478"/>
        <v>5.7547929570179903</v>
      </c>
      <c r="K470" s="1">
        <f t="shared" si="478"/>
        <v>2.2850952657299</v>
      </c>
      <c r="L470" s="1">
        <f t="shared" ref="L470" si="479">SUM(L471:L480)</f>
        <v>3.0378686371970471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'[2]Electricity and CHPs_IN'!F$39-J316</f>
        <v>2.0515016593544558E-2</v>
      </c>
      <c r="K471" s="1">
        <f>'[2]Electricity and CHPs_IN'!G$39-K316</f>
        <v>8.2878308669495082E-3</v>
      </c>
      <c r="L471" s="1">
        <f>'[2]Electricity and CHPs_IN'!H$39-L316</f>
        <v>9.3124106817660104E-2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2.8977334164377071E-5</v>
      </c>
      <c r="L472" s="6">
        <f>'[2]Electricity and CHPs_IN'!H$40-L317</f>
        <v>3.642137519087469E-2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'[2]Electricity and CHPs_IN'!F$48-J319</f>
        <v>9.1804085040690965E-3</v>
      </c>
      <c r="K474" s="1">
        <f>'[2]Electricity and CHPs_IN'!G$48-K319</f>
        <v>6.3428008827544416E-3</v>
      </c>
      <c r="L474" s="1">
        <f>'[2]Electricity and CHPs_IN'!H$48-L319</f>
        <v>4.8082669641812698E-3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'[2]Electricity and CHPs_IN'!F$51-J321</f>
        <v>4.1883868558686137</v>
      </c>
      <c r="K476" s="1">
        <f>'[2]Electricity and CHPs_IN'!G$51-K321</f>
        <v>0.86401051491958192</v>
      </c>
      <c r="L476" s="1">
        <f>'[2]Electricity and CHPs_IN'!H$51-L321</f>
        <v>0.90941392132433341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'[2]Electricity and CHPs_IN'!F$54-J323</f>
        <v>1.5339548456969838</v>
      </c>
      <c r="K478" s="1">
        <f>'[2]Electricity and CHPs_IN'!G$54-K323</f>
        <v>1.4049285874750419</v>
      </c>
      <c r="L478" s="1">
        <f>'[2]Electricity and CHPs_IN'!H$54-L323</f>
        <v>1.3676360255427589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'[2]Electricity and CHPs_IN'!F$55-J324</f>
        <v>2.309869085221297E-3</v>
      </c>
      <c r="K479" s="1">
        <f>'[2]Electricity and CHPs_IN'!G$55-K324</f>
        <v>1.2144440795901039E-3</v>
      </c>
      <c r="L479" s="1">
        <f>'[2]Electricity and CHPs_IN'!H$55-L324</f>
        <v>4.7541038848077544E-4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'[2]Electricity and CHPs_IN'!F$58-J325</f>
        <v>4.4596126955802123E-4</v>
      </c>
      <c r="K480" s="1">
        <f>'[2]Electricity and CHPs_IN'!G$58-K325</f>
        <v>2.8211017181757549E-4</v>
      </c>
      <c r="L480" s="1">
        <f>'[2]Electricity and CHPs_IN'!H$58-L325</f>
        <v>0.62598953096875798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80">SUM(G482:G491)</f>
        <v>1.7092963228604785</v>
      </c>
      <c r="H481" s="1">
        <f t="shared" si="480"/>
        <v>0.77514393340049093</v>
      </c>
      <c r="I481" s="1">
        <f t="shared" si="480"/>
        <v>3.6632634573787888</v>
      </c>
      <c r="J481" s="1">
        <f t="shared" si="480"/>
        <v>3.6003263541994377</v>
      </c>
      <c r="K481" s="1">
        <f t="shared" si="480"/>
        <v>0.70767582662991191</v>
      </c>
      <c r="L481" s="1">
        <f t="shared" ref="L481" si="481">SUM(L482:L491)</f>
        <v>1.4067888368641053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1.0115977099451983</v>
      </c>
      <c r="G482" s="1">
        <f t="shared" ref="G482:K482" si="483">G471-G493</f>
        <v>0.76985896156642974</v>
      </c>
      <c r="H482" s="1">
        <f t="shared" si="483"/>
        <v>0.58266750526166733</v>
      </c>
      <c r="I482" s="1">
        <f t="shared" si="483"/>
        <v>4.1270233364611879E-2</v>
      </c>
      <c r="J482" s="1">
        <f t="shared" si="483"/>
        <v>1.7499073158117603E-2</v>
      </c>
      <c r="K482" s="1">
        <f t="shared" si="483"/>
        <v>6.663567978462643E-3</v>
      </c>
      <c r="L482" s="1">
        <f t="shared" ref="L482" si="484">L471-L493</f>
        <v>7.843575379854989E-2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2.8977334164377071E-5</v>
      </c>
      <c r="L483" s="1">
        <f t="shared" ref="L483" si="486">L472-L494</f>
        <v>3.0676675622453395E-2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6.4003565154295575E-2</v>
      </c>
      <c r="G485" s="1">
        <f t="shared" ref="G485:K485" si="489">G474-G496</f>
        <v>4.4693004036116604E-3</v>
      </c>
      <c r="H485" s="1">
        <f t="shared" si="489"/>
        <v>2.6110374715849902E-2</v>
      </c>
      <c r="I485" s="1">
        <f t="shared" si="489"/>
        <v>2.0577527977658119E-2</v>
      </c>
      <c r="J485" s="1">
        <f t="shared" si="489"/>
        <v>7.8307828463887903E-3</v>
      </c>
      <c r="K485" s="1">
        <f t="shared" si="489"/>
        <v>5.0997282080930979E-3</v>
      </c>
      <c r="L485" s="1">
        <f t="shared" ref="L485" si="490">L474-L496</f>
        <v>4.0498648168371147E-3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8.511636288034477E-2</v>
      </c>
      <c r="G487" s="1">
        <f t="shared" ref="G487:K487" si="493">G476-G498</f>
        <v>4.1195289205139228E-3</v>
      </c>
      <c r="H487" s="1">
        <f t="shared" si="493"/>
        <v>5.8641702577197176E-2</v>
      </c>
      <c r="I487" s="1">
        <f t="shared" si="493"/>
        <v>3.5668848654631473</v>
      </c>
      <c r="J487" s="1">
        <f t="shared" si="493"/>
        <v>3.5726458066042248</v>
      </c>
      <c r="K487" s="1">
        <f t="shared" si="493"/>
        <v>0.69468029605100545</v>
      </c>
      <c r="L487" s="1">
        <f t="shared" ref="L487" si="494">L476-L498</f>
        <v>0.76597316067295773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97">G479-G501</f>
        <v>0.93084853196992312</v>
      </c>
      <c r="H490" s="1">
        <f t="shared" si="497"/>
        <v>0.10772435084577661</v>
      </c>
      <c r="I490" s="1">
        <f t="shared" si="497"/>
        <v>3.4259024626214635E-2</v>
      </c>
      <c r="J490" s="1">
        <f t="shared" si="497"/>
        <v>1.9702917579253027E-3</v>
      </c>
      <c r="K490" s="1">
        <f t="shared" si="497"/>
        <v>9.764353074170251E-4</v>
      </c>
      <c r="L490" s="1">
        <f t="shared" ref="L490" si="498">L479-L501</f>
        <v>4.0042448146283344E-4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2.7180594715708379E-4</v>
      </c>
      <c r="J491" s="1">
        <f t="shared" si="499"/>
        <v>3.8039983278095261E-4</v>
      </c>
      <c r="K491" s="1">
        <f t="shared" si="499"/>
        <v>2.2682175076940348E-4</v>
      </c>
      <c r="L491" s="1">
        <f t="shared" ref="L491" si="500">L480-L502</f>
        <v>0.5272529574718442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501">SUM(G493:G502)</f>
        <v>1.8222308519299089</v>
      </c>
      <c r="H492" s="1">
        <f t="shared" si="501"/>
        <v>1.9184316974808018</v>
      </c>
      <c r="I492" s="1">
        <f t="shared" si="501"/>
        <v>2.1379975808900769</v>
      </c>
      <c r="J492" s="1">
        <f t="shared" si="501"/>
        <v>2.1544666028185531</v>
      </c>
      <c r="K492" s="1">
        <f t="shared" si="501"/>
        <v>1.5774194390999878</v>
      </c>
      <c r="L492" s="1">
        <f t="shared" ref="L492" si="502">SUM(L493:L502)</f>
        <v>1.6310798003329419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2.7113896866529968E-2</v>
      </c>
      <c r="G493" s="1">
        <f t="shared" ref="G493:K493" si="504">IFERROR(G348/G316,0)*G471</f>
        <v>1.4039904849103531E-2</v>
      </c>
      <c r="H493" s="1">
        <f t="shared" si="504"/>
        <v>7.0595764065100345E-3</v>
      </c>
      <c r="I493" s="1">
        <f t="shared" si="504"/>
        <v>5.472967718564788E-3</v>
      </c>
      <c r="J493" s="1">
        <f t="shared" si="504"/>
        <v>3.0159434354269554E-3</v>
      </c>
      <c r="K493" s="1">
        <f t="shared" si="504"/>
        <v>1.6242628884868655E-3</v>
      </c>
      <c r="L493" s="1">
        <f t="shared" ref="L493" si="505">IFERROR(L348/L316,0)*L471</f>
        <v>1.4688353019110213E-2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0</v>
      </c>
      <c r="L494" s="1">
        <f t="shared" ref="L494" si="507">IFERROR(L349/L317,0)*L472</f>
        <v>5.7446995684212942E-3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1.7154903057044388E-3</v>
      </c>
      <c r="G496" s="1">
        <f t="shared" ref="G496:K496" si="510">IFERROR(G351/G319,0)*G474</f>
        <v>8.1506555799640349E-5</v>
      </c>
      <c r="H496" s="1">
        <f t="shared" si="510"/>
        <v>3.1635226547664311E-4</v>
      </c>
      <c r="I496" s="1">
        <f t="shared" si="510"/>
        <v>2.7288468508190038E-3</v>
      </c>
      <c r="J496" s="1">
        <f t="shared" si="510"/>
        <v>1.3496256576803062E-3</v>
      </c>
      <c r="K496" s="1">
        <f t="shared" si="510"/>
        <v>1.2430726746613433E-3</v>
      </c>
      <c r="L496" s="1">
        <f t="shared" ref="L496" si="511">IFERROR(L351/L319,0)*L474</f>
        <v>7.5840214734415536E-4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2.2813775299242492E-3</v>
      </c>
      <c r="G498" s="1">
        <f t="shared" ref="G498:K498" si="514">IFERROR(G353/G321,0)*G476</f>
        <v>7.5127779183687014E-5</v>
      </c>
      <c r="H498" s="1">
        <f t="shared" si="514"/>
        <v>7.1050054484442964E-4</v>
      </c>
      <c r="I498" s="1">
        <f t="shared" si="514"/>
        <v>0.47301515239931291</v>
      </c>
      <c r="J498" s="1">
        <f t="shared" si="514"/>
        <v>0.61574104926438877</v>
      </c>
      <c r="K498" s="1">
        <f t="shared" si="514"/>
        <v>0.16933021886857647</v>
      </c>
      <c r="L498" s="1">
        <f t="shared" ref="L498" si="515">IFERROR(L353/L321,0)*L476</f>
        <v>0.14344076065137568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18">G478</f>
        <v>1.791058443826671</v>
      </c>
      <c r="H500" s="1">
        <f t="shared" si="518"/>
        <v>1.9090400842975233</v>
      </c>
      <c r="I500" s="1">
        <f t="shared" si="518"/>
        <v>1.6522013783412555</v>
      </c>
      <c r="J500" s="1">
        <f t="shared" si="518"/>
        <v>1.5339548456969838</v>
      </c>
      <c r="K500" s="1">
        <f t="shared" si="518"/>
        <v>1.4049285874750419</v>
      </c>
      <c r="L500" s="1">
        <f t="shared" ref="L500" si="519">L478</f>
        <v>1.3676360255427589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20">IFERROR(G356/G324,0)*G479</f>
        <v>1.6975868919151031E-2</v>
      </c>
      <c r="H501" s="1">
        <f t="shared" si="520"/>
        <v>1.3051839664474365E-3</v>
      </c>
      <c r="I501" s="1">
        <f t="shared" si="520"/>
        <v>4.543190589505211E-3</v>
      </c>
      <c r="J501" s="1">
        <f t="shared" si="520"/>
        <v>3.3957732729599432E-4</v>
      </c>
      <c r="K501" s="1">
        <f t="shared" si="520"/>
        <v>2.3800877217307879E-4</v>
      </c>
      <c r="L501" s="1">
        <f t="shared" ref="L501" si="521">IFERROR(L356/L324,0)*L479</f>
        <v>7.4985907017941996E-5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3.6044990619806111E-5</v>
      </c>
      <c r="J502" s="1">
        <f t="shared" si="522"/>
        <v>6.5561436777068592E-5</v>
      </c>
      <c r="K502" s="1">
        <f t="shared" si="522"/>
        <v>5.5288421048172012E-5</v>
      </c>
      <c r="L502" s="1">
        <f t="shared" ref="L502" si="523">IFERROR(L357/L325,0)*L480</f>
        <v>9.8736573496913754E-2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24">SUM(G504:G505)</f>
        <v>3.3046669254558378</v>
      </c>
      <c r="H503" s="1">
        <f t="shared" si="524"/>
        <v>2.8793759857486917E-2</v>
      </c>
      <c r="I503" s="1">
        <f t="shared" si="524"/>
        <v>1.1807866639139408E-2</v>
      </c>
      <c r="J503" s="1">
        <f t="shared" si="524"/>
        <v>9.2218578911177056E-3</v>
      </c>
      <c r="K503" s="1">
        <f t="shared" si="524"/>
        <v>1.5482841759837145</v>
      </c>
      <c r="L503" s="1">
        <f t="shared" ref="L503" si="525">SUM(L504:L505)</f>
        <v>5.2311992746463973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'[2]Electricity and CHPs_IN'!F$44-J363</f>
        <v>9.2218578911177056E-3</v>
      </c>
      <c r="K504" s="6">
        <f>'[2]Electricity and CHPs_IN'!G$44-K363</f>
        <v>1.5482841759837145</v>
      </c>
      <c r="L504" s="6">
        <f>'[2]Electricity and CHPs_IN'!H$44-L363</f>
        <v>1.102590252221371E-3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5.2300966843941756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28">SUM(G510:G511)</f>
        <v>3.3046669254558378</v>
      </c>
      <c r="H509" s="1">
        <f t="shared" si="528"/>
        <v>2.8793759857486917E-2</v>
      </c>
      <c r="I509" s="1">
        <f t="shared" si="528"/>
        <v>1.1807866639139408E-2</v>
      </c>
      <c r="J509" s="1">
        <f t="shared" si="528"/>
        <v>9.2218578911177056E-3</v>
      </c>
      <c r="K509" s="1">
        <f t="shared" si="528"/>
        <v>1.5482841759837145</v>
      </c>
      <c r="L509" s="1">
        <f t="shared" ref="L509" si="529">SUM(L510:L511)</f>
        <v>5.2311992746463973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30">G504</f>
        <v>3.3046669254558378</v>
      </c>
      <c r="H510" s="1">
        <f t="shared" si="530"/>
        <v>2.8793759857486917E-2</v>
      </c>
      <c r="I510" s="1">
        <f t="shared" si="530"/>
        <v>1.1807866639139408E-2</v>
      </c>
      <c r="J510" s="1">
        <f t="shared" si="530"/>
        <v>9.2218578911177056E-3</v>
      </c>
      <c r="K510" s="1">
        <f t="shared" si="530"/>
        <v>1.5482841759837145</v>
      </c>
      <c r="L510" s="1">
        <f t="shared" ref="L510" si="531">L504</f>
        <v>1.102590252221371E-3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0</v>
      </c>
      <c r="L511" s="1">
        <f t="shared" ref="L511" si="533">L505</f>
        <v>5.2300966843941756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34">SUM(G513:G517)</f>
        <v>0.55901202244750492</v>
      </c>
      <c r="H512" s="1">
        <f t="shared" si="534"/>
        <v>4.0008035643488835</v>
      </c>
      <c r="I512" s="1">
        <f t="shared" si="534"/>
        <v>7.2202205781151365</v>
      </c>
      <c r="J512" s="1">
        <f t="shared" si="534"/>
        <v>9.4202564558753785</v>
      </c>
      <c r="K512" s="1">
        <f t="shared" si="534"/>
        <v>12.502982042147288</v>
      </c>
      <c r="L512" s="1">
        <f t="shared" ref="L512" si="535">SUM(L513:L517)</f>
        <v>7.9356923363844736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'[2]Electricity and CHPs_IN'!F$42-J382</f>
        <v>7.7612397804472213</v>
      </c>
      <c r="K513" s="6">
        <f>'[2]Electricity and CHPs_IN'!G$42-K382</f>
        <v>7.2691266764723181</v>
      </c>
      <c r="L513" s="6">
        <f>'[2]Electricity and CHPs_IN'!H$42-L382</f>
        <v>2.2153248654112203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0.32696067337640239</v>
      </c>
      <c r="L514" s="1">
        <f>'[2]Electricity and CHPs_IN'!H$43-L383</f>
        <v>2.8563639654260622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'[2]Electricity and CHPs_IN'!F$50-J384</f>
        <v>0.59546109844944617</v>
      </c>
      <c r="K515" s="1">
        <f>'[2]Electricity and CHPs_IN'!G$50-K384</f>
        <v>0.92144722508745636</v>
      </c>
      <c r="L515" s="1">
        <f>'[2]Electricity and CHPs_IN'!H$50-L384</f>
        <v>0.59807115213823625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'[2]Electricity and CHPs_IN'!F$53-J385</f>
        <v>0.68687483672416239</v>
      </c>
      <c r="K516" s="1">
        <f>'[2]Electricity and CHPs_IN'!G$53-K385</f>
        <v>3.4021092335698402</v>
      </c>
      <c r="L516" s="1">
        <f>'[2]Electricity and CHPs_IN'!H$53-L385</f>
        <v>1.9779057237957074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'[2]Electricity and CHPs_IN'!F$56-J386</f>
        <v>0.37668074025454928</v>
      </c>
      <c r="K517" s="1">
        <f>'[2]Electricity and CHPs_IN'!G$56-K386</f>
        <v>0.58333823364127102</v>
      </c>
      <c r="L517" s="1">
        <f>'[2]Electricity and CHPs_IN'!H$56-L386</f>
        <v>0.28802662961324765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3.1567466906666222E-3</v>
      </c>
      <c r="J518" s="1">
        <f t="shared" si="536"/>
        <v>1.9128758817868517E-3</v>
      </c>
      <c r="K518" s="1">
        <f t="shared" si="536"/>
        <v>1.2917337017445173E-3</v>
      </c>
      <c r="L518" s="1">
        <f t="shared" ref="L518" si="537">SUM(L519:L520)</f>
        <v>3.0072386246355219E-3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1.2011411579878853E-3</v>
      </c>
      <c r="K519" s="1">
        <f>'[2]Electricity and CHPs_IN'!G$46-K399</f>
        <v>8.897709530122362E-4</v>
      </c>
      <c r="L519" s="1">
        <f>'[2]Electricity and CHPs_IN'!H$46-L399</f>
        <v>9.5765407199180602E-4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'[2]Electricity and CHPs_IN'!F$57-J400</f>
        <v>7.117347237989664E-4</v>
      </c>
      <c r="K520" s="1">
        <f>'[2]Electricity and CHPs_IN'!G$57-K400</f>
        <v>4.019627487322811E-4</v>
      </c>
      <c r="L520" s="1">
        <f>'[2]Electricity and CHPs_IN'!H$57-L400</f>
        <v>2.0495845526437156E-3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0.32978918575931371</v>
      </c>
      <c r="G522" s="13">
        <f t="shared" si="538"/>
        <v>0.3267271324561894</v>
      </c>
      <c r="H522" s="13">
        <f t="shared" si="538"/>
        <v>0.32637053973209779</v>
      </c>
      <c r="I522" s="13">
        <f t="shared" si="538"/>
        <v>0.33022531806800037</v>
      </c>
      <c r="J522" s="13">
        <f t="shared" si="538"/>
        <v>0.33041917285830585</v>
      </c>
      <c r="K522" s="13">
        <f t="shared" si="538"/>
        <v>0.33170584005147596</v>
      </c>
      <c r="L522" s="13" t="str">
        <f t="shared" ref="L522" si="539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0.79999990611351157</v>
      </c>
      <c r="G525" s="13">
        <f t="shared" si="540"/>
        <v>0.7999998797315101</v>
      </c>
      <c r="H525" s="13">
        <f t="shared" si="540"/>
        <v>0.79999951421079896</v>
      </c>
      <c r="I525" s="13">
        <f t="shared" si="540"/>
        <v>0.80000001639435592</v>
      </c>
      <c r="J525" s="13">
        <f t="shared" si="540"/>
        <v>0.80000009007645079</v>
      </c>
      <c r="K525" s="13">
        <f t="shared" si="540"/>
        <v>0.80000008920981436</v>
      </c>
      <c r="L525" s="13">
        <f t="shared" ref="L525" si="543">IFERROR(L69/L297,"-")</f>
        <v>0.80000006671738455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44">IFERROR(G71/G299,"-")</f>
        <v>6.8365369668443345E-5</v>
      </c>
      <c r="H526" s="13">
        <f t="shared" si="544"/>
        <v>0.34180583728213049</v>
      </c>
      <c r="I526" s="13">
        <f t="shared" si="544"/>
        <v>0.28284247285449349</v>
      </c>
      <c r="J526" s="13">
        <f t="shared" si="544"/>
        <v>0.30271685727384262</v>
      </c>
      <c r="K526" s="13">
        <f t="shared" si="544"/>
        <v>0.16755894949469996</v>
      </c>
      <c r="L526" s="13">
        <f t="shared" ref="L526" si="545">IFERROR(L71/L299,"-")</f>
        <v>0.31507194128598343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46">IFERROR(G72/(G300+G413),"-")</f>
        <v>5.3424396750979376E-5</v>
      </c>
      <c r="H527" s="13">
        <f t="shared" si="546"/>
        <v>8.9672734506311635E-2</v>
      </c>
      <c r="I527" s="13">
        <f t="shared" si="546"/>
        <v>9.9678050179609096E-2</v>
      </c>
      <c r="J527" s="13">
        <f t="shared" si="546"/>
        <v>0.10344574012519081</v>
      </c>
      <c r="K527" s="13">
        <f t="shared" si="546"/>
        <v>4.9973241259671439E-2</v>
      </c>
      <c r="L527" s="13">
        <f t="shared" ref="L527" si="547">IFERROR(L72/(L300+L413),"-")</f>
        <v>0.10193138524663543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48">IFERROR(G73/(G301+G465),"-")</f>
        <v>0.24659644779564285</v>
      </c>
      <c r="H528" s="13">
        <f t="shared" si="548"/>
        <v>0.25113823812911884</v>
      </c>
      <c r="I528" s="13">
        <f t="shared" si="548"/>
        <v>0.26334977519830666</v>
      </c>
      <c r="J528" s="13">
        <f t="shared" si="548"/>
        <v>0.26336916677964334</v>
      </c>
      <c r="K528" s="13">
        <f t="shared" si="548"/>
        <v>0.15856947889488274</v>
      </c>
      <c r="L528" s="13">
        <f t="shared" ref="L528" si="549">IFERROR(L73/(L301+L465),"-")</f>
        <v>0.26330244146266446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0.50820796046140571</v>
      </c>
      <c r="L529" s="13">
        <f t="shared" ref="L529" si="551">IFERROR(L83/L311,"-")</f>
        <v>0.62541570463974383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>
        <f t="shared" si="552"/>
        <v>0.3702177357184096</v>
      </c>
      <c r="J530" s="13">
        <f t="shared" si="552"/>
        <v>0.38153581679607801</v>
      </c>
      <c r="K530" s="13">
        <f t="shared" si="552"/>
        <v>0.32073167382968581</v>
      </c>
      <c r="L530" s="13">
        <f t="shared" ref="L530" si="553">IFERROR(L84/L312,"-")</f>
        <v>0.41574260352450065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>
        <f t="shared" si="554"/>
        <v>0</v>
      </c>
      <c r="L531" s="13">
        <f t="shared" ref="L531" si="555">IFERROR(L85/L313,"-")</f>
        <v>0.54790484009395946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56">IFERROR(G86/SUM(G314,G419),"-")</f>
        <v>0.20806469578458786</v>
      </c>
      <c r="H532" s="13">
        <f t="shared" si="556"/>
        <v>0.25433109922281771</v>
      </c>
      <c r="I532" s="13">
        <f t="shared" si="556"/>
        <v>0.23314299552159312</v>
      </c>
      <c r="J532" s="13">
        <f t="shared" si="556"/>
        <v>0.24354621485693342</v>
      </c>
      <c r="K532" s="13">
        <f t="shared" si="556"/>
        <v>0.19838875735518235</v>
      </c>
      <c r="L532" s="13">
        <f t="shared" ref="L532" si="557">IFERROR(L86/SUM(L314,L419),"-")</f>
        <v>0.25175740219634685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>
        <f t="shared" si="558"/>
        <v>0.40000000000000019</v>
      </c>
      <c r="L533" s="13">
        <f t="shared" ref="L533" si="559">IFERROR(L87/SUM(L315,L420),"-")</f>
        <v>0.39999999999999991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60">IFERROR(G88/SUM(G316,G471),"-'")</f>
        <v>0.35195195850976801</v>
      </c>
      <c r="H534" s="13">
        <f t="shared" si="560"/>
        <v>0.35444041395883863</v>
      </c>
      <c r="I534" s="13">
        <f t="shared" si="560"/>
        <v>0.35699146539058668</v>
      </c>
      <c r="J534" s="13">
        <f t="shared" si="560"/>
        <v>0.35882679828244624</v>
      </c>
      <c r="K534" s="13">
        <f t="shared" si="560"/>
        <v>0.3581523094982858</v>
      </c>
      <c r="L534" s="13">
        <f t="shared" ref="L534" si="561">IFERROR(L88/SUM(L316,L471),"-'")</f>
        <v>0.21839645190216236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</v>
      </c>
      <c r="L535" s="13">
        <f t="shared" ref="L535" si="564">IFERROR(L89/SUM(L317,L472),"-")</f>
        <v>0.32361109684151207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0.19030450391919823</v>
      </c>
      <c r="G537" s="13">
        <f t="shared" ref="G537:K537" si="567">IFERROR(G91/SUM(G319,G474),"-")</f>
        <v>0.26509167990335775</v>
      </c>
      <c r="H537" s="13">
        <f t="shared" si="567"/>
        <v>0.20790608820787462</v>
      </c>
      <c r="I537" s="13">
        <f t="shared" si="567"/>
        <v>0.24274502446174084</v>
      </c>
      <c r="J537" s="13">
        <f t="shared" si="567"/>
        <v>0.27067280180754238</v>
      </c>
      <c r="K537" s="13">
        <f t="shared" si="567"/>
        <v>0.27384882446220682</v>
      </c>
      <c r="L537" s="13">
        <f t="shared" ref="L537" si="568">IFERROR(L91/SUM(L319,L474),"-")</f>
        <v>0.27806494564707712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>
        <f t="shared" si="569"/>
        <v>0.42</v>
      </c>
      <c r="J538" s="13">
        <f t="shared" si="569"/>
        <v>0.43000000000000022</v>
      </c>
      <c r="K538" s="13">
        <f t="shared" si="569"/>
        <v>0.44000000000000011</v>
      </c>
      <c r="L538" s="13">
        <f t="shared" ref="L538" si="570">IFERROR(L92/SUM(L320,L475),"-")</f>
        <v>0.45000000000000007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0.22499861717179509</v>
      </c>
      <c r="G539" s="13">
        <f t="shared" ref="G539:K539" si="571">IFERROR(G93/SUM(G321,G476),"-")</f>
        <v>0.28363047869204056</v>
      </c>
      <c r="H539" s="13">
        <f t="shared" si="571"/>
        <v>0.26462088930054001</v>
      </c>
      <c r="I539" s="13">
        <f t="shared" si="571"/>
        <v>0.2995971232139123</v>
      </c>
      <c r="J539" s="13">
        <f t="shared" si="571"/>
        <v>0.30247209520458623</v>
      </c>
      <c r="K539" s="13">
        <f t="shared" si="571"/>
        <v>0.30490763001540966</v>
      </c>
      <c r="L539" s="13">
        <f t="shared" ref="L539" si="572">IFERROR(L93/SUM(L321,L476),"-")</f>
        <v>0.3096142995395294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>
        <f t="shared" si="573"/>
        <v>0.42000000000000026</v>
      </c>
      <c r="J540" s="13">
        <f t="shared" si="573"/>
        <v>0.42999999999999994</v>
      </c>
      <c r="K540" s="13">
        <f t="shared" si="573"/>
        <v>0.43999999999999989</v>
      </c>
      <c r="L540" s="13">
        <f t="shared" ref="L540" si="574">IFERROR(L94/SUM(L322,L477),"-")</f>
        <v>0.45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0.36265592760101079</v>
      </c>
      <c r="G541" s="13">
        <f t="shared" ref="G541:K541" si="575">IFERROR(G95/SUM(G323,G478),"-")</f>
        <v>0.36307538864160938</v>
      </c>
      <c r="H541" s="13">
        <f t="shared" si="575"/>
        <v>0.33184023252624906</v>
      </c>
      <c r="I541" s="13">
        <f t="shared" si="575"/>
        <v>0.36471342392260342</v>
      </c>
      <c r="J541" s="13">
        <f t="shared" si="575"/>
        <v>0.36984720602212962</v>
      </c>
      <c r="K541" s="13">
        <f t="shared" si="575"/>
        <v>0.37494922980291312</v>
      </c>
      <c r="L541" s="13">
        <f t="shared" ref="L541" si="576">IFERROR(L95/SUM(L323,L478),"-")</f>
        <v>0.38516973135063204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0.35327462535967252</v>
      </c>
      <c r="G542" s="13">
        <f t="shared" ref="G542:K542" si="577">IFERROR(G96/SUM(G324,G479),"-")</f>
        <v>0.35999812868800379</v>
      </c>
      <c r="H542" s="13">
        <f t="shared" si="577"/>
        <v>0.35199525879477939</v>
      </c>
      <c r="I542" s="13">
        <f t="shared" si="577"/>
        <v>0.34767103561032714</v>
      </c>
      <c r="J542" s="13">
        <f t="shared" si="577"/>
        <v>0.33189403117275601</v>
      </c>
      <c r="K542" s="13">
        <f t="shared" si="577"/>
        <v>0.32211741448221642</v>
      </c>
      <c r="L542" s="13">
        <f t="shared" ref="L542" si="578">IFERROR(L96/SUM(L324,L479),"-")</f>
        <v>0.28401055322467816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>
        <f t="shared" si="579"/>
        <v>0.59999999999999976</v>
      </c>
      <c r="J543" s="13">
        <f t="shared" si="579"/>
        <v>0.60500000000000009</v>
      </c>
      <c r="K543" s="13">
        <f t="shared" si="579"/>
        <v>0.61000000000000054</v>
      </c>
      <c r="L543" s="13">
        <f t="shared" ref="L543" si="580">IFERROR(L97/SUM(L325,L480),"-")</f>
        <v>0.61999999999999955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81">IFERROR(G131/G359,"-")</f>
        <v>0.35745695376016606</v>
      </c>
      <c r="H544" s="13">
        <f t="shared" si="581"/>
        <v>0.35745695376016551</v>
      </c>
      <c r="I544" s="13">
        <f t="shared" si="581"/>
        <v>0.35745695376016612</v>
      </c>
      <c r="J544" s="13">
        <f t="shared" si="581"/>
        <v>0.35745695376016651</v>
      </c>
      <c r="K544" s="13">
        <f t="shared" si="581"/>
        <v>0.35745695376016595</v>
      </c>
      <c r="L544" s="13">
        <f t="shared" ref="L544" si="582">IFERROR(L131/L359,"-")</f>
        <v>0.35745695376016573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 t="str">
        <f t="shared" si="583"/>
        <v>-</v>
      </c>
      <c r="L545" s="13">
        <f t="shared" ref="L545" si="584">IFERROR(L132/L360,"-")</f>
        <v>0.34140256108732575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85">IFERROR(G133/SUM(G361,G428),"-")</f>
        <v>3.702056535222336E-2</v>
      </c>
      <c r="H546" s="13">
        <f t="shared" si="585"/>
        <v>3.6789012310203019E-2</v>
      </c>
      <c r="I546" s="13">
        <f t="shared" si="585"/>
        <v>3.6403882198244114E-2</v>
      </c>
      <c r="J546" s="13">
        <f t="shared" si="585"/>
        <v>3.5381517763585467E-2</v>
      </c>
      <c r="K546" s="13">
        <f t="shared" si="585"/>
        <v>3.4672407286536151E-2</v>
      </c>
      <c r="L546" s="13">
        <f t="shared" ref="L546" si="586">IFERROR(L133/SUM(L361,L428),"-")</f>
        <v>1.1634155362201588E-2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 t="str">
        <f t="shared" si="587"/>
        <v>-</v>
      </c>
      <c r="L547" s="13">
        <f t="shared" ref="L547" si="588">IFERROR(L134/SUM(L362,L429),"-")</f>
        <v>5.3999999999999999E-2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89">IFERROR(G135/SUM(G363,G504),"-")</f>
        <v>6.1973076335662867E-2</v>
      </c>
      <c r="H548" s="13">
        <f t="shared" si="589"/>
        <v>6.1972650567355327E-2</v>
      </c>
      <c r="I548" s="13">
        <f t="shared" si="589"/>
        <v>6.1972650567355292E-2</v>
      </c>
      <c r="J548" s="13">
        <f t="shared" si="589"/>
        <v>6.1972650567355278E-2</v>
      </c>
      <c r="K548" s="13">
        <f t="shared" si="589"/>
        <v>6.1972650567355299E-2</v>
      </c>
      <c r="L548" s="13">
        <f t="shared" ref="L548" si="590">IFERROR(L135/SUM(L363,L504),"-")</f>
        <v>6.1972650567355389E-2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 t="str">
        <f t="shared" si="591"/>
        <v>-</v>
      </c>
      <c r="L549" s="13">
        <f t="shared" ref="L549" si="592">IFERROR(L136/SUM(L364,L505),"-")</f>
        <v>4.5431760215214244E-2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93">IFERROR(G152/SUM(G380,G437),"-")</f>
        <v>0.249729803534116</v>
      </c>
      <c r="H550" s="13">
        <f t="shared" si="593"/>
        <v>0.24880577796460621</v>
      </c>
      <c r="I550" s="13">
        <f t="shared" si="593"/>
        <v>4.6345772552048884E-3</v>
      </c>
      <c r="J550" s="13">
        <f t="shared" si="593"/>
        <v>1.2498187078016909E-3</v>
      </c>
      <c r="K550" s="13">
        <f t="shared" si="593"/>
        <v>4.4326580993570156E-3</v>
      </c>
      <c r="L550" s="13">
        <f t="shared" ref="L550" si="594">IFERROR(L152/SUM(L380,L437),"-")</f>
        <v>1.8279299376784801E-3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</v>
      </c>
      <c r="L551" s="13">
        <f t="shared" ref="L551" si="596">IFERROR(L153/L381,"-")</f>
        <v>0.25351272643012579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97">IFERROR(G154/SUM(G382,G513),"-")</f>
        <v>0.2258138024045126</v>
      </c>
      <c r="H552" s="13">
        <f t="shared" si="597"/>
        <v>0.26798487344804445</v>
      </c>
      <c r="I552" s="13">
        <f t="shared" si="597"/>
        <v>0.33246537363563894</v>
      </c>
      <c r="J552" s="13">
        <f t="shared" si="597"/>
        <v>0.33515859387314761</v>
      </c>
      <c r="K552" s="13">
        <f t="shared" si="597"/>
        <v>0.33555035642681241</v>
      </c>
      <c r="L552" s="13">
        <f t="shared" ref="L552" si="598">IFERROR(L154/SUM(L382,L513),"-")</f>
        <v>0.32185709150903175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</v>
      </c>
      <c r="L553" s="13">
        <f t="shared" ref="L553" si="600">IFERROR(L155/SUM(L383,L514),"-")</f>
        <v>0.31961740447562487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>
        <f t="shared" si="601"/>
        <v>3.1320532852754271E-3</v>
      </c>
      <c r="J554" s="13">
        <f t="shared" si="601"/>
        <v>2.5051102354320814E-3</v>
      </c>
      <c r="K554" s="13">
        <f t="shared" si="601"/>
        <v>2.3101254292469744E-3</v>
      </c>
      <c r="L554" s="13">
        <f t="shared" ref="L554" si="602">IFERROR(L156/SUM(L384,L515),"-")</f>
        <v>1.6090410872613972E-3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>
        <f t="shared" si="603"/>
        <v>4.5582386138031368E-3</v>
      </c>
      <c r="J555" s="13">
        <f t="shared" si="603"/>
        <v>3.7825315536669298E-2</v>
      </c>
      <c r="K555" s="13">
        <f t="shared" si="603"/>
        <v>0.20154952561548592</v>
      </c>
      <c r="L555" s="13">
        <f t="shared" ref="L555" si="604">IFERROR(L157/SUM(L385,L516),"-")</f>
        <v>0.20003278653258733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>
        <f t="shared" si="605"/>
        <v>3.4359368131129109E-3</v>
      </c>
      <c r="J556" s="13">
        <f t="shared" si="605"/>
        <v>8.8074885883870295E-4</v>
      </c>
      <c r="K556" s="13">
        <f t="shared" si="605"/>
        <v>8.5959691344725416E-4</v>
      </c>
      <c r="L556" s="13">
        <f t="shared" ref="L556" si="606">IFERROR(L158/SUM(L386,L517),"-")</f>
        <v>6.7032000221499725E-4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 t="str">
        <f t="shared" si="607"/>
        <v>-</v>
      </c>
      <c r="L563" s="13" t="str">
        <f t="shared" ref="L563" si="608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0.4200000000000001</v>
      </c>
      <c r="L564" s="13">
        <f t="shared" ref="L564" si="610">IFERROR(L170/SUM(L398,L439),"-")</f>
        <v>0.4200000000000001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 t="str">
        <f t="shared" si="611"/>
        <v>-</v>
      </c>
      <c r="J565" s="13">
        <f t="shared" si="611"/>
        <v>0.52249999999999963</v>
      </c>
      <c r="K565" s="13">
        <f t="shared" si="611"/>
        <v>0.54999999999999993</v>
      </c>
      <c r="L565" s="13">
        <f t="shared" ref="L565" si="612">IFERROR(L171/SUM(L399,L519),"-")</f>
        <v>0.60000000000000053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>
        <f t="shared" si="613"/>
        <v>0.47492792286664998</v>
      </c>
      <c r="J566" s="13">
        <f t="shared" si="613"/>
        <v>0.50750000000000017</v>
      </c>
      <c r="K566" s="13">
        <f t="shared" si="613"/>
        <v>0.53999999999999948</v>
      </c>
      <c r="L566" s="13">
        <f t="shared" ref="L566" si="614">IFERROR(L172/SUM(L400,L520),"-")</f>
        <v>0.57500000000000018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0.69990248621037421</v>
      </c>
      <c r="G567" s="13">
        <f t="shared" si="615"/>
        <v>0.6994794723071448</v>
      </c>
      <c r="H567" s="13">
        <f t="shared" si="615"/>
        <v>0.69998025491386107</v>
      </c>
      <c r="I567" s="13">
        <f t="shared" si="615"/>
        <v>0.69998005189702917</v>
      </c>
      <c r="J567" s="13">
        <f t="shared" si="615"/>
        <v>0.69778503588451335</v>
      </c>
      <c r="K567" s="13">
        <f t="shared" si="615"/>
        <v>0.69746348483347109</v>
      </c>
      <c r="L567" s="13">
        <f t="shared" ref="L567" si="616">IFERROR(L174/L402,"-")</f>
        <v>0.69993978055866812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0.86627968364692587</v>
      </c>
      <c r="G568" s="13">
        <f t="shared" si="615"/>
        <v>0.865807276523477</v>
      </c>
      <c r="H568" s="13">
        <f t="shared" si="615"/>
        <v>0.86701957517308403</v>
      </c>
      <c r="I568" s="13">
        <f t="shared" si="615"/>
        <v>0.86700414378824486</v>
      </c>
      <c r="J568" s="13">
        <f t="shared" si="615"/>
        <v>0.86698497681487718</v>
      </c>
      <c r="K568" s="13">
        <f t="shared" si="615"/>
        <v>0.8670041130517897</v>
      </c>
      <c r="L568" s="13">
        <f t="shared" ref="L568" si="617">IFERROR(L175/L403,"-")</f>
        <v>0.86703830994276698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0.89412364732918126</v>
      </c>
      <c r="G569" s="13">
        <f t="shared" si="615"/>
        <v>0.89419432446185743</v>
      </c>
      <c r="H569" s="13">
        <f t="shared" si="615"/>
        <v>0.89421841416173531</v>
      </c>
      <c r="I569" s="13">
        <f t="shared" si="615"/>
        <v>0.89423525547244043</v>
      </c>
      <c r="J569" s="13">
        <f t="shared" si="615"/>
        <v>0.89416799519510903</v>
      </c>
      <c r="K569" s="13">
        <f t="shared" si="615"/>
        <v>0.89420714599370343</v>
      </c>
      <c r="L569" s="13">
        <f t="shared" ref="L569" si="618">IFERROR(L176/L404,"-")</f>
        <v>0.89426698738260602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0.90102377889405361</v>
      </c>
      <c r="G570" s="13">
        <f t="shared" si="615"/>
        <v>0.90154505154555142</v>
      </c>
      <c r="H570" s="13">
        <f t="shared" si="615"/>
        <v>0.90425657373397805</v>
      </c>
      <c r="I570" s="13">
        <f t="shared" si="615"/>
        <v>0.90426433644023296</v>
      </c>
      <c r="J570" s="13">
        <f t="shared" si="615"/>
        <v>0.90424816329443325</v>
      </c>
      <c r="K570" s="13">
        <f t="shared" si="615"/>
        <v>0.90426894775233857</v>
      </c>
      <c r="L570" s="13">
        <f t="shared" ref="L570" si="619">IFERROR(L177/L405,"-")</f>
        <v>0.90426870911487611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0.90095105772131889</v>
      </c>
      <c r="G571" s="13">
        <f t="shared" si="615"/>
        <v>0.90111489946042589</v>
      </c>
      <c r="H571" s="13">
        <f t="shared" si="615"/>
        <v>0.90425308176014674</v>
      </c>
      <c r="I571" s="13">
        <f t="shared" si="615"/>
        <v>0.90426201695607533</v>
      </c>
      <c r="J571" s="13">
        <f t="shared" si="615"/>
        <v>0.90418356383216258</v>
      </c>
      <c r="K571" s="13">
        <f t="shared" si="615"/>
        <v>0.90426257953733391</v>
      </c>
      <c r="L571" s="13">
        <f t="shared" ref="L571" si="620">IFERROR(L178/L406,"-")</f>
        <v>0.9042622107381989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0.90097937154651941</v>
      </c>
      <c r="G572" s="13">
        <f t="shared" si="615"/>
        <v>0.90114129171978985</v>
      </c>
      <c r="H572" s="13">
        <f t="shared" si="615"/>
        <v>0.90423294528385256</v>
      </c>
      <c r="I572" s="13">
        <f t="shared" si="615"/>
        <v>0.90425037752471615</v>
      </c>
      <c r="J572" s="13">
        <f t="shared" si="615"/>
        <v>0.90415424145203638</v>
      </c>
      <c r="K572" s="13">
        <f t="shared" si="615"/>
        <v>0.90425388514194949</v>
      </c>
      <c r="L572" s="13">
        <f t="shared" ref="L572" si="621">IFERROR(L179/L407,"-")</f>
        <v>0.90424791144090499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0.9010787095582542</v>
      </c>
      <c r="G573" s="13">
        <f t="shared" si="615"/>
        <v>0.9015905757822299</v>
      </c>
      <c r="H573" s="13">
        <f t="shared" si="615"/>
        <v>0.90425966654133283</v>
      </c>
      <c r="I573" s="13">
        <f t="shared" si="615"/>
        <v>0.90426564775507445</v>
      </c>
      <c r="J573" s="13">
        <f t="shared" si="615"/>
        <v>0.90423582208447995</v>
      </c>
      <c r="K573" s="13">
        <f t="shared" si="615"/>
        <v>0.90426639376724616</v>
      </c>
      <c r="L573" s="13">
        <f t="shared" ref="L573" si="622">IFERROR(L180/L408,"-")</f>
        <v>0.90426589086745202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23">IFERROR(G212/G442,"-")</f>
        <v>0.65815529878101509</v>
      </c>
      <c r="H575" s="4">
        <f t="shared" si="623"/>
        <v>0.3824634833502869</v>
      </c>
      <c r="I575" s="4">
        <f t="shared" si="623"/>
        <v>0.57770822338112593</v>
      </c>
      <c r="J575" s="4">
        <f t="shared" si="623"/>
        <v>0.50774428233617785</v>
      </c>
      <c r="K575" s="4">
        <f t="shared" si="623"/>
        <v>0.47079743070750163</v>
      </c>
      <c r="L575" s="4">
        <f t="shared" ref="L575" si="624">IFERROR(L212/L442,"-")</f>
        <v>0.38083547886766667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 t="str">
        <f t="shared" si="625"/>
        <v>-</v>
      </c>
      <c r="L576" s="4" t="str">
        <f t="shared" ref="L576" si="626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27">IFERROR(G220/G450,"-")</f>
        <v>0.85445501111132516</v>
      </c>
      <c r="H577" s="4">
        <f t="shared" si="627"/>
        <v>0.85445501111132516</v>
      </c>
      <c r="I577" s="4">
        <f t="shared" si="627"/>
        <v>0.85445501111132516</v>
      </c>
      <c r="J577" s="4">
        <f t="shared" si="627"/>
        <v>0.85445501111132538</v>
      </c>
      <c r="K577" s="4">
        <f t="shared" si="627"/>
        <v>0.85445501111132505</v>
      </c>
      <c r="L577" s="4">
        <f t="shared" ref="L577" si="628">IFERROR(L220/L450,"-")</f>
        <v>0.85445501111132527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29">IFERROR(G226/G456,"-")</f>
        <v>0.69999999999999973</v>
      </c>
      <c r="H578" s="4">
        <f t="shared" si="629"/>
        <v>0.69999999999999951</v>
      </c>
      <c r="I578" s="4">
        <f t="shared" si="629"/>
        <v>0.69999999999999973</v>
      </c>
      <c r="J578" s="4">
        <f t="shared" si="629"/>
        <v>0.7</v>
      </c>
      <c r="K578" s="4">
        <f t="shared" si="629"/>
        <v>0.70000000000000051</v>
      </c>
      <c r="L578" s="4">
        <f t="shared" ref="L578" si="630">IFERROR(L226/L456,"-")</f>
        <v>0.70000000000000118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 t="str">
        <f t="shared" si="631"/>
        <v>-</v>
      </c>
      <c r="J579" t="str">
        <f t="shared" si="631"/>
        <v>-</v>
      </c>
      <c r="K579" t="str">
        <f t="shared" si="631"/>
        <v>-</v>
      </c>
      <c r="L579" t="str">
        <f t="shared" ref="L579" si="632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 t="str">
        <f t="shared" si="633"/>
        <v>-</v>
      </c>
      <c r="L580" t="str">
        <f t="shared" ref="L580" si="634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2.8999999999999986</v>
      </c>
      <c r="H581" s="4">
        <f t="shared" si="635"/>
        <v>2.8999999999999977</v>
      </c>
      <c r="I581" s="4">
        <f t="shared" si="635"/>
        <v>2.8999999999999959</v>
      </c>
      <c r="J581" s="4">
        <f t="shared" si="635"/>
        <v>2.9000000000000012</v>
      </c>
      <c r="K581" s="4">
        <f t="shared" si="635"/>
        <v>2.9000000000000008</v>
      </c>
      <c r="L581" s="4">
        <f t="shared" ref="L581" si="636">IFERROR(L232/L462,"-")</f>
        <v>2.9000000000000008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[2]Other_transformation!F$5</f>
        <v>0</v>
      </c>
      <c r="K582" s="3">
        <f>[2]Other_transformation!G$5</f>
        <v>0</v>
      </c>
      <c r="L582" s="3">
        <f>[2]Other_transformation!H$5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37">G582</f>
        <v>0.63725495042073454</v>
      </c>
      <c r="H583" s="1">
        <f t="shared" si="637"/>
        <v>1.2033404851988687</v>
      </c>
      <c r="I583" s="1">
        <f t="shared" si="637"/>
        <v>0</v>
      </c>
      <c r="J583" s="1">
        <f t="shared" si="637"/>
        <v>0</v>
      </c>
      <c r="K583" s="1">
        <f t="shared" si="637"/>
        <v>0</v>
      </c>
      <c r="L583" s="1">
        <f t="shared" ref="L583" si="638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0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39">G587</f>
        <v>0.24852943066408614</v>
      </c>
      <c r="H586" s="3">
        <f t="shared" si="639"/>
        <v>0.46930278922755841</v>
      </c>
      <c r="I586" s="3">
        <f t="shared" si="639"/>
        <v>0</v>
      </c>
      <c r="J586" s="3">
        <f t="shared" si="639"/>
        <v>0</v>
      </c>
      <c r="K586" s="3">
        <f t="shared" si="639"/>
        <v>0</v>
      </c>
      <c r="L586" s="3">
        <f t="shared" si="639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40">SUM(G588:G589)</f>
        <v>0.24852943066408614</v>
      </c>
      <c r="H587" s="1">
        <f t="shared" si="640"/>
        <v>0.46930278922755841</v>
      </c>
      <c r="I587" s="1">
        <f t="shared" si="640"/>
        <v>0</v>
      </c>
      <c r="J587" s="1">
        <f t="shared" si="640"/>
        <v>0</v>
      </c>
      <c r="K587" s="1">
        <f t="shared" si="640"/>
        <v>0</v>
      </c>
      <c r="L587" s="1">
        <f t="shared" ref="L587" si="641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0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0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42">G591+G594</f>
        <v>1.8601472002781225</v>
      </c>
      <c r="H590" s="3">
        <f t="shared" si="642"/>
        <v>3.5125508762954967</v>
      </c>
      <c r="I590" s="3">
        <f t="shared" si="642"/>
        <v>0</v>
      </c>
      <c r="J590" s="3">
        <f t="shared" si="642"/>
        <v>0</v>
      </c>
      <c r="K590" s="3">
        <f t="shared" si="642"/>
        <v>0</v>
      </c>
      <c r="L590" s="3">
        <f t="shared" ref="L590" si="643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44">SUM(G592:G593)</f>
        <v>1.8158579812238815</v>
      </c>
      <c r="H591" s="1">
        <f t="shared" si="644"/>
        <v>3.4289187125741751</v>
      </c>
      <c r="I591" s="1">
        <f t="shared" si="644"/>
        <v>0</v>
      </c>
      <c r="J591" s="1">
        <f t="shared" si="644"/>
        <v>0</v>
      </c>
      <c r="K591" s="1">
        <f t="shared" si="644"/>
        <v>0</v>
      </c>
      <c r="L591" s="1">
        <f t="shared" ref="L591" si="645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0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46">SUM(G595:G596)</f>
        <v>4.4289219054241005E-2</v>
      </c>
      <c r="H594" s="1">
        <f t="shared" si="646"/>
        <v>8.3632163721321387E-2</v>
      </c>
      <c r="I594" s="1">
        <f t="shared" si="646"/>
        <v>0</v>
      </c>
      <c r="J594" s="1">
        <f t="shared" si="646"/>
        <v>0</v>
      </c>
      <c r="K594" s="1">
        <f t="shared" si="646"/>
        <v>0</v>
      </c>
      <c r="L594" s="1">
        <f t="shared" ref="L594" si="647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0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0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48">IFERROR(SUM(G584,G588)/SUM(G592,G595),"-")</f>
        <v>0.47619047619047644</v>
      </c>
      <c r="H598" s="4">
        <f t="shared" si="648"/>
        <v>0.47619047619047628</v>
      </c>
      <c r="I598" s="4" t="str">
        <f t="shared" si="648"/>
        <v>-</v>
      </c>
      <c r="J598" s="4" t="str">
        <f t="shared" si="648"/>
        <v>-</v>
      </c>
      <c r="K598" s="4" t="str">
        <f t="shared" si="648"/>
        <v>-</v>
      </c>
      <c r="L598" s="4" t="str">
        <f t="shared" ref="L598" si="649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[2]Other_transformation!F$12</f>
        <v>0</v>
      </c>
      <c r="K600" s="1">
        <f>[2]Other_transformation!G$12</f>
        <v>0</v>
      </c>
      <c r="L600" s="1">
        <f>[2]Other_transformation!H$12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51">SUM(G602:G603)</f>
        <v>4.963892877973141E-2</v>
      </c>
      <c r="H601" s="1">
        <f t="shared" si="651"/>
        <v>3.3611554622146399E-2</v>
      </c>
      <c r="I601" s="1">
        <f t="shared" si="651"/>
        <v>2.4561503009816851E-2</v>
      </c>
      <c r="J601" s="1">
        <f t="shared" si="651"/>
        <v>0</v>
      </c>
      <c r="K601" s="1">
        <f t="shared" si="651"/>
        <v>0</v>
      </c>
      <c r="L601" s="1">
        <f t="shared" ref="L601" si="652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0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0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54">G605+G608</f>
        <v>0.18515320434839805</v>
      </c>
      <c r="H604" s="3">
        <f t="shared" si="654"/>
        <v>0.12537109874060606</v>
      </c>
      <c r="I604" s="3">
        <f t="shared" si="654"/>
        <v>9.1614406226616818E-2</v>
      </c>
      <c r="J604" s="3">
        <f t="shared" si="654"/>
        <v>0</v>
      </c>
      <c r="K604" s="3">
        <f t="shared" si="654"/>
        <v>0</v>
      </c>
      <c r="L604" s="3">
        <f t="shared" ref="L604" si="655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56">SUM(G606:G607)</f>
        <v>0.10374536114963859</v>
      </c>
      <c r="H605" s="1">
        <f t="shared" si="656"/>
        <v>7.0248149160285947E-2</v>
      </c>
      <c r="I605" s="1">
        <f t="shared" si="656"/>
        <v>5.1333541290517169E-2</v>
      </c>
      <c r="J605" s="1">
        <f t="shared" si="656"/>
        <v>0</v>
      </c>
      <c r="K605" s="1">
        <f t="shared" si="656"/>
        <v>0</v>
      </c>
      <c r="L605" s="1">
        <f t="shared" ref="L605" si="657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0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0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58">SUM(G609:G610)</f>
        <v>8.1407843198759475E-2</v>
      </c>
      <c r="H608" s="1">
        <f t="shared" si="658"/>
        <v>5.5122949580320109E-2</v>
      </c>
      <c r="I608" s="1">
        <f t="shared" si="658"/>
        <v>4.0280864936099642E-2</v>
      </c>
      <c r="J608" s="1">
        <f t="shared" si="658"/>
        <v>0</v>
      </c>
      <c r="K608" s="1">
        <f t="shared" si="658"/>
        <v>0</v>
      </c>
      <c r="L608" s="1">
        <f t="shared" ref="L608" si="659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0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0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60">IFERROR(G602/SUM(G606,G609),"-")</f>
        <v>0.26809651474530849</v>
      </c>
      <c r="H612">
        <f t="shared" si="660"/>
        <v>0.26809651474530832</v>
      </c>
      <c r="I612">
        <f t="shared" si="660"/>
        <v>0.26809651474530843</v>
      </c>
      <c r="J612" t="str">
        <f t="shared" si="660"/>
        <v>-</v>
      </c>
      <c r="K612" t="str">
        <f t="shared" si="660"/>
        <v>-</v>
      </c>
      <c r="L612" t="str">
        <f t="shared" ref="L612" si="661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63">G615+G616+G621</f>
        <v>10.623005809141791</v>
      </c>
      <c r="H614" s="3">
        <f t="shared" ref="H614" si="664">H615+H616+H621</f>
        <v>10.41385524357835</v>
      </c>
      <c r="I614" s="3">
        <f t="shared" ref="I614" si="665">I615+I616+I621</f>
        <v>11.131090173828579</v>
      </c>
      <c r="J614" s="3">
        <f t="shared" ref="J614" si="666">J615+J616+J621</f>
        <v>12.126020317814506</v>
      </c>
      <c r="K614" s="3">
        <f t="shared" ref="K614:L614" si="667">K615+K616+K621</f>
        <v>14.475082511169918</v>
      </c>
      <c r="L614" s="3">
        <f t="shared" si="667"/>
        <v>16.771296809187614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[2]Other_transformation!F$19</f>
        <v>4.3847686788881752</v>
      </c>
      <c r="K615" s="1">
        <f>[2]Other_transformation!G$19</f>
        <v>5.9658660053159416</v>
      </c>
      <c r="L615" s="1">
        <f>[2]Other_transformation!H$19</f>
        <v>6.808097417543868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[2]Other_transformation!F$20</f>
        <v>7.7412516389263306</v>
      </c>
      <c r="K616" s="1">
        <f>[2]Other_transformation!G$20</f>
        <v>8.5092165058539759</v>
      </c>
      <c r="L616" s="1">
        <f>[2]Other_transformation!H$20</f>
        <v>9.9631993916437462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7.7412516389263306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8.4080075807856662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9.8446366637036178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0.10120892506830888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0.11856272794012777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[2]Other_transformation!F$21</f>
        <v>0</v>
      </c>
      <c r="K621" s="1">
        <f>[2]Other_transformation!G$21</f>
        <v>0</v>
      </c>
      <c r="L621" s="1">
        <f>[2]Other_transformation!H$21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0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0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68">G625+G626+G631</f>
        <v>0.12476475197978865</v>
      </c>
      <c r="H624" s="3">
        <f t="shared" ref="H624" si="669">H625+H626+H631</f>
        <v>0.12058173718996097</v>
      </c>
      <c r="I624" s="3">
        <f t="shared" ref="I624" si="670">I625+I626+I631</f>
        <v>0.13492647229875715</v>
      </c>
      <c r="J624" s="3">
        <f t="shared" ref="J624" si="671">J625+J626+J631</f>
        <v>0.15482503277852663</v>
      </c>
      <c r="K624" s="3">
        <f t="shared" ref="K624:L624" si="672">K625+K626+K631</f>
        <v>0.16816015161571327</v>
      </c>
      <c r="L624" s="3">
        <f t="shared" si="672"/>
        <v>0.19689273327407245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73">SUM(G627:G630)</f>
        <v>0.12476475197978865</v>
      </c>
      <c r="H626" s="1">
        <f t="shared" si="673"/>
        <v>0.12058173718996097</v>
      </c>
      <c r="I626" s="1">
        <f t="shared" si="673"/>
        <v>0.13492647229875715</v>
      </c>
      <c r="J626" s="1">
        <f t="shared" si="673"/>
        <v>0.15482503277852663</v>
      </c>
      <c r="K626" s="1">
        <f t="shared" si="673"/>
        <v>0.16816015161571327</v>
      </c>
      <c r="L626" s="1">
        <f t="shared" ref="L626" si="674">SUM(L627:L630)</f>
        <v>0.19689273327407245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0.15482503277852663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0.16816015161571327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0.19689273327407245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0</v>
      </c>
      <c r="H631" s="1">
        <f t="shared" si="675"/>
        <v>0</v>
      </c>
      <c r="I631" s="1">
        <f t="shared" si="675"/>
        <v>0</v>
      </c>
      <c r="J631" s="1">
        <f t="shared" si="675"/>
        <v>0</v>
      </c>
      <c r="K631" s="1">
        <f t="shared" si="675"/>
        <v>0</v>
      </c>
      <c r="L631" s="1">
        <f t="shared" ref="L631" si="676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0</v>
      </c>
      <c r="H634" s="3">
        <f t="shared" ref="H634" si="678">H635+H636+H641</f>
        <v>0</v>
      </c>
      <c r="I634" s="3">
        <f t="shared" ref="I634" si="679">I635+I636+I641</f>
        <v>0</v>
      </c>
      <c r="J634" s="3">
        <f t="shared" ref="J634" si="680">J635+J636+J641</f>
        <v>0</v>
      </c>
      <c r="K634" s="3">
        <f t="shared" ref="K634:L634" si="681">K635+K636+K641</f>
        <v>0</v>
      </c>
      <c r="L634" s="3">
        <f t="shared" si="681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0</v>
      </c>
      <c r="H641" s="1">
        <f t="shared" ref="H641" si="688">SUM(H642:H643)</f>
        <v>0</v>
      </c>
      <c r="I641" s="1">
        <f t="shared" ref="I641" si="689">SUM(I642:I643)</f>
        <v>0</v>
      </c>
      <c r="J641" s="1">
        <f t="shared" ref="J641" si="690">SUM(J642:J643)</f>
        <v>0</v>
      </c>
      <c r="K641" s="1">
        <f t="shared" ref="K641:L641" si="691">SUM(K642:K643)</f>
        <v>0</v>
      </c>
      <c r="L641" s="1">
        <f t="shared" si="691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0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92">G645+G646+G651</f>
        <v>23.266641044098147</v>
      </c>
      <c r="H644" s="3">
        <f t="shared" ref="H644" si="693">H645+H646+H651</f>
        <v>22.907021784315148</v>
      </c>
      <c r="I644" s="3">
        <f t="shared" ref="I644" si="694">I645+I646+I651</f>
        <v>24.140253934054879</v>
      </c>
      <c r="J644" s="3">
        <f t="shared" ref="J644" si="695">J645+J646+J651</f>
        <v>25.850967668208341</v>
      </c>
      <c r="K644" s="3">
        <f t="shared" ref="K644:L644" si="696">K645+K646+K651</f>
        <v>31.663929417063489</v>
      </c>
      <c r="L644" s="3">
        <f t="shared" si="696"/>
        <v>36.567683494709449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12.540438421620154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17.062376775203589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19.471158614175458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97">SUM(G647:G650)</f>
        <v>10.726203963062384</v>
      </c>
      <c r="H646" s="1">
        <f t="shared" ref="H646" si="698">SUM(H647:H650)</f>
        <v>10.366584205845502</v>
      </c>
      <c r="I646" s="1">
        <f t="shared" ref="I646" si="699">SUM(I647:I650)</f>
        <v>11.599821575627438</v>
      </c>
      <c r="J646" s="1">
        <f t="shared" ref="J646" si="700">SUM(J647:J650)</f>
        <v>13.310529246588187</v>
      </c>
      <c r="K646" s="1">
        <f t="shared" ref="K646:L646" si="701">SUM(K647:K650)</f>
        <v>14.6015526418599</v>
      </c>
      <c r="L646" s="1">
        <f t="shared" si="701"/>
        <v>17.096524880533991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13.310529246588187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14.456968463190888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16.927149554905238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0.14458417866901269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0.1693753256287541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0</v>
      </c>
      <c r="H651" s="1">
        <f t="shared" ref="H651" si="703">SUM(H652:H653)</f>
        <v>0</v>
      </c>
      <c r="I651" s="1">
        <f t="shared" ref="I651" si="704">SUM(I652:I653)</f>
        <v>0</v>
      </c>
      <c r="J651" s="1">
        <f t="shared" ref="J651" si="705">SUM(J652:J653)</f>
        <v>0</v>
      </c>
      <c r="K651" s="1">
        <f t="shared" ref="K651:L651" si="706">SUM(K652:K653)</f>
        <v>0</v>
      </c>
      <c r="L651" s="1">
        <f t="shared" si="706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0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0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0.34965034965034963</v>
      </c>
      <c r="G655" s="4">
        <f t="shared" si="707"/>
        <v>0.34965034965035008</v>
      </c>
      <c r="H655" s="4">
        <f t="shared" si="707"/>
        <v>0.34965034965034969</v>
      </c>
      <c r="I655" s="4">
        <f t="shared" si="707"/>
        <v>0.34965034965035019</v>
      </c>
      <c r="J655" s="4">
        <f t="shared" si="707"/>
        <v>0.34965034965035041</v>
      </c>
      <c r="K655" s="4">
        <f t="shared" si="707"/>
        <v>0.34965034965034975</v>
      </c>
      <c r="L655" s="4">
        <f t="shared" ref="L655" si="708">IFERROR(SUM(L635,L625,L615)/L645,"-")</f>
        <v>0.34965034965034975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0.59322033898305127</v>
      </c>
      <c r="G656" s="4">
        <f t="shared" si="709"/>
        <v>0.59322033898305071</v>
      </c>
      <c r="H656" s="4">
        <f t="shared" si="709"/>
        <v>0.59322033898305138</v>
      </c>
      <c r="I656" s="4">
        <f t="shared" si="709"/>
        <v>0.59322033898305082</v>
      </c>
      <c r="J656" s="4">
        <f t="shared" si="709"/>
        <v>0.59322033898305082</v>
      </c>
      <c r="K656" s="4">
        <f t="shared" si="709"/>
        <v>0.59322033898305127</v>
      </c>
      <c r="L656" s="4">
        <f t="shared" ref="L656" si="710">IFERROR(SUM(L637,L627,L617)/L647,"-")</f>
        <v>0.59322033898305127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0.7</v>
      </c>
      <c r="L658" s="4">
        <f t="shared" ref="L658" si="712">IFERROR(SUM(L639,L629,L619)/L649,"-")</f>
        <v>0.6999999999999994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 t="str">
        <f t="shared" si="714"/>
        <v>-</v>
      </c>
      <c r="H660" s="4" t="str">
        <f t="shared" si="714"/>
        <v>-</v>
      </c>
      <c r="I660" s="4" t="str">
        <f t="shared" si="714"/>
        <v>-</v>
      </c>
      <c r="J660" s="4" t="str">
        <f t="shared" si="714"/>
        <v>-</v>
      </c>
      <c r="K660" s="4" t="str">
        <f t="shared" si="714"/>
        <v>-</v>
      </c>
      <c r="L660" s="4" t="str">
        <f t="shared" ref="L660" si="715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17">SUM(G663,G667,G676)</f>
        <v>5.2385901576496559E-3</v>
      </c>
      <c r="H662" s="3">
        <f t="shared" si="717"/>
        <v>5.2591998691254478E-3</v>
      </c>
      <c r="I662" s="3">
        <f t="shared" si="717"/>
        <v>7.4055708569680792E-3</v>
      </c>
      <c r="J662" s="3">
        <f t="shared" si="717"/>
        <v>0.36091371146324558</v>
      </c>
      <c r="K662" s="3">
        <f t="shared" si="717"/>
        <v>7.3960760374555132</v>
      </c>
      <c r="L662" s="3">
        <f t="shared" ref="L662" si="718">SUM(L663,L667,L676)</f>
        <v>7.4184135930967772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[2]Other_transformation!F$28</f>
        <v>0.36091371146324558</v>
      </c>
      <c r="K663" s="1">
        <f>[2]Other_transformation!G$28</f>
        <v>7.3960760374555132</v>
      </c>
      <c r="L663" s="1">
        <f>[2]Other_transformation!H$28</f>
        <v>7.4184135930967772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0.36091371146324558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7.3960760374555132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7.4184135930967772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0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0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35">SUM(G680,G684,G686,G695)</f>
        <v>9.3546252815172488E-3</v>
      </c>
      <c r="H679" s="3">
        <f t="shared" si="735"/>
        <v>9.3914283377240088E-3</v>
      </c>
      <c r="I679" s="3">
        <f t="shared" si="735"/>
        <v>1.3224233673157285E-2</v>
      </c>
      <c r="J679" s="3">
        <f t="shared" si="735"/>
        <v>0.64448877047008091</v>
      </c>
      <c r="K679" s="3">
        <f t="shared" si="735"/>
        <v>13.20727863831341</v>
      </c>
      <c r="L679" s="3">
        <f t="shared" ref="L679" si="736">SUM(L680,L684,L686,L695)</f>
        <v>13.247167130529959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37">SUM(G681:G683)</f>
        <v>9.3546252815172488E-3</v>
      </c>
      <c r="H680" s="1">
        <f t="shared" si="737"/>
        <v>9.3914283377240088E-3</v>
      </c>
      <c r="I680" s="1">
        <f t="shared" si="737"/>
        <v>1.3224233673157285E-2</v>
      </c>
      <c r="J680" s="1">
        <f t="shared" si="737"/>
        <v>0.64448877047008091</v>
      </c>
      <c r="K680" s="1">
        <f t="shared" si="737"/>
        <v>13.20727863831341</v>
      </c>
      <c r="L680" s="1">
        <f t="shared" ref="L680" si="738">SUM(L681:L683)</f>
        <v>13.247167130529959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0.64448877047008091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13.20727863831341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13.247167130529959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0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0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</v>
      </c>
      <c r="L684" s="1">
        <f t="shared" si="745"/>
        <v>0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0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0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0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0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62">IFERROR(G664/G681,"-")</f>
        <v>0.55999999999999961</v>
      </c>
      <c r="H699" s="4">
        <f t="shared" si="762"/>
        <v>0.56000000000000028</v>
      </c>
      <c r="I699" s="4">
        <f t="shared" si="762"/>
        <v>0.55999999999999994</v>
      </c>
      <c r="J699" s="4">
        <f t="shared" si="762"/>
        <v>0.56000000000000039</v>
      </c>
      <c r="K699" s="4">
        <f t="shared" si="762"/>
        <v>0.56000000000000028</v>
      </c>
      <c r="L699" s="4">
        <f t="shared" ref="L699" si="763">IFERROR(L664/L681,"-")</f>
        <v>0.55999999999999994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 t="str">
        <f t="shared" si="765"/>
        <v>-</v>
      </c>
      <c r="J700" s="4" t="str">
        <f t="shared" si="765"/>
        <v>-</v>
      </c>
      <c r="K700" s="4" t="str">
        <f t="shared" si="765"/>
        <v>-</v>
      </c>
      <c r="L700" s="4" t="str">
        <f t="shared" ref="L700" si="766">IFERROR(L665/L682,"-")</f>
        <v>-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 t="str">
        <f t="shared" si="767"/>
        <v>-</v>
      </c>
      <c r="L701" s="4" t="str">
        <f t="shared" ref="L701" si="768">IFERROR(L666/SUM(L683,L685),"-")</f>
        <v>-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 t="str">
        <f t="shared" ref="L702" si="770">IFERROR(L668/L687,"-")</f>
        <v>-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 t="str">
        <f t="shared" ref="L703" si="771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[2]Other_transformation!F$39</f>
        <v>4.3992104504995639</v>
      </c>
      <c r="K706" s="1">
        <f>[2]Other_transformation!G$39</f>
        <v>3.1628994676210911</v>
      </c>
      <c r="L706" s="1">
        <f>[2]Other_transformation!H$39</f>
        <v>5.3298381168873892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[2]Other_transformation!F$38</f>
        <v>4.8202572788380724</v>
      </c>
      <c r="K707" s="1">
        <f>[2]Other_transformation!G$38</f>
        <v>3.4656194225266734</v>
      </c>
      <c r="L707" s="1">
        <f>[2]Other_transformation!H$38</f>
        <v>5.8399549798845394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0.91265054871925855</v>
      </c>
      <c r="G708" s="14">
        <f t="shared" si="775"/>
        <v>0.91265054871925899</v>
      </c>
      <c r="H708" s="14">
        <f t="shared" si="775"/>
        <v>0.91265054871925888</v>
      </c>
      <c r="I708" s="14">
        <f t="shared" si="775"/>
        <v>0.91265054871925921</v>
      </c>
      <c r="J708" s="14">
        <f t="shared" si="775"/>
        <v>0.91265054871925799</v>
      </c>
      <c r="K708" s="14">
        <f t="shared" si="775"/>
        <v>0.91265054871925932</v>
      </c>
      <c r="L708" s="14">
        <f t="shared" ref="L708" si="776">L706/L707</f>
        <v>0.91265054871925821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SUMPRODUCT(("CT_CWODPLT"=[2]OUT_SyntheticFuels!$C$4:$C$1000)*1,("Var_Fout"=[2]OUT_SyntheticFuels!$B$4:$B$1000)*1,[2]OUT_SyntheticFuels!I$4:I$1000)</f>
        <v>1.1511973661715555</v>
      </c>
      <c r="K709" s="17" cm="1">
        <f t="array" ref="K709">SUMPRODUCT(("CT_CWODPLT"=[2]OUT_SyntheticFuels!$C$4:$C$1000)*1,("Var_Fout"=[2]OUT_SyntheticFuels!$B$4:$B$1000)*1,[2]OUT_SyntheticFuels!J$4:J$1000)</f>
        <v>1.0199589034461531</v>
      </c>
      <c r="L709" s="17" cm="1">
        <f t="array" ref="L709">SUMPRODUCT(("CT_CWODPLT"=[2]OUT_SyntheticFuels!$C$4:$C$1000)*1,("Var_Fout"=[2]OUT_SyntheticFuels!$B$4:$B$1000)*1,[2]OUT_SyntheticFuels!K$4:K$1000)</f>
        <v>0.82374188196513587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77">G709</f>
        <v>6.9696677073538176</v>
      </c>
      <c r="H710" s="18">
        <f t="shared" si="777"/>
        <v>1.3268616798595534</v>
      </c>
      <c r="I710" s="18">
        <f t="shared" si="777"/>
        <v>1.2503214656912223</v>
      </c>
      <c r="J710" s="18">
        <f t="shared" si="777"/>
        <v>1.1511973661715555</v>
      </c>
      <c r="K710" s="18">
        <f t="shared" si="777"/>
        <v>1.0199589034461531</v>
      </c>
      <c r="L710" s="18">
        <f t="shared" ref="L710" si="778">L709</f>
        <v>0.82374188196513587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SUMPRODUCT(("CT_CWODPLT"=[2]OUT_SyntheticFuels!$C$4:$C$1000)*1,("Var_Fin"=[2]OUT_SyntheticFuels!$B$4:$B$1000)*1,[2]OUT_SyntheticFuels!I$4:I$1000)</f>
        <v>1.3704730549661381</v>
      </c>
      <c r="K711" s="17" cm="1">
        <f t="array" ref="K711">SUMPRODUCT(("CT_CWODPLT"=[2]OUT_SyntheticFuels!$C$4:$C$1000)*1,("Var_Fin"=[2]OUT_SyntheticFuels!$B$4:$B$1000)*1,[2]OUT_SyntheticFuels!J$4:J$1000)</f>
        <v>1.2142367898168482</v>
      </c>
      <c r="L711" s="17" cm="1">
        <f t="array" ref="L711">SUMPRODUCT(("CT_CWODPLT"=[2]OUT_SyntheticFuels!$C$4:$C$1000)*1,("Var_Fin"=[2]OUT_SyntheticFuels!$B$4:$B$1000)*1,[2]OUT_SyntheticFuels!K$4:K$1000)</f>
        <v>0.98064509757754315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7.1186580585854742</v>
      </c>
      <c r="G712" s="18">
        <f t="shared" si="779"/>
        <v>8.2972234611354967</v>
      </c>
      <c r="H712" s="18">
        <f t="shared" si="779"/>
        <v>1.5795972379280396</v>
      </c>
      <c r="I712" s="18">
        <f t="shared" si="779"/>
        <v>1.4884779353466917</v>
      </c>
      <c r="J712" s="18">
        <f t="shared" si="779"/>
        <v>1.3704730549661381</v>
      </c>
      <c r="K712" s="18">
        <f t="shared" si="779"/>
        <v>1.2142367898168482</v>
      </c>
      <c r="L712" s="18">
        <f t="shared" ref="L712" si="780">L711</f>
        <v>0.98064509757754315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0.83999999999999986</v>
      </c>
      <c r="G713" s="14">
        <f t="shared" si="781"/>
        <v>0.84000000000000008</v>
      </c>
      <c r="H713" s="14">
        <f t="shared" si="781"/>
        <v>0.84000000000000008</v>
      </c>
      <c r="I713" s="14">
        <f t="shared" si="781"/>
        <v>0.84000000000000086</v>
      </c>
      <c r="J713" s="14">
        <f t="shared" si="781"/>
        <v>0.83999999999999964</v>
      </c>
      <c r="K713" s="14">
        <f t="shared" si="781"/>
        <v>0.84000000000000052</v>
      </c>
      <c r="L713" s="14">
        <f t="shared" ref="L713" si="782">IFERROR(L709/L711,"-")</f>
        <v>0.83999999999999964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0</v>
      </c>
      <c r="L714" s="17">
        <f t="shared" ref="L714" si="784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0</v>
      </c>
      <c r="L715" s="18">
        <f t="shared" si="785"/>
        <v>0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0</v>
      </c>
      <c r="L717" s="18">
        <f t="shared" ref="L717" si="788">SUM(L718:L720)</f>
        <v>0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0</v>
      </c>
      <c r="L721" s="17">
        <f t="shared" si="790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0</v>
      </c>
      <c r="L722" s="18">
        <f t="shared" ref="L722" si="793">SUM(L723,L725)</f>
        <v>0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0</v>
      </c>
      <c r="L723" s="18">
        <f t="shared" si="795"/>
        <v>0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0</v>
      </c>
      <c r="L725" s="18">
        <f t="shared" ref="L725" si="797">SUM(L726:L728)</f>
        <v>0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 t="str">
        <f t="shared" si="799"/>
        <v>-</v>
      </c>
      <c r="L730" s="14" t="str">
        <f t="shared" ref="L730" si="800">IFERROR(L716/L724,"-")</f>
        <v>-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 t="str">
        <f t="shared" si="802"/>
        <v>-</v>
      </c>
      <c r="L731" s="16" t="str">
        <f t="shared" ref="L731" si="803">IFERROR(L718/L726,"-")</f>
        <v>-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 t="str">
        <f t="shared" si="804"/>
        <v>-</v>
      </c>
      <c r="L732" s="16" t="str">
        <f t="shared" ref="L732" si="805">IFERROR(L719/L727,"-")</f>
        <v>-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 t="str">
        <f t="shared" si="806"/>
        <v>-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0</v>
      </c>
      <c r="L734" s="17">
        <f t="shared" si="812"/>
        <v>0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0</v>
      </c>
      <c r="L735" s="18">
        <f t="shared" si="817"/>
        <v>0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0</v>
      </c>
      <c r="L739" s="18">
        <f t="shared" si="823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0</v>
      </c>
      <c r="L741" s="18">
        <f t="shared" si="830"/>
        <v>0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0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0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0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0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0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0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0</v>
      </c>
      <c r="L751" s="18">
        <f t="shared" ref="L751" si="846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0</v>
      </c>
      <c r="L752" s="18">
        <f t="shared" ref="L752" si="848">IFERROR(L$737/L$735,0)*L740</f>
        <v>0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0</v>
      </c>
      <c r="L753" s="18">
        <f t="shared" ref="L753" si="852">IFERROR(L$737/L$735,0)*L741</f>
        <v>0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0</v>
      </c>
      <c r="L754" s="18">
        <f t="shared" ref="L754" si="854">IFERROR(L$737/L$735,0)*L742</f>
        <v>0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0</v>
      </c>
      <c r="L755" s="18">
        <f t="shared" ref="L755" si="856">IFERROR(L$737/L$735,0)*L743</f>
        <v>0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0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0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0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0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142.21760158700843</v>
      </c>
      <c r="G763" s="17">
        <f t="shared" si="875"/>
        <v>139.06071934956051</v>
      </c>
      <c r="H763" s="17">
        <f t="shared" si="875"/>
        <v>144.60837035759988</v>
      </c>
      <c r="I763" s="17">
        <f t="shared" si="875"/>
        <v>134.30391156555439</v>
      </c>
      <c r="J763" s="17">
        <f t="shared" si="875"/>
        <v>128.93533601841793</v>
      </c>
      <c r="K763" s="17">
        <f t="shared" si="875"/>
        <v>120.18772943509445</v>
      </c>
      <c r="L763" s="17">
        <f t="shared" ref="L763" si="876">L764+L768+L778+L789+L791+L803+L805+L807+L811+L813+L815</f>
        <v>120.62715795004571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[2]Industry!F$11</f>
        <v>64.661228680350746</v>
      </c>
      <c r="K764" s="18">
        <f>[2]Industry!G$11</f>
        <v>64.405257998829796</v>
      </c>
      <c r="L764" s="18">
        <f>[2]Industry!H$11</f>
        <v>67.18193629270371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11.646961614783351</v>
      </c>
      <c r="G765" s="1">
        <f t="shared" si="878"/>
        <v>12.258980410056758</v>
      </c>
      <c r="H765" s="1">
        <f t="shared" si="878"/>
        <v>12.249254253975181</v>
      </c>
      <c r="I765" s="1">
        <f t="shared" si="878"/>
        <v>12.233067224138878</v>
      </c>
      <c r="J765" s="1">
        <f t="shared" si="878"/>
        <v>12.217415151114793</v>
      </c>
      <c r="K765" s="1">
        <f>K764-K766-K767</f>
        <v>12.201299467480119</v>
      </c>
      <c r="L765" s="1">
        <f>L764-L766-L767</f>
        <v>12.169194416933124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2.173603055666113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2.1338238611815834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2.057865736439207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[2]Industry!F$11-[2]Industry!F$33</f>
        <v>50.27021047356984</v>
      </c>
      <c r="K767" s="1">
        <f>[2]Industry!G$11-[2]Industry!G$33</f>
        <v>50.070134670168095</v>
      </c>
      <c r="L767" s="1">
        <f>[2]Industry!H$11-[2]Industry!H$33</f>
        <v>52.954876139331375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79">SUM(G771,G776)</f>
        <v>10.823579353129968</v>
      </c>
      <c r="H768" s="1">
        <f t="shared" si="879"/>
        <v>8.0048369321220125</v>
      </c>
      <c r="I768" s="1">
        <f t="shared" si="879"/>
        <v>5.9157978726601703</v>
      </c>
      <c r="J768" s="1">
        <f t="shared" si="879"/>
        <v>4.2036674959343383</v>
      </c>
      <c r="K768" s="1">
        <f t="shared" si="879"/>
        <v>2.5749301963293174</v>
      </c>
      <c r="L768" s="1">
        <f t="shared" ref="L768" si="880">SUM(L771,L776)</f>
        <v>0.3789487537734289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81">SUM(G773,G777)</f>
        <v>8.1053341898350748</v>
      </c>
      <c r="H769" s="1">
        <f t="shared" si="881"/>
        <v>7.998834874364257</v>
      </c>
      <c r="I769" s="1">
        <f t="shared" si="881"/>
        <v>5.9152352732278013</v>
      </c>
      <c r="J769" s="1">
        <f t="shared" si="881"/>
        <v>4.203226891090309</v>
      </c>
      <c r="K769" s="1">
        <f t="shared" si="881"/>
        <v>2.5749245374554857</v>
      </c>
      <c r="L769" s="1">
        <f t="shared" ref="L769" si="882">SUM(L773,L777)</f>
        <v>0.3789487537734289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83">G775</f>
        <v>2.7182451632948927</v>
      </c>
      <c r="H770" s="1">
        <f t="shared" si="883"/>
        <v>6.0020577577564859E-3</v>
      </c>
      <c r="I770" s="1">
        <f t="shared" si="883"/>
        <v>5.6259943236925249E-4</v>
      </c>
      <c r="J770" s="1">
        <f t="shared" si="883"/>
        <v>4.4060484402915688E-4</v>
      </c>
      <c r="K770" s="1">
        <f t="shared" si="883"/>
        <v>5.6588738318190595E-6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85">SUM(G772,G774)</f>
        <v>10.823579353129968</v>
      </c>
      <c r="H771" s="1">
        <f t="shared" si="885"/>
        <v>8.0044344735431618</v>
      </c>
      <c r="I771" s="1">
        <f t="shared" si="885"/>
        <v>5.0104639597199387</v>
      </c>
      <c r="J771" s="1">
        <f t="shared" si="885"/>
        <v>3.2636978329330257</v>
      </c>
      <c r="K771" s="1">
        <f t="shared" si="885"/>
        <v>1.544965667546305</v>
      </c>
      <c r="L771" s="1">
        <f t="shared" ref="L771" si="886">SUM(L772,L774)</f>
        <v>3.9434832192468642E-6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[2]Industry!F$34</f>
        <v>3.2632572280889964</v>
      </c>
      <c r="K772" s="1">
        <f>[2]Industry!G$34</f>
        <v>1.5449600086724733</v>
      </c>
      <c r="L772" s="1">
        <f>[2]Industry!H$34</f>
        <v>3.9434832192468642E-6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87">G772</f>
        <v>8.1053341898350748</v>
      </c>
      <c r="H773" s="1">
        <f t="shared" si="887"/>
        <v>7.9984324157854054</v>
      </c>
      <c r="I773" s="1">
        <f t="shared" si="887"/>
        <v>5.0099013602875697</v>
      </c>
      <c r="J773" s="1">
        <f t="shared" si="887"/>
        <v>3.2632572280889964</v>
      </c>
      <c r="K773" s="1">
        <f t="shared" si="887"/>
        <v>1.5449600086724733</v>
      </c>
      <c r="L773" s="1">
        <f t="shared" ref="L773" si="888">L772</f>
        <v>3.9434832192468642E-6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[2]Industry!F$35</f>
        <v>4.4060484402915688E-4</v>
      </c>
      <c r="K774" s="1">
        <f>[2]Industry!G$35</f>
        <v>5.6588738318190595E-6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89">G774</f>
        <v>2.7182451632948927</v>
      </c>
      <c r="H775" s="1">
        <f t="shared" si="889"/>
        <v>6.0020577577564859E-3</v>
      </c>
      <c r="I775" s="1">
        <f t="shared" si="889"/>
        <v>5.6259943236925249E-4</v>
      </c>
      <c r="J775" s="1">
        <f t="shared" si="889"/>
        <v>4.4060484402915688E-4</v>
      </c>
      <c r="K775" s="1">
        <f t="shared" si="889"/>
        <v>5.6588738318190595E-6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[2]Industry!F$36</f>
        <v>0.93996966300131246</v>
      </c>
      <c r="K776" s="1">
        <f>[2]Industry!G$36</f>
        <v>1.0299645287830121</v>
      </c>
      <c r="L776" s="1">
        <f>[2]Industry!H$36</f>
        <v>0.37894481029020965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4.0245857885122478E-4</v>
      </c>
      <c r="I777" s="1">
        <f t="shared" si="891"/>
        <v>0.90533391294023191</v>
      </c>
      <c r="J777" s="1">
        <f t="shared" si="891"/>
        <v>0.93996966300131246</v>
      </c>
      <c r="K777" s="1">
        <f t="shared" si="891"/>
        <v>1.0299645287830121</v>
      </c>
      <c r="L777" s="1">
        <f t="shared" ref="L777" si="892">L776</f>
        <v>0.37894481029020965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SUM([2]Industry!F$37:F$39)</f>
        <v>15.09593987918754</v>
      </c>
      <c r="K778" s="1">
        <f>SUM([2]Industry!G$37:G$39)</f>
        <v>4.8345959548220661</v>
      </c>
      <c r="L778" s="1">
        <f>SUM([2]Industry!H$37:H$39)</f>
        <v>2.9475860527764373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SUM([2]Industry!F$37:F$38)-J780</f>
        <v>13.670190178968285</v>
      </c>
      <c r="K779" s="1">
        <f>SUM([2]Industry!G$37:G$38)-K780</f>
        <v>3.4088484180656247</v>
      </c>
      <c r="L779" s="1">
        <f>SUM([2]Industry!H$37:H$38)-L780</f>
        <v>1.5218398879326311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0.4398321736571873</v>
      </c>
      <c r="G781" s="1">
        <f t="shared" si="897"/>
        <v>0.55280572415387397</v>
      </c>
      <c r="H781" s="1">
        <f t="shared" si="897"/>
        <v>1.7134273803798692</v>
      </c>
      <c r="I781" s="1">
        <f t="shared" si="897"/>
        <v>1.4655904116700711</v>
      </c>
      <c r="J781" s="1">
        <f t="shared" si="897"/>
        <v>1.4257497002192547</v>
      </c>
      <c r="K781" s="1">
        <f t="shared" si="897"/>
        <v>1.4257475367564414</v>
      </c>
      <c r="L781" s="1">
        <f t="shared" ref="L781" si="898">L778-L779</f>
        <v>1.4257461648438061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[2]Industry!F$37</f>
        <v>12.233340753659332</v>
      </c>
      <c r="K782" s="1">
        <f>[2]Industry!G$37</f>
        <v>2.0030094957695912</v>
      </c>
      <c r="L782" s="1">
        <f>[2]Industry!H$37</f>
        <v>1.41277560350044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[2]Industry!F$37*J779/SUM(J779:J780)</f>
        <v>12.233340753659334</v>
      </c>
      <c r="K783" s="1">
        <f>[2]Industry!G$37*K779/SUM(K779:K780)</f>
        <v>2.0030094957695912</v>
      </c>
      <c r="L783" s="1">
        <f>[2]Industry!H$37*L779/SUM(L779:L780)</f>
        <v>1.41277560350044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903">G782-G783</f>
        <v>7.3506487392549502E-4</v>
      </c>
      <c r="H784" s="1">
        <f t="shared" si="903"/>
        <v>0.23629715199643186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905">SUM(G786:G788)</f>
        <v>0.55210068334238915</v>
      </c>
      <c r="H785" s="1">
        <f t="shared" si="905"/>
        <v>3.0591465246494858</v>
      </c>
      <c r="I785" s="1">
        <f t="shared" si="905"/>
        <v>3.1055973851077985</v>
      </c>
      <c r="J785" s="1">
        <f t="shared" si="905"/>
        <v>2.8625991255282095</v>
      </c>
      <c r="K785" s="1">
        <f t="shared" si="905"/>
        <v>2.8315864590524749</v>
      </c>
      <c r="L785" s="1">
        <f t="shared" ref="L785" si="906">SUM(L786:L788)</f>
        <v>1.5348104492759973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[2]Industry!F$38*J779/SUM(J779:J780)</f>
        <v>1.4368494253089537</v>
      </c>
      <c r="K786" s="1">
        <f>[2]Industry!G$38*K779/SUM(K779:K780)</f>
        <v>1.4058389222960332</v>
      </c>
      <c r="L786" s="1">
        <f>[2]Industry!H$38*L779/SUM(L779:L780)</f>
        <v>0.10906428443219122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[2]Industry!F$39</f>
        <v>1.4257497002192556</v>
      </c>
      <c r="K788" s="1">
        <f>[2]Industry!G$39</f>
        <v>1.4257475367564416</v>
      </c>
      <c r="L788" s="1">
        <f>[2]Industry!H$39</f>
        <v>1.4257461648438061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[2]Industry!F$18</f>
        <v>3.2816316256354506E-4</v>
      </c>
      <c r="K789" s="1">
        <f>[2]Industry!G$18</f>
        <v>5.5882721251163348E-6</v>
      </c>
      <c r="L789" s="1">
        <f>[2]Industry!H$18</f>
        <v>1.6809361199672176E-4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909">G789</f>
        <v>3.4647226795167949</v>
      </c>
      <c r="H790" s="1">
        <f t="shared" si="909"/>
        <v>0.98900736887270957</v>
      </c>
      <c r="I790" s="1">
        <f t="shared" si="909"/>
        <v>4.4505442796075246E-4</v>
      </c>
      <c r="J790" s="1">
        <f t="shared" si="909"/>
        <v>3.2816316256354506E-4</v>
      </c>
      <c r="K790" s="1">
        <f t="shared" si="909"/>
        <v>5.5882721251163348E-6</v>
      </c>
      <c r="L790" s="1">
        <f t="shared" ref="L790" si="910">L789</f>
        <v>1.6809361199672176E-4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[2]Industry!F$19</f>
        <v>15.115268948995809</v>
      </c>
      <c r="K791" s="1">
        <f>[2]Industry!G$19</f>
        <v>14.629794182655221</v>
      </c>
      <c r="L791" s="1">
        <f>[2]Industry!H$19</f>
        <v>18.469765200676164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13">SUM(G793:G801)</f>
        <v>5.0829417870219249</v>
      </c>
      <c r="H792" s="1">
        <f t="shared" si="913"/>
        <v>5.5399062928124874</v>
      </c>
      <c r="I792" s="1">
        <f t="shared" si="913"/>
        <v>7.9981846502731404</v>
      </c>
      <c r="J792" s="1">
        <f t="shared" si="913"/>
        <v>8.6548823958579888</v>
      </c>
      <c r="K792" s="1">
        <f t="shared" si="913"/>
        <v>8.1882797095381665</v>
      </c>
      <c r="L792" s="1">
        <f t="shared" ref="L792" si="914">SUM(L793:L801)</f>
        <v>10.778185867847387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17">G235</f>
        <v>2.0703834895038904</v>
      </c>
      <c r="H793" s="1">
        <f t="shared" si="917"/>
        <v>0.82595651843136164</v>
      </c>
      <c r="I793" s="1">
        <f t="shared" si="917"/>
        <v>1.3159799433697916</v>
      </c>
      <c r="J793" s="1">
        <f t="shared" si="917"/>
        <v>0.5264759356078782</v>
      </c>
      <c r="K793" s="1">
        <f t="shared" si="917"/>
        <v>1.5644696128544672E-4</v>
      </c>
      <c r="L793" s="1">
        <f t="shared" ref="L793" si="918">L235</f>
        <v>0.38009916805165089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19">G241</f>
        <v>0.58792414981164998</v>
      </c>
      <c r="H794" s="1">
        <f t="shared" si="919"/>
        <v>0.44229531125113303</v>
      </c>
      <c r="I794" s="1">
        <f t="shared" si="919"/>
        <v>3.5057400812382497E-2</v>
      </c>
      <c r="J794" s="1">
        <f t="shared" si="919"/>
        <v>1.9341851501311732E-2</v>
      </c>
      <c r="K794" s="1">
        <f t="shared" si="919"/>
        <v>6.3302329101935411E-3</v>
      </c>
      <c r="L794" s="1">
        <f t="shared" ref="L794" si="920">L241</f>
        <v>4.2816788453757811E-2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0</v>
      </c>
      <c r="L795" s="1">
        <f t="shared" ref="L795" si="922">L242</f>
        <v>2.4813391945253081E-2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0</v>
      </c>
      <c r="J796" s="1">
        <f t="shared" si="923"/>
        <v>1.8755871814292162E-4</v>
      </c>
      <c r="K796" s="1">
        <f t="shared" si="923"/>
        <v>1.4636270304462648E-4</v>
      </c>
      <c r="L796" s="1">
        <f t="shared" ref="L796" si="924">L243</f>
        <v>4.2742438888989804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25">G274</f>
        <v>1.858781292415014</v>
      </c>
      <c r="H797" s="1">
        <f t="shared" si="925"/>
        <v>1.5300069227797846E-2</v>
      </c>
      <c r="I797" s="1">
        <f t="shared" si="925"/>
        <v>5.6622719877645472E-3</v>
      </c>
      <c r="J797" s="1">
        <f t="shared" si="925"/>
        <v>3.9441905041383554E-3</v>
      </c>
      <c r="K797" s="1">
        <f t="shared" si="925"/>
        <v>0.581948213780482</v>
      </c>
      <c r="L797" s="1">
        <f t="shared" ref="L797" si="926">L274</f>
        <v>3.001241920408404E-4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0</v>
      </c>
      <c r="L798" s="1">
        <f t="shared" ref="L798" si="928">L275</f>
        <v>0.98955469308390687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29">G283</f>
        <v>0.56585285529137075</v>
      </c>
      <c r="H799" s="1">
        <f t="shared" si="929"/>
        <v>4.2563543939021944</v>
      </c>
      <c r="I799" s="1">
        <f t="shared" si="929"/>
        <v>6.6414850341032015</v>
      </c>
      <c r="J799" s="1">
        <f t="shared" si="929"/>
        <v>8.1038824282188244</v>
      </c>
      <c r="K799" s="1">
        <f t="shared" si="929"/>
        <v>7.5989154547445104</v>
      </c>
      <c r="L799" s="1">
        <f t="shared" ref="L799" si="930">L283</f>
        <v>2.2213253635477055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0</v>
      </c>
      <c r="L800" s="1">
        <f t="shared" ref="L800" si="932">L284</f>
        <v>2.8441705610093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0</v>
      </c>
      <c r="J801" s="1">
        <f t="shared" si="933"/>
        <v>1.050431307692572E-3</v>
      </c>
      <c r="K801" s="1">
        <f t="shared" si="933"/>
        <v>7.8299843865076786E-4</v>
      </c>
      <c r="L801" s="1">
        <f t="shared" ref="L801" si="934">L289</f>
        <v>8.61888664792626E-4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6.4767538808811791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6.4767534302022121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6.8622265687019635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35">G804</f>
        <v>10.609956594267411</v>
      </c>
      <c r="H803" s="1">
        <f t="shared" si="935"/>
        <v>9.8532855747135706</v>
      </c>
      <c r="I803" s="1">
        <f t="shared" si="935"/>
        <v>9.9385384104263128</v>
      </c>
      <c r="J803" s="1">
        <f t="shared" si="935"/>
        <v>10.541805553309</v>
      </c>
      <c r="K803" s="1">
        <f t="shared" si="935"/>
        <v>10.111984316994183</v>
      </c>
      <c r="L803" s="1">
        <f t="shared" si="935"/>
        <v>11.291769305870821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10.541805553309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10.111984316994183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11.291769305870821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37">G806</f>
        <v>0.73757751851636921</v>
      </c>
      <c r="H805" s="1">
        <f t="shared" si="937"/>
        <v>0.73634039967949361</v>
      </c>
      <c r="I805" s="1">
        <f t="shared" si="937"/>
        <v>0.73430551199156069</v>
      </c>
      <c r="J805" s="1">
        <f t="shared" si="937"/>
        <v>0.73243876901547111</v>
      </c>
      <c r="K805" s="1">
        <f t="shared" si="937"/>
        <v>0.73039235010171977</v>
      </c>
      <c r="L805" s="1">
        <f t="shared" si="937"/>
        <v>0.72633889693895948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0.73243876901547111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0.73039235010171977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0.72633889693895948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[2]Industry!F$21</f>
        <v>10.89199356757843</v>
      </c>
      <c r="K807" s="1">
        <f>[2]Industry!G$21</f>
        <v>8.8863818346315107</v>
      </c>
      <c r="L807" s="1">
        <f>[2]Industry!H$21</f>
        <v>5.3999474334039892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39">G807</f>
        <v>8.0801715131694731</v>
      </c>
      <c r="H808" s="1">
        <f t="shared" si="939"/>
        <v>11.008862407597146</v>
      </c>
      <c r="I808" s="1">
        <f t="shared" si="939"/>
        <v>10.904585351801449</v>
      </c>
      <c r="J808" s="1">
        <f t="shared" si="939"/>
        <v>10.89199356757843</v>
      </c>
      <c r="K808" s="1">
        <f t="shared" si="939"/>
        <v>8.8863818346315107</v>
      </c>
      <c r="L808" s="1">
        <f t="shared" ref="L808" si="940">L807</f>
        <v>5.3999474334039892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41">G808</f>
        <v>8.0801715131694731</v>
      </c>
      <c r="H810" s="1">
        <f t="shared" si="941"/>
        <v>11.008862407597146</v>
      </c>
      <c r="I810" s="1">
        <f t="shared" si="941"/>
        <v>10.904585351801449</v>
      </c>
      <c r="J810" s="1">
        <f t="shared" si="941"/>
        <v>10.89199356757843</v>
      </c>
      <c r="K810" s="1">
        <f t="shared" si="941"/>
        <v>8.8863818346315107</v>
      </c>
      <c r="L810" s="1">
        <f t="shared" ref="L810" si="942">L808</f>
        <v>5.3999474334039892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[2]Industry!F$22</f>
        <v>2.2630319531449978</v>
      </c>
      <c r="K811" s="1">
        <f>[2]Industry!G$22</f>
        <v>1.9564091525966336</v>
      </c>
      <c r="L811" s="1">
        <f>[2]Industry!H$22</f>
        <v>2.1904871549351905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45">G811</f>
        <v>8.5497042382649491E-2</v>
      </c>
      <c r="H812" s="1">
        <f t="shared" si="945"/>
        <v>8.6271676196359545E-2</v>
      </c>
      <c r="I812" s="1">
        <f t="shared" si="945"/>
        <v>0.45157611361254418</v>
      </c>
      <c r="J812" s="1">
        <f t="shared" si="945"/>
        <v>2.2630319531449978</v>
      </c>
      <c r="K812" s="1">
        <f t="shared" si="945"/>
        <v>1.9564091525966336</v>
      </c>
      <c r="L812" s="1">
        <f t="shared" ref="L812" si="946">L811</f>
        <v>2.1904871549351905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0.50533213970881163</v>
      </c>
      <c r="K813" s="1">
        <f>[2]Industry!G$23</f>
        <v>7.0932376921276337</v>
      </c>
      <c r="L813" s="1">
        <f>[2]Industry!H$23</f>
        <v>6.9919559840891869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</v>
      </c>
      <c r="J814" s="1">
        <f t="shared" si="949"/>
        <v>0.50533213970881163</v>
      </c>
      <c r="K814" s="1">
        <f t="shared" si="949"/>
        <v>7.0932376921276337</v>
      </c>
      <c r="L814" s="1">
        <f t="shared" ref="L814" si="950">L813</f>
        <v>6.9919559840891869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[2]Industry!F$24</f>
        <v>4.924300868030218</v>
      </c>
      <c r="K815" s="1">
        <f>[2]Industry!G$24</f>
        <v>4.9647401677342504</v>
      </c>
      <c r="L815" s="1">
        <f>[2]Industry!H$24</f>
        <v>5.0482547812658431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4.9235584713401614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4.9644545912245199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5.0404120594685446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0</v>
      </c>
      <c r="I817" s="1">
        <f t="shared" si="955"/>
        <v>0</v>
      </c>
      <c r="J817" s="1">
        <f t="shared" si="955"/>
        <v>7.4239669005660147E-4</v>
      </c>
      <c r="K817" s="1">
        <f t="shared" si="955"/>
        <v>2.8557650973048965E-4</v>
      </c>
      <c r="L817" s="1">
        <f t="shared" ref="L817" si="956">L815-L816</f>
        <v>7.8427217972985019E-3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[2]Industry!F$71</f>
        <v>77.123667926027863</v>
      </c>
      <c r="K818" s="17">
        <f>[2]Industry!G$71</f>
        <v>77.709200450753542</v>
      </c>
      <c r="L818" s="17">
        <f>[2]Industry!H$71</f>
        <v>78.725598175237849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57">SUM(G820:G822)</f>
        <v>60.080749863452411</v>
      </c>
      <c r="H819" s="18">
        <f t="shared" si="957"/>
        <v>62.866319685205362</v>
      </c>
      <c r="I819" s="18">
        <f t="shared" si="957"/>
        <v>63.103946786439558</v>
      </c>
      <c r="J819" s="18">
        <f t="shared" si="957"/>
        <v>67.70297170286797</v>
      </c>
      <c r="K819" s="18">
        <f t="shared" si="957"/>
        <v>67.504032039942743</v>
      </c>
      <c r="L819" s="18">
        <f t="shared" ref="L819" si="958">SUM(L820:L822)</f>
        <v>68.203929924391019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[2]Industry!F$55</f>
        <v>10.335535508757168</v>
      </c>
      <c r="K820" s="1">
        <f>[2]Industry!G$55</f>
        <v>10.33553515661672</v>
      </c>
      <c r="L820" s="1">
        <f>[2]Industry!H$55</f>
        <v>10.335533695465246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[2]Industry!F$56</f>
        <v>7.097161527006274</v>
      </c>
      <c r="K821" s="1">
        <f>[2]Industry!G$56</f>
        <v>7.0982784524061033</v>
      </c>
      <c r="L821" s="1">
        <f>[2]Industry!H$56</f>
        <v>7.0982777959077517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[2]Industry!F$3-([2]Industry!F$6-[2]Industry!F$70)</f>
        <v>50.270274667104523</v>
      </c>
      <c r="K822" s="1">
        <f>[2]Industry!G$3-([2]Industry!G$6-[2]Industry!G$70)</f>
        <v>50.070218430919923</v>
      </c>
      <c r="L822" s="1">
        <f>[2]Industry!H$3-([2]Industry!H$6-[2]Industry!H$70)</f>
        <v>50.770118433018027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60">SUM(G824:G825)</f>
        <v>8.1576092915933156</v>
      </c>
      <c r="H823" s="1">
        <f t="shared" si="960"/>
        <v>6.2480446527487228</v>
      </c>
      <c r="I823" s="1">
        <f t="shared" si="960"/>
        <v>4.6364595803561066</v>
      </c>
      <c r="J823" s="1">
        <f t="shared" si="960"/>
        <v>3.3078069827984158</v>
      </c>
      <c r="K823" s="1">
        <f t="shared" si="960"/>
        <v>2.0342965139484792</v>
      </c>
      <c r="L823" s="1">
        <f t="shared" ref="L823" si="961">SUM(L824:L825)</f>
        <v>0.30176766740435684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[2]Industry!F$57</f>
        <v>3.3074994130794808</v>
      </c>
      <c r="K824" s="1">
        <f>[2]Industry!G$57</f>
        <v>2.0342925223203503</v>
      </c>
      <c r="L824" s="1">
        <f>[2]Industry!H$57</f>
        <v>0.30176766740435684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[2]Industry!F$58</f>
        <v>3.0756971893510334E-4</v>
      </c>
      <c r="K825" s="1">
        <f>[2]Industry!G$58</f>
        <v>3.9916281291193689E-6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62">SUM(G827:G829)</f>
        <v>23.809671132584711</v>
      </c>
      <c r="H826" s="1">
        <f t="shared" si="962"/>
        <v>28.605193329327136</v>
      </c>
      <c r="I826" s="1">
        <f t="shared" si="962"/>
        <v>21.56628392222294</v>
      </c>
      <c r="J826" s="1">
        <f t="shared" si="962"/>
        <v>12.212515549245129</v>
      </c>
      <c r="K826" s="1">
        <f t="shared" si="962"/>
        <v>3.8678158424173725</v>
      </c>
      <c r="L826" s="1">
        <f t="shared" ref="L826" si="963">SUM(L827:L829)</f>
        <v>2.305041814925775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[2]Industry!F$59</f>
        <v>11.197291056857942</v>
      </c>
      <c r="K827" s="1">
        <f>[2]Industry!G$59</f>
        <v>2.8535370242591696</v>
      </c>
      <c r="L827" s="1">
        <f>[2]Industry!H$59</f>
        <v>1.2633294926370384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[2]Industry!F$60</f>
        <v>1.5164555312961604E-3</v>
      </c>
      <c r="K828" s="1">
        <f>[2]Industry!G$60</f>
        <v>5.7231952437339611E-4</v>
      </c>
      <c r="L828" s="1">
        <f>[2]Industry!H$60</f>
        <v>1.5175083601196397E-2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[2]Industry!F$68</f>
        <v>1.0137080368558902</v>
      </c>
      <c r="K829" s="1">
        <f>[2]Industry!G$68</f>
        <v>1.01370649863383</v>
      </c>
      <c r="L829" s="1">
        <f>[2]Industry!H$68</f>
        <v>1.0265372386875402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66">G831</f>
        <v>2.3075053045581861</v>
      </c>
      <c r="H830" s="1">
        <f t="shared" si="966"/>
        <v>0.66016241872253345</v>
      </c>
      <c r="I830" s="1">
        <f t="shared" si="966"/>
        <v>2.9818646673370375E-4</v>
      </c>
      <c r="J830" s="1">
        <f t="shared" si="966"/>
        <v>2.2068972682398415E-4</v>
      </c>
      <c r="K830" s="1">
        <f t="shared" si="966"/>
        <v>3.7720836844535255E-6</v>
      </c>
      <c r="L830" s="1">
        <f t="shared" si="966"/>
        <v>1.1430365615777078E-4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[2]Industry!F$61</f>
        <v>2.2068972682398415E-4</v>
      </c>
      <c r="K831" s="1">
        <f>[2]Industry!G$61</f>
        <v>3.7720836844535255E-6</v>
      </c>
      <c r="L831" s="1">
        <f>[2]Industry!H$61</f>
        <v>1.1430365615777078E-4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67">G833+G843</f>
        <v>12.635411163077247</v>
      </c>
      <c r="H832" s="1">
        <f t="shared" si="967"/>
        <v>12.564596052404045</v>
      </c>
      <c r="I832" s="1">
        <f t="shared" si="967"/>
        <v>13.554470991781198</v>
      </c>
      <c r="J832" s="1">
        <f t="shared" si="967"/>
        <v>14.198180622772433</v>
      </c>
      <c r="K832" s="1">
        <f t="shared" si="967"/>
        <v>13.814582257625336</v>
      </c>
      <c r="L832" s="1">
        <f t="shared" ref="L832" si="968">L833+L843</f>
        <v>16.739022637393099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[2]Industry!F$62</f>
        <v>8.114390664400398</v>
      </c>
      <c r="K833" s="1">
        <f>[2]Industry!G$62</f>
        <v>7.698731145381827</v>
      </c>
      <c r="L833" s="1">
        <f>[2]Industry!H$62</f>
        <v>10.219907397126232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69">IFERROR(G793/G$792,0)*G$833</f>
        <v>2.2677785736483664</v>
      </c>
      <c r="H834" s="1">
        <f t="shared" si="969"/>
        <v>0.8491640432991614</v>
      </c>
      <c r="I834" s="1">
        <f t="shared" si="969"/>
        <v>1.2344617364909674</v>
      </c>
      <c r="J834" s="1">
        <f t="shared" si="969"/>
        <v>0.49359785858817906</v>
      </c>
      <c r="K834" s="1">
        <f t="shared" si="969"/>
        <v>1.4709354543001395E-4</v>
      </c>
      <c r="L834" s="1">
        <f t="shared" ref="L834" si="970">IFERROR(L793/L$792,0)*L$833</f>
        <v>0.36041114403127461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0.93875121017266661</v>
      </c>
      <c r="G835" s="1">
        <f t="shared" si="971"/>
        <v>0.64397817922745115</v>
      </c>
      <c r="H835" s="1">
        <f t="shared" si="971"/>
        <v>0.45472281706495749</v>
      </c>
      <c r="I835" s="1">
        <f t="shared" si="971"/>
        <v>3.2885774666820029E-2</v>
      </c>
      <c r="J835" s="1">
        <f t="shared" si="971"/>
        <v>1.8133965555623705E-2</v>
      </c>
      <c r="K835" s="1">
        <f t="shared" si="971"/>
        <v>5.9517704563095313E-3</v>
      </c>
      <c r="L835" s="1">
        <f t="shared" ref="L835" si="972">IFERROR(L794/L$792,0)*L$833</f>
        <v>4.0599004174265776E-2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0</v>
      </c>
      <c r="L836" s="1">
        <f t="shared" ref="L836" si="973">IFERROR(L795/L$792,0)*L$833</f>
        <v>2.3528130893119528E-2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0</v>
      </c>
      <c r="J837" s="1">
        <f t="shared" si="971"/>
        <v>1.7584579915888677E-4</v>
      </c>
      <c r="K837" s="1">
        <f t="shared" si="971"/>
        <v>1.3761218966901797E-4</v>
      </c>
      <c r="L837" s="1">
        <f t="shared" ref="L837" si="974">IFERROR(L796/L$792,0)*L$833</f>
        <v>4.0528505699266155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2.3315217635524452</v>
      </c>
      <c r="G838" s="1">
        <f t="shared" si="971"/>
        <v>2.0360017404540196</v>
      </c>
      <c r="H838" s="1">
        <f t="shared" si="971"/>
        <v>1.5729966842453796E-2</v>
      </c>
      <c r="I838" s="1">
        <f t="shared" si="971"/>
        <v>5.3115232840108932E-3</v>
      </c>
      <c r="J838" s="1">
        <f t="shared" si="971"/>
        <v>3.6978783929766191E-3</v>
      </c>
      <c r="K838" s="1">
        <f t="shared" si="971"/>
        <v>0.54715556836831769</v>
      </c>
      <c r="L838" s="1">
        <f t="shared" ref="L838" si="975">IFERROR(L797/L$792,0)*L$833</f>
        <v>2.8457863762070251E-4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0</v>
      </c>
      <c r="L839" s="1">
        <f t="shared" ref="L839" si="976">IFERROR(L798/L$792,0)*L$833</f>
        <v>0.93829865727941753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0.79482434526069123</v>
      </c>
      <c r="G840" s="1">
        <f t="shared" si="971"/>
        <v>0.61980255714607257</v>
      </c>
      <c r="H840" s="1">
        <f t="shared" si="971"/>
        <v>4.3759484018655357</v>
      </c>
      <c r="I840" s="1">
        <f t="shared" si="971"/>
        <v>6.2300791052208151</v>
      </c>
      <c r="J840" s="1">
        <f t="shared" si="971"/>
        <v>7.5978002835032665</v>
      </c>
      <c r="K840" s="1">
        <f t="shared" si="971"/>
        <v>7.1446029151176234</v>
      </c>
      <c r="L840" s="1">
        <f t="shared" ref="L840" si="977">IFERROR(L799/L$792,0)*L$833</f>
        <v>2.1062672134897307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0</v>
      </c>
      <c r="L841" s="1">
        <f t="shared" ref="L841" si="978">IFERROR(L800/L$792,0)*L$833</f>
        <v>2.6968508533387245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0</v>
      </c>
      <c r="J842" s="1">
        <f t="shared" si="971"/>
        <v>9.8483256119270856E-4</v>
      </c>
      <c r="K842" s="1">
        <f t="shared" si="971"/>
        <v>7.3618570447760178E-4</v>
      </c>
      <c r="L842" s="1">
        <f t="shared" ref="L842" si="979">IFERROR(L801/L$792,0)*L$833</f>
        <v>8.1724535546283199E-4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[2]Industry!F$63</f>
        <v>6.0837899583720363</v>
      </c>
      <c r="K843" s="1">
        <f>[2]Industry!G$63</f>
        <v>6.1158511122435089</v>
      </c>
      <c r="L843" s="1">
        <f>[2]Industry!H$63</f>
        <v>6.5191152402668671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80">G845</f>
        <v>6.2669476950139451</v>
      </c>
      <c r="H844" s="1">
        <f t="shared" si="980"/>
        <v>5.8298606317055262</v>
      </c>
      <c r="I844" s="1">
        <f t="shared" si="980"/>
        <v>5.8968661235196089</v>
      </c>
      <c r="J844" s="1">
        <f t="shared" si="980"/>
        <v>6.2723743042188485</v>
      </c>
      <c r="K844" s="1">
        <f t="shared" si="980"/>
        <v>6.0334839758065311</v>
      </c>
      <c r="L844" s="1">
        <f t="shared" si="980"/>
        <v>6.775061583522489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[2]Industry!F$64</f>
        <v>6.2723743042188485</v>
      </c>
      <c r="K845" s="1">
        <f>[2]Industry!G$64</f>
        <v>6.0334839758065311</v>
      </c>
      <c r="L845" s="1">
        <f>[2]Industry!H$64</f>
        <v>6.775061583522489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81">G847</f>
        <v>0.54457806783791973</v>
      </c>
      <c r="H846" s="1">
        <f t="shared" si="981"/>
        <v>0.54458508726295862</v>
      </c>
      <c r="I846" s="1">
        <f t="shared" si="981"/>
        <v>0.54460992139374098</v>
      </c>
      <c r="J846" s="1">
        <f t="shared" si="981"/>
        <v>0.54475133445525648</v>
      </c>
      <c r="K846" s="1">
        <f t="shared" si="981"/>
        <v>0.54475096111753207</v>
      </c>
      <c r="L846" s="1">
        <f t="shared" si="981"/>
        <v>0.54475417270421911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[2]Industry!F$65</f>
        <v>0.54475133445525648</v>
      </c>
      <c r="K847" s="1">
        <f>[2]Industry!G$65</f>
        <v>0.54475096111753207</v>
      </c>
      <c r="L847" s="1">
        <f>[2]Industry!H$65</f>
        <v>0.54475417270421911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82">G849</f>
        <v>4.2663305589534835</v>
      </c>
      <c r="H848" s="1">
        <f t="shared" si="982"/>
        <v>5.8126793512112895</v>
      </c>
      <c r="I848" s="1">
        <f t="shared" si="982"/>
        <v>5.7576210657511648</v>
      </c>
      <c r="J848" s="1">
        <f t="shared" si="982"/>
        <v>5.7509726036814124</v>
      </c>
      <c r="K848" s="1">
        <f t="shared" si="982"/>
        <v>4.6920096086854377</v>
      </c>
      <c r="L848" s="1">
        <f t="shared" si="982"/>
        <v>2.9375714037717691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[2]Industry!F$66</f>
        <v>5.7509726036814124</v>
      </c>
      <c r="K849" s="1">
        <f>[2]Industry!G$66</f>
        <v>4.6920096086854377</v>
      </c>
      <c r="L849" s="1">
        <f>[2]Industry!H$66</f>
        <v>2.9375714037717691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83">G851</f>
        <v>8.5497042382649491E-2</v>
      </c>
      <c r="H850" s="1">
        <f t="shared" si="983"/>
        <v>8.6271676196359545E-2</v>
      </c>
      <c r="I850" s="1">
        <f t="shared" si="983"/>
        <v>0.45157611361254418</v>
      </c>
      <c r="J850" s="1">
        <f t="shared" si="983"/>
        <v>2.2630319531449978</v>
      </c>
      <c r="K850" s="1">
        <f t="shared" si="983"/>
        <v>1.9564091525966336</v>
      </c>
      <c r="L850" s="1">
        <f t="shared" si="983"/>
        <v>2.1904871549351905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[2]Industry!F$67</f>
        <v>2.2630319531449978</v>
      </c>
      <c r="K851" s="1">
        <f>[2]Industry!G$67</f>
        <v>1.9564091525966336</v>
      </c>
      <c r="L851" s="1">
        <f>[2]Industry!H$67</f>
        <v>2.1904871549351905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0</v>
      </c>
      <c r="J852" s="1">
        <f t="shared" si="984"/>
        <v>0.28708380974365438</v>
      </c>
      <c r="K852" s="1">
        <f t="shared" si="984"/>
        <v>5.6498257550283091</v>
      </c>
      <c r="L852" s="1">
        <f t="shared" si="984"/>
        <v>5.6497978780686742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0.28708380974365438</v>
      </c>
      <c r="K853" s="1">
        <f>[2]Industry!G$69</f>
        <v>5.6498257550283091</v>
      </c>
      <c r="L853" s="1">
        <f>[2]Industry!H$69</f>
        <v>5.6497978780686742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4.8942321334634595</v>
      </c>
      <c r="H854" s="1">
        <f t="shared" si="985"/>
        <v>4.8942867807424388</v>
      </c>
      <c r="I854" s="1">
        <f t="shared" si="985"/>
        <v>14.466150191722601</v>
      </c>
      <c r="J854" s="1">
        <f t="shared" si="985"/>
        <v>19.542331560264145</v>
      </c>
      <c r="K854" s="1">
        <f t="shared" si="985"/>
        <v>26.908591551048868</v>
      </c>
      <c r="L854" s="1">
        <f t="shared" ref="L854" si="986">SUM(L855:L856)</f>
        <v>30.021748500204627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[2]Industry!F$6-J856</f>
        <v>4.6882985197866862</v>
      </c>
      <c r="K855" s="1">
        <f>[2]Industry!G$6-K856</f>
        <v>5.2263825486274591</v>
      </c>
      <c r="L855" s="1">
        <f>[2]Industry!H$6-L856</f>
        <v>6.1735804327215007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[2]Industry!F$70</f>
        <v>14.854033040477459</v>
      </c>
      <c r="K856" s="1">
        <f>[2]Industry!G$70</f>
        <v>21.682209002421409</v>
      </c>
      <c r="L856" s="1">
        <f>[2]Industry!H$70</f>
        <v>23.848168067483126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0.84306236513985267</v>
      </c>
      <c r="H858" s="4">
        <f t="shared" si="987"/>
        <v>0.84373276872970704</v>
      </c>
      <c r="I858" s="4">
        <f t="shared" si="987"/>
        <v>0.84485010804612937</v>
      </c>
      <c r="J858" s="4">
        <f t="shared" si="987"/>
        <v>0.84596744736255358</v>
      </c>
      <c r="K858" s="4">
        <f t="shared" si="987"/>
        <v>0.84708478667897757</v>
      </c>
      <c r="L858" s="4">
        <f t="shared" ref="L858" si="988">IFERROR(L820/L765,"-")</f>
        <v>0.84931946531182168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3.0809801822513219</v>
      </c>
      <c r="G859" s="4">
        <f t="shared" si="991"/>
        <v>3.1055374774069167</v>
      </c>
      <c r="H859" s="4">
        <f t="shared" si="991"/>
        <v>3.142373420140288</v>
      </c>
      <c r="I859" s="4">
        <f t="shared" si="991"/>
        <v>3.2037666580292474</v>
      </c>
      <c r="J859" s="4">
        <f t="shared" si="991"/>
        <v>3.2651598959182122</v>
      </c>
      <c r="K859" s="4">
        <f t="shared" si="991"/>
        <v>3.3265531338071659</v>
      </c>
      <c r="L859" s="4">
        <f t="shared" ref="L859" si="992">IFERROR(L821/L766,"-")</f>
        <v>3.4493396095850919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1</v>
      </c>
      <c r="G860" s="4">
        <f t="shared" si="993"/>
        <v>0.99999995608545633</v>
      </c>
      <c r="H860" s="4">
        <f t="shared" si="993"/>
        <v>0.99999995947540243</v>
      </c>
      <c r="I860" s="4">
        <f t="shared" si="993"/>
        <v>1.00000044378925</v>
      </c>
      <c r="J860" s="4">
        <f t="shared" si="993"/>
        <v>1.000001276969682</v>
      </c>
      <c r="K860" s="4">
        <f t="shared" si="993"/>
        <v>1.0000016728685148</v>
      </c>
      <c r="L860" s="4">
        <f t="shared" ref="L860" si="994">IFERROR(L822/L767,"-")</f>
        <v>0.95874303056502375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95">IFERROR(G824/G769,"-")</f>
        <v>0.77871988564932337</v>
      </c>
      <c r="H861" s="4">
        <f t="shared" si="995"/>
        <v>0.78060651575785545</v>
      </c>
      <c r="I861" s="4">
        <f t="shared" si="995"/>
        <v>0.78375089927207675</v>
      </c>
      <c r="J861" s="4">
        <f t="shared" si="995"/>
        <v>0.78689528278629794</v>
      </c>
      <c r="K861" s="4">
        <f t="shared" si="995"/>
        <v>0.79003966630051903</v>
      </c>
      <c r="L861" s="4">
        <f t="shared" ref="L861" si="996">IFERROR(L824/L769,"-")</f>
        <v>0.79632843332896097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95"/>
        <v>0.67904999999999949</v>
      </c>
      <c r="H862" s="4">
        <f t="shared" si="995"/>
        <v>0.68343750000000003</v>
      </c>
      <c r="I862" s="4">
        <f t="shared" si="995"/>
        <v>0.69074999999999964</v>
      </c>
      <c r="J862" s="4">
        <f t="shared" si="995"/>
        <v>0.69806250000000003</v>
      </c>
      <c r="K862" s="4">
        <f t="shared" si="995"/>
        <v>0.70537499999999997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98">IFERROR(G827/G779,"-")</f>
        <v>0.80572833273972966</v>
      </c>
      <c r="H863" s="4">
        <f t="shared" si="998"/>
        <v>0.81266051860326283</v>
      </c>
      <c r="I863" s="4">
        <f t="shared" si="998"/>
        <v>0.80852645006348145</v>
      </c>
      <c r="J863" s="4">
        <f t="shared" si="998"/>
        <v>0.81910280034619254</v>
      </c>
      <c r="K863" s="4">
        <f t="shared" si="998"/>
        <v>0.83709707041723769</v>
      </c>
      <c r="L863" s="4">
        <f t="shared" ref="L863" si="999">IFERROR(L827/L779,"-")</f>
        <v>0.83013298748085085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0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98"/>
        <v>0.71005458347763961</v>
      </c>
      <c r="H865" s="4">
        <f t="shared" si="998"/>
        <v>0.60814934973313683</v>
      </c>
      <c r="I865" s="4">
        <f t="shared" si="998"/>
        <v>0.71100000000000063</v>
      </c>
      <c r="J865" s="4">
        <f t="shared" si="998"/>
        <v>0.71100000000000008</v>
      </c>
      <c r="K865" s="4">
        <f t="shared" si="998"/>
        <v>0.71100000000000008</v>
      </c>
      <c r="L865" s="4">
        <f t="shared" ref="L865" si="1001">IFERROR(L829/L781,"-")</f>
        <v>0.71999999999999986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1002">IFERROR(G831/G790,"-")</f>
        <v>0.66600000000000026</v>
      </c>
      <c r="H866" s="4">
        <f t="shared" si="1002"/>
        <v>0.66749999999999976</v>
      </c>
      <c r="I866" s="4">
        <f t="shared" si="1002"/>
        <v>0.66999999999999915</v>
      </c>
      <c r="J866" s="4">
        <f t="shared" si="1002"/>
        <v>0.67250000000000032</v>
      </c>
      <c r="K866" s="4">
        <f t="shared" si="1002"/>
        <v>0.67499999999999993</v>
      </c>
      <c r="L866" s="4">
        <f t="shared" ref="L866" si="1003">IFERROR(L831/L790,"-")</f>
        <v>0.67999999999999994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1004">IFERROR(G834/G793,"-")</f>
        <v>1.0953422808601396</v>
      </c>
      <c r="H867" s="4">
        <f t="shared" si="1004"/>
        <v>1.0280977561771349</v>
      </c>
      <c r="I867" s="4">
        <f t="shared" si="1004"/>
        <v>0.93805512972326688</v>
      </c>
      <c r="J867" s="4">
        <f t="shared" si="1004"/>
        <v>0.93755065560263917</v>
      </c>
      <c r="K867" s="4">
        <f t="shared" si="1004"/>
        <v>0.94021350252775493</v>
      </c>
      <c r="L867" s="4">
        <f t="shared" ref="L867" si="1005">IFERROR(L834/L793,"-")</f>
        <v>0.94820292787986082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1.2050200190524045</v>
      </c>
      <c r="G868" s="4">
        <f t="shared" si="1006"/>
        <v>1.0953422808601396</v>
      </c>
      <c r="H868" s="4">
        <f t="shared" si="1006"/>
        <v>1.0280977561771352</v>
      </c>
      <c r="I868" s="4">
        <f t="shared" si="1006"/>
        <v>0.93805512972326699</v>
      </c>
      <c r="J868" s="4">
        <f t="shared" si="1006"/>
        <v>0.93755065560263917</v>
      </c>
      <c r="K868" s="4">
        <f t="shared" si="1006"/>
        <v>0.94021350252775471</v>
      </c>
      <c r="L868" s="4">
        <f t="shared" ref="L868" si="1007">IFERROR(L835/L794,"-")</f>
        <v>0.94820292787986082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 t="str">
        <f t="shared" si="1006"/>
        <v>-</v>
      </c>
      <c r="L869" s="4">
        <f t="shared" ref="L869" si="1008">IFERROR(L836/L795,"-")</f>
        <v>0.94820292787986082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 t="str">
        <f t="shared" si="1006"/>
        <v>-</v>
      </c>
      <c r="J870" s="4">
        <f t="shared" si="1006"/>
        <v>0.93755065560263906</v>
      </c>
      <c r="K870" s="4">
        <f t="shared" si="1006"/>
        <v>0.94021350252775493</v>
      </c>
      <c r="L870" s="4">
        <f t="shared" ref="L870" si="1009">IFERROR(L837/L796,"-")</f>
        <v>0.94820292787986071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1.2050200190524045</v>
      </c>
      <c r="G871" s="4">
        <f t="shared" si="1006"/>
        <v>1.0953422808601396</v>
      </c>
      <c r="H871" s="4">
        <f t="shared" si="1006"/>
        <v>1.0280977561771349</v>
      </c>
      <c r="I871" s="4">
        <f t="shared" si="1006"/>
        <v>0.93805512972326699</v>
      </c>
      <c r="J871" s="4">
        <f t="shared" si="1006"/>
        <v>0.93755065560263917</v>
      </c>
      <c r="K871" s="4">
        <f t="shared" si="1006"/>
        <v>0.94021350252775493</v>
      </c>
      <c r="L871" s="4">
        <f t="shared" ref="L871" si="1010">IFERROR(L838/L797,"-")</f>
        <v>0.94820292787986094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 t="str">
        <f t="shared" si="1006"/>
        <v>-</v>
      </c>
      <c r="L872" s="4">
        <f t="shared" ref="L872" si="1011">IFERROR(L839/L798,"-")</f>
        <v>0.94820292787986082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1.2050200190524045</v>
      </c>
      <c r="G873" s="4">
        <f t="shared" si="1006"/>
        <v>1.0953422808601396</v>
      </c>
      <c r="H873" s="4">
        <f t="shared" si="1006"/>
        <v>1.0280977561771349</v>
      </c>
      <c r="I873" s="4">
        <f t="shared" si="1006"/>
        <v>0.93805512972326699</v>
      </c>
      <c r="J873" s="4">
        <f t="shared" si="1006"/>
        <v>0.93755065560263917</v>
      </c>
      <c r="K873" s="4">
        <f t="shared" si="1006"/>
        <v>0.94021350252775493</v>
      </c>
      <c r="L873" s="4">
        <f t="shared" ref="L873" si="1012">IFERROR(L840/L799,"-")</f>
        <v>0.94820292787986082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 t="str">
        <f t="shared" si="1006"/>
        <v>-</v>
      </c>
      <c r="L874" s="4">
        <f t="shared" ref="L874" si="1013">IFERROR(L841/L800,"-")</f>
        <v>0.94820292787986082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 t="str">
        <f t="shared" si="1006"/>
        <v>-</v>
      </c>
      <c r="J875" s="4">
        <f t="shared" si="1006"/>
        <v>0.93755065560263917</v>
      </c>
      <c r="K875" s="4">
        <f t="shared" si="1006"/>
        <v>0.94021350252775482</v>
      </c>
      <c r="L875" s="4">
        <f t="shared" ref="L875" si="1014">IFERROR(L842/L801,"-")</f>
        <v>0.94820292787986094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0.92447626236575164</v>
      </c>
      <c r="G876" s="4">
        <f t="shared" si="1006"/>
        <v>0.92645636412827326</v>
      </c>
      <c r="H876" s="4">
        <f t="shared" si="1006"/>
        <v>0.92942651677205512</v>
      </c>
      <c r="I876" s="4">
        <f t="shared" si="1006"/>
        <v>0.9343767711783566</v>
      </c>
      <c r="J876" s="4">
        <f t="shared" si="1006"/>
        <v>0.9393270255846623</v>
      </c>
      <c r="K876" s="4">
        <f>IFERROR(K843/K802,"-")</f>
        <v>0.94427727999096678</v>
      </c>
      <c r="L876" s="4">
        <f>IFERROR(L843/L802,"-")</f>
        <v>0.95000000000000029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15">IFERROR(G845/G804,"-")</f>
        <v>0.59066666666666612</v>
      </c>
      <c r="H877" s="4">
        <f t="shared" si="1015"/>
        <v>0.59166666666666634</v>
      </c>
      <c r="I877" s="4">
        <f t="shared" si="1015"/>
        <v>0.59333333333333305</v>
      </c>
      <c r="J877" s="4">
        <f t="shared" si="1015"/>
        <v>0.59499999999999931</v>
      </c>
      <c r="K877" s="4">
        <f t="shared" si="1015"/>
        <v>0.59666666666666679</v>
      </c>
      <c r="L877" s="4">
        <f t="shared" ref="L877" si="1016">IFERROR(L845/L804,"-")</f>
        <v>0.59999999999999976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17">IFERROR(G847/G806,"-")</f>
        <v>0.73833333333333395</v>
      </c>
      <c r="H878" s="4">
        <f t="shared" si="1017"/>
        <v>0.73958333333333304</v>
      </c>
      <c r="I878" s="4">
        <f t="shared" si="1017"/>
        <v>0.74166666666666681</v>
      </c>
      <c r="J878" s="4">
        <f t="shared" si="1017"/>
        <v>0.7437499999999998</v>
      </c>
      <c r="K878" s="4">
        <f t="shared" si="1017"/>
        <v>0.74583333333333257</v>
      </c>
      <c r="L878" s="4">
        <f t="shared" ref="L878" si="1018">IFERROR(L847/L806,"-")</f>
        <v>0.74999999999999933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19">IFERROR(G849/G808,"-")</f>
        <v>0.52800000000000025</v>
      </c>
      <c r="H879" s="4">
        <f t="shared" si="1019"/>
        <v>0.52799999999999969</v>
      </c>
      <c r="I879" s="4">
        <f t="shared" si="1019"/>
        <v>0.52799999999999991</v>
      </c>
      <c r="J879" s="4">
        <f t="shared" si="1019"/>
        <v>0.52800000000000014</v>
      </c>
      <c r="K879" s="4">
        <f t="shared" si="1019"/>
        <v>0.52800000000000002</v>
      </c>
      <c r="L879" s="4">
        <f t="shared" ref="L879" si="1020">IFERROR(L849/L808,"-")</f>
        <v>0.54399999999999982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 t="str">
        <f t="shared" si="1023"/>
        <v>-</v>
      </c>
      <c r="J881" s="4">
        <f t="shared" si="1023"/>
        <v>0.5681091448271649</v>
      </c>
      <c r="K881" s="4">
        <f t="shared" si="1023"/>
        <v>0.7965087313087954</v>
      </c>
      <c r="L881" s="4">
        <f t="shared" ref="L881" si="1024">IFERROR(L853/L814,"-")</f>
        <v>0.80804254073184789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140.10115563936907</v>
      </c>
      <c r="G882" s="17">
        <f t="shared" si="1025"/>
        <v>137.10230581612601</v>
      </c>
      <c r="H882" s="17">
        <f t="shared" si="1025"/>
        <v>132.14774722520764</v>
      </c>
      <c r="I882" s="17">
        <f t="shared" si="1025"/>
        <v>118.3132511459926</v>
      </c>
      <c r="J882" s="17">
        <f t="shared" si="1025"/>
        <v>110.36779421822597</v>
      </c>
      <c r="K882" s="17">
        <f t="shared" si="1025"/>
        <v>101.71475402742234</v>
      </c>
      <c r="L882" s="17">
        <f t="shared" ref="L882" si="1026">L883+L887+L894+L905+L913+L915+L917+L919+L923</f>
        <v>85.408285914311833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[2]Services!F$11</f>
        <v>58.35190375419787</v>
      </c>
      <c r="K883" s="1">
        <f>[2]Services!G$11</f>
        <v>56.583275928077335</v>
      </c>
      <c r="L883" s="1">
        <f>[2]Services!H$11</f>
        <v>49.572123792557093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0.49307668588167208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0.38881717313339459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0.25510318959652623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5.3428477400965626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6.5968690654065334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6.0136392554414062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[2]Services!F$11-[2]Services!F$28</f>
        <v>52.515979328219636</v>
      </c>
      <c r="K886" s="1">
        <f>[2]Services!G$11-[2]Services!G$28</f>
        <v>49.597589689537408</v>
      </c>
      <c r="L886" s="1">
        <f>[2]Services!H$11-[2]Services!H$28</f>
        <v>43.303381347519164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29">G888</f>
        <v>23.411591648706132</v>
      </c>
      <c r="H887" s="1">
        <f t="shared" si="1029"/>
        <v>25.746801282660119</v>
      </c>
      <c r="I887" s="1">
        <f t="shared" si="1029"/>
        <v>13.03113234884802</v>
      </c>
      <c r="J887" s="1">
        <f t="shared" si="1029"/>
        <v>8.6154645435408046</v>
      </c>
      <c r="K887" s="1">
        <f t="shared" si="1029"/>
        <v>2.8501330970032779</v>
      </c>
      <c r="L887" s="1">
        <f t="shared" si="1029"/>
        <v>0.22129871543060523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30">SUM(G891,G893)</f>
        <v>23.411591648706132</v>
      </c>
      <c r="H888" s="1">
        <f t="shared" si="1030"/>
        <v>25.746801282660119</v>
      </c>
      <c r="I888" s="1">
        <f t="shared" si="1030"/>
        <v>13.03113234884802</v>
      </c>
      <c r="J888" s="1">
        <f t="shared" si="1030"/>
        <v>8.6154645435408046</v>
      </c>
      <c r="K888" s="1">
        <f t="shared" si="1030"/>
        <v>2.8501330970032779</v>
      </c>
      <c r="L888" s="1">
        <f t="shared" ref="L888" si="1031">SUM(L891,L893)</f>
        <v>0.22129871543060523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32">G890</f>
        <v>23.411591648706132</v>
      </c>
      <c r="H889" s="1">
        <f t="shared" si="1032"/>
        <v>25.746485478879315</v>
      </c>
      <c r="I889" s="1">
        <f t="shared" si="1032"/>
        <v>13.031021111511466</v>
      </c>
      <c r="J889" s="1">
        <f t="shared" si="1032"/>
        <v>8.6148991086553348</v>
      </c>
      <c r="K889" s="1">
        <f t="shared" si="1032"/>
        <v>2.8497381426095658</v>
      </c>
      <c r="L889" s="1">
        <f t="shared" si="1032"/>
        <v>1.1234917907974931E-5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[2]Services!F$12</f>
        <v>8.6148991086553348</v>
      </c>
      <c r="K890" s="1">
        <f>[2]Services!G$12</f>
        <v>2.8497381426095658</v>
      </c>
      <c r="L890" s="1">
        <f>[2]Services!H$12</f>
        <v>1.1234917907974931E-5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33">G890</f>
        <v>23.411591648706132</v>
      </c>
      <c r="H891" s="1">
        <f t="shared" si="1033"/>
        <v>25.746485478879315</v>
      </c>
      <c r="I891" s="1">
        <f t="shared" si="1033"/>
        <v>13.031021111511466</v>
      </c>
      <c r="J891" s="1">
        <f t="shared" si="1033"/>
        <v>8.6148991086553348</v>
      </c>
      <c r="K891" s="1">
        <f t="shared" si="1033"/>
        <v>2.8497381426095658</v>
      </c>
      <c r="L891" s="1">
        <f t="shared" ref="L891" si="1034">L890</f>
        <v>1.1234917907974931E-5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3.1580378080554595E-4</v>
      </c>
      <c r="I892">
        <f t="shared" si="1035"/>
        <v>1.1123733655372214E-4</v>
      </c>
      <c r="J892">
        <f t="shared" si="1035"/>
        <v>5.6543488546921289E-4</v>
      </c>
      <c r="K892">
        <f t="shared" si="1035"/>
        <v>3.9495439371198021E-4</v>
      </c>
      <c r="L892">
        <f t="shared" si="1035"/>
        <v>0.22128748051269725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[2]Services!F$13</f>
        <v>5.6543488546921289E-4</v>
      </c>
      <c r="K893">
        <f>[2]Services!G$13</f>
        <v>3.9495439371198021E-4</v>
      </c>
      <c r="L893">
        <f>[2]Services!H$13</f>
        <v>0.22128748051269725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36">SUM(G895:G897)</f>
        <v>28.287015378664162</v>
      </c>
      <c r="H894" s="1">
        <f t="shared" si="1036"/>
        <v>24.000323145398607</v>
      </c>
      <c r="I894" s="1">
        <f t="shared" si="1036"/>
        <v>17.148020599289428</v>
      </c>
      <c r="J894" s="1">
        <f t="shared" si="1036"/>
        <v>12.03040457307951</v>
      </c>
      <c r="K894" s="1">
        <f t="shared" si="1036"/>
        <v>7.7329904322937342</v>
      </c>
      <c r="L894" s="1">
        <f t="shared" ref="L894" si="1037">SUM(L895:L897)</f>
        <v>5.3164122635747759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SUM([2]Services!F$14:F$15)</f>
        <v>9.6328420367782925</v>
      </c>
      <c r="K895" s="1">
        <f>SUM([2]Services!G$14:G$15)</f>
        <v>4.9841870256385006</v>
      </c>
      <c r="L895" s="1">
        <f>SUM([2]Services!H$14:H$15)</f>
        <v>3.1061747922290301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2.397562536301217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2.7488034066552336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2.2102374713457462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[2]Services!F$14</f>
        <v>9.1270275923760806</v>
      </c>
      <c r="K898" s="1">
        <f>[2]Services!G$14</f>
        <v>4.984091874713795</v>
      </c>
      <c r="L898" s="1">
        <f>[2]Services!H$14</f>
        <v>3.1060522486510345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[2]Services!F$14*IFERROR(J895/SUM(J895:J896),0)</f>
        <v>7.308084655724123</v>
      </c>
      <c r="K899" s="1">
        <f>[2]Services!G$14*IFERROR(K895/SUM(K895:K896),0)</f>
        <v>3.2124242586409513</v>
      </c>
      <c r="L899" s="1">
        <f>[2]Services!H$14*IFERROR(L895/SUM(L895:L896),0)</f>
        <v>1.8147466223055522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1.0655032401430056</v>
      </c>
      <c r="I900" s="1">
        <f t="shared" si="1041"/>
        <v>1.6613201636896626</v>
      </c>
      <c r="J900" s="1">
        <f t="shared" si="1041"/>
        <v>1.8189429366519576</v>
      </c>
      <c r="K900" s="1">
        <f t="shared" si="1041"/>
        <v>1.7716676160728437</v>
      </c>
      <c r="L900" s="1">
        <f t="shared" ref="L900" si="1042">L898-L899</f>
        <v>1.2913056263454823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[2]Services!F$15+J904</f>
        <v>0.50581444440221113</v>
      </c>
      <c r="K901" s="1">
        <f>[2]Services!G$15+K904</f>
        <v>9.5150924705748356E-5</v>
      </c>
      <c r="L901" s="1">
        <f>[2]Services!H$15+L904</f>
        <v>1.2254357799585788E-4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[2]Services!F$15*J895/SUM(J895:J896)</f>
        <v>0.40500970796529445</v>
      </c>
      <c r="K902" s="1">
        <f>[2]Services!G$15*K895/SUM(K895:K896)</f>
        <v>6.1328150933095916E-5</v>
      </c>
      <c r="L902" s="1">
        <f>[2]Services!H$15*L895/SUM(L895:L896)</f>
        <v>7.1597489820012715E-5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[2]Services!F$15*J896/SUM(J895:J896)</f>
        <v>0.10080473643691661</v>
      </c>
      <c r="K903" s="1">
        <f>[2]Services!G$15*K896/SUM(K895:K896)</f>
        <v>3.3822773772652433E-5</v>
      </c>
      <c r="L903" s="1">
        <f>[2]Services!H$15*L896/SUM(L895:L896)</f>
        <v>5.0946088175845169E-5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[2]Services!F$17</f>
        <v>11.131926487954576</v>
      </c>
      <c r="K905" s="1">
        <f>[2]Services!G$17</f>
        <v>12.207975057702672</v>
      </c>
      <c r="L905" s="1">
        <f>[2]Services!H$17</f>
        <v>10.458129193484416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44">IF(G906-SUM(G908:G911)&lt;0,0,G906-SUM(G908:G911))</f>
        <v>1.5542364726746818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0.69258285412034659</v>
      </c>
      <c r="G908" s="1">
        <f t="shared" si="1045"/>
        <v>0.73875949561850196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2.6275928450274657E-3</v>
      </c>
      <c r="J911" s="1">
        <f t="shared" si="1050"/>
        <v>6.1058795065122343E-4</v>
      </c>
      <c r="K911" s="1">
        <f t="shared" si="1050"/>
        <v>3.5365819091794494E-4</v>
      </c>
      <c r="L911" s="1">
        <f t="shared" ref="L911" si="1051">L290</f>
        <v>1.8444399344816913E-3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52">G905-G906</f>
        <v>6.0767044152306795</v>
      </c>
      <c r="H912" s="1">
        <f t="shared" si="1052"/>
        <v>6.020905176280162</v>
      </c>
      <c r="I912" s="1">
        <f t="shared" si="1052"/>
        <v>9.8742396885031454</v>
      </c>
      <c r="J912" s="1">
        <f t="shared" si="1052"/>
        <v>11.131926487954576</v>
      </c>
      <c r="K912" s="1">
        <f t="shared" si="1052"/>
        <v>12.207975057702672</v>
      </c>
      <c r="L912" s="1">
        <f t="shared" ref="L912" si="1053">L905-L906</f>
        <v>10.458129193484416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54">G914</f>
        <v>9.981750341648862</v>
      </c>
      <c r="H913" s="1">
        <f t="shared" si="1054"/>
        <v>9.4433689030370243</v>
      </c>
      <c r="I913" s="1">
        <f t="shared" si="1054"/>
        <v>8.0288729229292599</v>
      </c>
      <c r="J913" s="1">
        <f t="shared" si="1054"/>
        <v>6.122733347304222</v>
      </c>
      <c r="K913" s="1">
        <f t="shared" si="1054"/>
        <v>3.9269175007764705</v>
      </c>
      <c r="L913" s="1">
        <f t="shared" si="1054"/>
        <v>1.437863761767759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6.122733347304222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3.9269175007764705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1.437863761767759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55">G916</f>
        <v>2.4000941335506005</v>
      </c>
      <c r="H915" s="1">
        <f t="shared" si="1055"/>
        <v>0.28283870769214003</v>
      </c>
      <c r="I915" s="1">
        <f t="shared" si="1055"/>
        <v>0.24781517944486917</v>
      </c>
      <c r="J915" s="1">
        <f t="shared" si="1055"/>
        <v>0.19842300619504027</v>
      </c>
      <c r="K915" s="1">
        <f t="shared" si="1055"/>
        <v>0.12679112258837641</v>
      </c>
      <c r="L915" s="1">
        <f t="shared" si="1055"/>
        <v>4.0572822894145814E-2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0.19842300619504027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0.12679112258837641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4.0572822894145814E-2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56">G918</f>
        <v>0.68733971440478714</v>
      </c>
      <c r="H917" s="1">
        <f t="shared" si="1056"/>
        <v>0.5697971565956419</v>
      </c>
      <c r="I917" s="1">
        <f t="shared" si="1056"/>
        <v>0.81009781478217058</v>
      </c>
      <c r="J917" s="1">
        <f t="shared" si="1056"/>
        <v>0.97753096960154828</v>
      </c>
      <c r="K917" s="1">
        <f t="shared" si="1056"/>
        <v>1.1797518218286733</v>
      </c>
      <c r="L917" s="1">
        <f t="shared" si="1056"/>
        <v>1.2936570882993319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[2]Services!F$19</f>
        <v>0.97753096960154828</v>
      </c>
      <c r="K918" s="1">
        <f>[2]Services!G$19</f>
        <v>1.1797518218286733</v>
      </c>
      <c r="L918" s="1">
        <f>[2]Services!H$19</f>
        <v>1.2936570882993319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[2]Services!F$20</f>
        <v>6.5870277564892556E-4</v>
      </c>
      <c r="K919" s="1">
        <f>[2]Services!G$20</f>
        <v>2.7491797494562094E-4</v>
      </c>
      <c r="L919" s="1">
        <f>[2]Services!H$20</f>
        <v>7.712526287169426E-4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2.7747980148346745E-3</v>
      </c>
      <c r="J921" s="1">
        <f t="shared" si="1059"/>
        <v>6.5870277564892556E-4</v>
      </c>
      <c r="K921" s="1">
        <f t="shared" si="1059"/>
        <v>2.7491797494562094E-4</v>
      </c>
      <c r="L921" s="1">
        <f t="shared" si="1059"/>
        <v>7.712526287169426E-4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[2]Services!F$20</f>
        <v>6.5870277564892556E-4</v>
      </c>
      <c r="K922" s="1">
        <f>[2]Services!G$20</f>
        <v>2.7491797494562094E-4</v>
      </c>
      <c r="L922" s="1">
        <f>[2]Services!H$20</f>
        <v>7.712526287169426E-4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60">G924</f>
        <v>3.1924556052825324</v>
      </c>
      <c r="H923" s="1">
        <f t="shared" si="1060"/>
        <v>4.2367610295871225</v>
      </c>
      <c r="I923" s="1">
        <f t="shared" si="1060"/>
        <v>9.7899714709323771</v>
      </c>
      <c r="J923" s="1">
        <f t="shared" si="1060"/>
        <v>12.938748833576755</v>
      </c>
      <c r="K923" s="1">
        <f t="shared" si="1060"/>
        <v>17.106644149176859</v>
      </c>
      <c r="L923" s="1">
        <f t="shared" si="1060"/>
        <v>17.067457023674994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[2]Services!F$21-J925</f>
        <v>12.938748833576755</v>
      </c>
      <c r="K924" s="1">
        <f>[2]Services!G$21-K925</f>
        <v>17.106644149176859</v>
      </c>
      <c r="L924" s="1">
        <f>[2]Services!H$21-L925</f>
        <v>17.067457023674994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[2]Services!F$50-J896</f>
        <v>2.6690458077706869</v>
      </c>
      <c r="K925" s="1">
        <f>[2]Services!G$50-K896</f>
        <v>3.28105774967496</v>
      </c>
      <c r="L925" s="1">
        <f>[2]Services!H$50-L896</f>
        <v>3.0954214671943281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[2]Services!F$59</f>
        <v>59.216348593857589</v>
      </c>
      <c r="K926" s="17">
        <f>[2]Services!G$59</f>
        <v>58.272389521869513</v>
      </c>
      <c r="L926" s="17">
        <f>[2]Services!H$59</f>
        <v>55.653306769359332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63">SUM(G928:G930)</f>
        <v>63.90996715272491</v>
      </c>
      <c r="H927" s="1">
        <f t="shared" si="1063"/>
        <v>65.515056458183452</v>
      </c>
      <c r="I927" s="1">
        <f t="shared" si="1063"/>
        <v>68.878597637448394</v>
      </c>
      <c r="J927" s="1">
        <f t="shared" si="1063"/>
        <v>71.05117821128438</v>
      </c>
      <c r="K927" s="1">
        <f t="shared" si="1063"/>
        <v>73.504618267451391</v>
      </c>
      <c r="L927" s="1">
        <f t="shared" ref="L927" si="1064">SUM(L928:L930)</f>
        <v>66.520798626139012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0.25360230939143152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0.20351536333059084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0.13632099950344836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[2]Services!F$47</f>
        <v>18.281596573673315</v>
      </c>
      <c r="K929" s="1">
        <f>[2]Services!G$47</f>
        <v>23.703513214583396</v>
      </c>
      <c r="L929" s="1">
        <f>[2]Services!H$47</f>
        <v>23.081096279116398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[2]Services!F$3-([2]Services!F$6-[2]Services!F$58)</f>
        <v>52.515979328219636</v>
      </c>
      <c r="K930" s="1">
        <f>[2]Services!G$3-([2]Services!G$6-[2]Services!G$58)</f>
        <v>49.597589689537408</v>
      </c>
      <c r="L930" s="1">
        <f>[2]Services!H$3-([2]Services!H$6-[2]Services!H$58)</f>
        <v>43.303381347519164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67">G932</f>
        <v>19.260817804174788</v>
      </c>
      <c r="H931" s="1">
        <f t="shared" si="1067"/>
        <v>20.306601398888024</v>
      </c>
      <c r="I931" s="1">
        <f t="shared" si="1067"/>
        <v>10.66267258222752</v>
      </c>
      <c r="J931" s="1">
        <f t="shared" si="1067"/>
        <v>7.0495698387781909</v>
      </c>
      <c r="K931" s="1">
        <f t="shared" si="1067"/>
        <v>2.3321101509495903</v>
      </c>
      <c r="L931" s="1">
        <f t="shared" si="1067"/>
        <v>0.1812322176358033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[2]Services!F$48</f>
        <v>7.0495698387781909</v>
      </c>
      <c r="K932" s="1">
        <f>[2]Services!G$48</f>
        <v>2.3321101509495903</v>
      </c>
      <c r="L932" s="1">
        <f>[2]Services!H$48</f>
        <v>0.1812322176358033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68">SUM(G934:G936)</f>
        <v>26.667696554139958</v>
      </c>
      <c r="H933" s="1">
        <f t="shared" si="1068"/>
        <v>20.691655130905076</v>
      </c>
      <c r="I933" s="1">
        <f t="shared" si="1068"/>
        <v>15.442207502970847</v>
      </c>
      <c r="J933" s="1">
        <f t="shared" si="1068"/>
        <v>11.330391359782357</v>
      </c>
      <c r="K933" s="1">
        <f t="shared" si="1068"/>
        <v>7.9651568400926616</v>
      </c>
      <c r="L933" s="1">
        <f t="shared" ref="L933" si="1069">SUM(L934:L936)</f>
        <v>6.0818938613703368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[2]Services!F$49</f>
        <v>6.2637830157104535</v>
      </c>
      <c r="K934" s="1">
        <f>[2]Services!G$49</f>
        <v>1.9352956837624677</v>
      </c>
      <c r="L934" s="1">
        <f>[2]Services!H$49</f>
        <v>0.77623492283026274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[2]Services!F$50</f>
        <v>5.0666083440719039</v>
      </c>
      <c r="K935" s="1">
        <f>[2]Services!G$50</f>
        <v>6.0298611563301936</v>
      </c>
      <c r="L935" s="1">
        <f>[2]Services!H$50</f>
        <v>5.3056589385400743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74">G938+G944</f>
        <v>8.2860033796886245</v>
      </c>
      <c r="H937" s="1">
        <f t="shared" si="1074"/>
        <v>4.9433260101213223</v>
      </c>
      <c r="I937" s="1">
        <f t="shared" si="1074"/>
        <v>8.1862861341505599</v>
      </c>
      <c r="J937" s="1">
        <f t="shared" si="1074"/>
        <v>9.2289774534063742</v>
      </c>
      <c r="K937" s="1">
        <f t="shared" si="1074"/>
        <v>10.121080720502245</v>
      </c>
      <c r="L937" s="1">
        <f t="shared" ref="L937" si="1075">L938+L944</f>
        <v>8.6703625500866206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76">IFERROR(G907/G$906,0)*G$938</f>
        <v>1.538694107947935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78">IFERROR(G908/G$906,0)*G$938</f>
        <v>0.73137190066231705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[2]Services!F$52</f>
        <v>9.2289774534063742</v>
      </c>
      <c r="K944" s="1">
        <f>[2]Services!G$52</f>
        <v>10.121080720502245</v>
      </c>
      <c r="L944" s="1">
        <f>[2]Services!H$52</f>
        <v>8.6703625500866206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83">G946</f>
        <v>7.1868602459871767</v>
      </c>
      <c r="H945" s="1">
        <f t="shared" si="1083"/>
        <v>6.3614425200668494</v>
      </c>
      <c r="I945" s="1">
        <f t="shared" si="1083"/>
        <v>5.4085797266386244</v>
      </c>
      <c r="J945" s="1">
        <f t="shared" si="1083"/>
        <v>4.1245255432143573</v>
      </c>
      <c r="K945" s="1">
        <f t="shared" si="1083"/>
        <v>2.6453334841340554</v>
      </c>
      <c r="L945" s="1">
        <f t="shared" si="1083"/>
        <v>1.0268736639755891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[2]Services!F$53</f>
        <v>4.1245255432143573</v>
      </c>
      <c r="K946" s="1">
        <f>[2]Services!G$53</f>
        <v>2.6453334841340554</v>
      </c>
      <c r="L946" s="1">
        <f>[2]Services!H$53</f>
        <v>1.0268736639755891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84">G948</f>
        <v>2.1600847201955409</v>
      </c>
      <c r="H947" s="1">
        <f t="shared" si="1084"/>
        <v>0.18522841638653448</v>
      </c>
      <c r="I947" s="1">
        <f t="shared" si="1084"/>
        <v>0.16229183628954039</v>
      </c>
      <c r="J947" s="1">
        <f t="shared" si="1084"/>
        <v>0.12994536537116361</v>
      </c>
      <c r="K947" s="1">
        <f t="shared" si="1084"/>
        <v>8.3034316768547972E-2</v>
      </c>
      <c r="L947" s="1">
        <f t="shared" si="1084"/>
        <v>2.7989923074063096E-2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[2]Services!F$54</f>
        <v>0.12994536537116361</v>
      </c>
      <c r="K948" s="1">
        <f>[2]Services!G$54</f>
        <v>8.3034316768547972E-2</v>
      </c>
      <c r="L948" s="1">
        <f>[2]Services!H$54</f>
        <v>2.7989923074063096E-2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85">G950</f>
        <v>0.68733971440478714</v>
      </c>
      <c r="H949" s="1">
        <f t="shared" si="1085"/>
        <v>0.5697971565956419</v>
      </c>
      <c r="I949" s="1">
        <f t="shared" si="1085"/>
        <v>0.81009781478217058</v>
      </c>
      <c r="J949" s="1">
        <f t="shared" si="1085"/>
        <v>0.97753096960154828</v>
      </c>
      <c r="K949" s="1">
        <f t="shared" si="1085"/>
        <v>1.1797518218286733</v>
      </c>
      <c r="L949" s="1">
        <f t="shared" si="1085"/>
        <v>1.2936570882993319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[2]Services!F$55</f>
        <v>0.97753096960154828</v>
      </c>
      <c r="K950" s="1">
        <f>[2]Services!G$55</f>
        <v>1.1797518218286733</v>
      </c>
      <c r="L950" s="1">
        <f>[2]Services!H$55</f>
        <v>1.2936570882993319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[2]Services!F$58</f>
        <v>7.8402091806388556</v>
      </c>
      <c r="K953" s="1">
        <f>[2]Services!G$58</f>
        <v>10.03889360967975</v>
      </c>
      <c r="L953" s="1">
        <f>[2]Services!H$58</f>
        <v>15.15388018629775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0.91249999999999998</v>
      </c>
      <c r="G955" s="4">
        <f t="shared" si="1089"/>
        <v>0.91500000000000048</v>
      </c>
      <c r="H955" s="4">
        <f t="shared" si="1089"/>
        <v>0.48067813785547431</v>
      </c>
      <c r="I955" s="4">
        <f t="shared" si="1089"/>
        <v>0.50730413453945344</v>
      </c>
      <c r="J955" s="4">
        <f t="shared" si="1089"/>
        <v>0.51432630390537404</v>
      </c>
      <c r="K955" s="4">
        <f t="shared" si="1089"/>
        <v>0.523421745213834</v>
      </c>
      <c r="L955" s="4">
        <f t="shared" ref="L955" si="1090">IFERROR(L928/L884,"-")</f>
        <v>0.53437591164208897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3.1999999999999997</v>
      </c>
      <c r="G956" s="4">
        <f t="shared" si="1089"/>
        <v>3.240000000000002</v>
      </c>
      <c r="H956" s="4">
        <f t="shared" si="1089"/>
        <v>2.8933950600745693</v>
      </c>
      <c r="I956" s="4">
        <f t="shared" si="1089"/>
        <v>3.2582331487217093</v>
      </c>
      <c r="J956" s="4">
        <f t="shared" si="1089"/>
        <v>3.4216952200368915</v>
      </c>
      <c r="K956" s="4">
        <f t="shared" si="1089"/>
        <v>3.5931459271918507</v>
      </c>
      <c r="L956" s="4">
        <f t="shared" ref="L956" si="1091">IFERROR(L929/L885,"-")</f>
        <v>3.8381245197293143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0.99999999999999989</v>
      </c>
      <c r="G957" s="4">
        <f t="shared" si="1089"/>
        <v>1.0000000000000002</v>
      </c>
      <c r="H957" s="4">
        <f t="shared" si="1089"/>
        <v>1</v>
      </c>
      <c r="I957" s="4">
        <f t="shared" si="1089"/>
        <v>1</v>
      </c>
      <c r="J957" s="4">
        <f t="shared" si="1089"/>
        <v>1</v>
      </c>
      <c r="K957" s="4">
        <f t="shared" si="1089"/>
        <v>1</v>
      </c>
      <c r="L957" s="4">
        <f t="shared" ref="L957" si="1092">IFERROR(L930/L886,"-")</f>
        <v>1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0.82107843137254843</v>
      </c>
      <c r="G958" s="4">
        <f t="shared" si="1093"/>
        <v>0.82270432925645443</v>
      </c>
      <c r="H958" s="4">
        <f t="shared" si="1093"/>
        <v>0.78870385396433906</v>
      </c>
      <c r="I958" s="4">
        <f t="shared" si="1093"/>
        <v>0.81824605082536228</v>
      </c>
      <c r="J958" s="4">
        <f t="shared" si="1093"/>
        <v>0.81824605082536173</v>
      </c>
      <c r="K958" s="4">
        <f t="shared" si="1093"/>
        <v>0.81824605082536195</v>
      </c>
      <c r="L958" s="4">
        <f t="shared" ref="L958" si="1094">IFERROR(L932/L888,"-")</f>
        <v>0.8189483489913616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0.94680851063829841</v>
      </c>
      <c r="G959" s="4">
        <f t="shared" si="1095"/>
        <v>0.94680851063829941</v>
      </c>
      <c r="H959" s="4">
        <f t="shared" si="1095"/>
        <v>0.80706191877061462</v>
      </c>
      <c r="I959" s="4">
        <f t="shared" si="1095"/>
        <v>0.75509408708278403</v>
      </c>
      <c r="J959" s="4">
        <f t="shared" si="1095"/>
        <v>0.65025285287511869</v>
      </c>
      <c r="K959" s="4">
        <f t="shared" si="1095"/>
        <v>0.38828713164401091</v>
      </c>
      <c r="L959" s="4">
        <f t="shared" ref="L959" si="1096">IFERROR(L934/L895,"-")</f>
        <v>0.24990059309354795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1.9268762686408993</v>
      </c>
      <c r="I960" s="4">
        <f t="shared" si="1095"/>
        <v>2.0376218643305304</v>
      </c>
      <c r="J960" s="4">
        <f t="shared" si="1095"/>
        <v>2.1132330303627009</v>
      </c>
      <c r="K960" s="4">
        <f t="shared" si="1095"/>
        <v>2.1936312876108435</v>
      </c>
      <c r="L960" s="4">
        <f t="shared" ref="L960" si="1097">IFERROR(L935/L896,"-")</f>
        <v>2.4004927105455418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0.87219999999999898</v>
      </c>
      <c r="G961" s="4">
        <f t="shared" si="1095"/>
        <v>0.87220000000000086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0.9900000000000001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>
        <f t="shared" si="1099"/>
        <v>0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0.98999999999999855</v>
      </c>
      <c r="G967" s="4">
        <f t="shared" si="1099"/>
        <v>0.99</v>
      </c>
      <c r="H967" s="4">
        <f t="shared" si="1099"/>
        <v>0.82102704915466052</v>
      </c>
      <c r="I967" s="4">
        <f t="shared" si="1099"/>
        <v>0.82905483281736447</v>
      </c>
      <c r="J967" s="4">
        <f t="shared" si="1099"/>
        <v>0.82905483281736458</v>
      </c>
      <c r="K967" s="4">
        <f t="shared" si="1099"/>
        <v>0.82905483281736458</v>
      </c>
      <c r="L967" s="4">
        <f t="shared" ref="L967" si="1105">IFERROR(L944/L912,"-")</f>
        <v>0.82905483281736447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0.71999999999999964</v>
      </c>
      <c r="G968" s="4">
        <f t="shared" si="1106"/>
        <v>0.71999999999999964</v>
      </c>
      <c r="H968" s="4">
        <f t="shared" si="1106"/>
        <v>0.67364121696241097</v>
      </c>
      <c r="I968" s="4">
        <f t="shared" si="1106"/>
        <v>0.67364121696241197</v>
      </c>
      <c r="J968" s="4">
        <f t="shared" si="1106"/>
        <v>0.67364121696241175</v>
      </c>
      <c r="K968" s="4">
        <f t="shared" si="1106"/>
        <v>0.67364121696241208</v>
      </c>
      <c r="L968" s="4">
        <f t="shared" ref="L968" si="1107">IFERROR(L946/L913,"-")</f>
        <v>0.71416617573915031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0.89999999999999947</v>
      </c>
      <c r="G969" s="4">
        <f t="shared" si="1108"/>
        <v>0.90000000000000013</v>
      </c>
      <c r="H969" s="4">
        <f t="shared" si="1108"/>
        <v>0.65489061910206814</v>
      </c>
      <c r="I969" s="4">
        <f t="shared" si="1108"/>
        <v>0.65489061910206781</v>
      </c>
      <c r="J969" s="4">
        <f t="shared" si="1108"/>
        <v>0.65489061910206903</v>
      </c>
      <c r="K969" s="4">
        <f t="shared" si="1108"/>
        <v>0.65489061910206758</v>
      </c>
      <c r="L969" s="4">
        <f t="shared" ref="L969" si="1109">IFERROR(L948/L916,"-")</f>
        <v>0.68986876134028419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>
        <f t="shared" si="1112"/>
        <v>0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[2]Residential!F$26</f>
        <v>188.65211298116606</v>
      </c>
      <c r="K972" s="3">
        <f>[2]Residential!G$26</f>
        <v>176.92575253965981</v>
      </c>
      <c r="L972" s="3">
        <f>[2]Residential!H$26</f>
        <v>153.19177868163186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[2]Residential!F$15</f>
        <v>71.963971531286035</v>
      </c>
      <c r="K973" s="1">
        <f>[2]Residential!G$15</f>
        <v>70.716096006353339</v>
      </c>
      <c r="L973" s="1">
        <f>[2]Residential!H$15</f>
        <v>60.883440147700661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14">SUM(G975:G976)</f>
        <v>15.081940836844979</v>
      </c>
      <c r="H974" s="1">
        <f t="shared" si="1114"/>
        <v>12.299992433129701</v>
      </c>
      <c r="I974" s="1">
        <f t="shared" si="1114"/>
        <v>15.188207296590571</v>
      </c>
      <c r="J974" s="1">
        <f t="shared" si="1114"/>
        <v>16.230739109162847</v>
      </c>
      <c r="K974" s="1">
        <f t="shared" si="1114"/>
        <v>17.40834335991476</v>
      </c>
      <c r="L974" s="1">
        <f t="shared" ref="L974" si="1115">SUM(L975:L976)</f>
        <v>14.525595520146776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2.687336909452407E-2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2.1164284678453486E-2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1.2224757021857368E-2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16.203865740068323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17.387179075236308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14.51337076312492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19">SUM(G978:G979)</f>
        <v>10.085312069061098</v>
      </c>
      <c r="H977" s="1">
        <f t="shared" si="1119"/>
        <v>8.8502419128753793</v>
      </c>
      <c r="I977" s="1">
        <f t="shared" si="1119"/>
        <v>8.1284128751151599</v>
      </c>
      <c r="J977" s="1">
        <f t="shared" si="1119"/>
        <v>9.0055006778088931</v>
      </c>
      <c r="K977" s="1">
        <f t="shared" si="1119"/>
        <v>9.5641506549871806</v>
      </c>
      <c r="L977" s="1">
        <f t="shared" ref="L977" si="1120">SUM(L978:L979)</f>
        <v>8.9607739455252204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3.8190509694440684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3.4513091400055051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2.8602708757608273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5.1864497083648242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6.1128415149816755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6.1005030697643932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[2]Residential!F$3-([2]Residential!F$10-[2]Residential!F$244)</f>
        <v>46.727731744314298</v>
      </c>
      <c r="K980" s="1">
        <f>[2]Residential!G$3-([2]Residential!G$10-[2]Residential!G$244)</f>
        <v>43.743601991451399</v>
      </c>
      <c r="L980" s="1">
        <f>[2]Residential!H$3-([2]Residential!H$10-[2]Residential!H$244)</f>
        <v>37.397070682028662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SUM([2]Residential!F$16:F$17)</f>
        <v>13.533037971836425</v>
      </c>
      <c r="K981" s="1">
        <f>SUM([2]Residential!G$16:G$17)</f>
        <v>3.8689683616285695</v>
      </c>
      <c r="L981" s="1">
        <f>SUM([2]Residential!H$16:H$17)</f>
        <v>0.4324183256990588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[2]Residential!F$16</f>
        <v>13.532471720974558</v>
      </c>
      <c r="K982" s="1">
        <f>[2]Residential!G$16</f>
        <v>3.868569182384952</v>
      </c>
      <c r="L982" s="1">
        <f>[2]Residential!H$16</f>
        <v>1.3576412278177813E-5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[2]Residential!F$17</f>
        <v>5.6625086186712034E-4</v>
      </c>
      <c r="K983" s="1">
        <f>[2]Residential!G$17</f>
        <v>3.9917924361760151E-4</v>
      </c>
      <c r="L983" s="1">
        <f>[2]Residential!H$17</f>
        <v>0.43240474928678063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23">SUM(G986,G988)</f>
        <v>42.906931071069067</v>
      </c>
      <c r="H984" s="1">
        <f t="shared" si="1123"/>
        <v>40.654249078398408</v>
      </c>
      <c r="I984" s="1">
        <f t="shared" si="1123"/>
        <v>18.646371765859342</v>
      </c>
      <c r="J984" s="1">
        <f t="shared" si="1123"/>
        <v>11.196370362044775</v>
      </c>
      <c r="K984" s="1">
        <f t="shared" si="1123"/>
        <v>3.0072650283638618</v>
      </c>
      <c r="L984" s="1">
        <f t="shared" ref="L984" si="1124">SUM(L986,L988)</f>
        <v>0.36873445058979604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11.196370362044775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3.0072650283638618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0.36873445058979604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25">G987</f>
        <v>42.906931071069067</v>
      </c>
      <c r="H986" s="1">
        <f t="shared" si="1125"/>
        <v>40.653990054166769</v>
      </c>
      <c r="I986" s="1">
        <f t="shared" si="1125"/>
        <v>18.646278057410893</v>
      </c>
      <c r="J986" s="1">
        <f t="shared" si="1125"/>
        <v>11.195901882285796</v>
      </c>
      <c r="K986" s="1">
        <f t="shared" si="1125"/>
        <v>3.0069547550126279</v>
      </c>
      <c r="L986" s="1">
        <f t="shared" si="1125"/>
        <v>1.1576962919602167E-5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26">G985*IFERROR(G982/G981,0)</f>
        <v>42.906931071069067</v>
      </c>
      <c r="H987" s="1">
        <f t="shared" si="1126"/>
        <v>40.653990054166769</v>
      </c>
      <c r="I987" s="1">
        <f t="shared" si="1126"/>
        <v>18.646278057410893</v>
      </c>
      <c r="J987" s="1">
        <f t="shared" si="1126"/>
        <v>11.195901882285796</v>
      </c>
      <c r="K987" s="1">
        <f t="shared" si="1126"/>
        <v>3.0069547550126279</v>
      </c>
      <c r="L987" s="1">
        <f t="shared" ref="L987" si="1127">L985*IFERROR(L982/L981,0)</f>
        <v>1.1576962919602167E-5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2.590242316387048E-4</v>
      </c>
      <c r="I988" s="1">
        <f t="shared" si="1128"/>
        <v>9.3708448449802972E-5</v>
      </c>
      <c r="J988" s="1">
        <f t="shared" si="1128"/>
        <v>4.6847975897890137E-4</v>
      </c>
      <c r="K988" s="1">
        <f t="shared" si="1128"/>
        <v>3.1027335123390287E-4</v>
      </c>
      <c r="L988" s="1">
        <f t="shared" si="1128"/>
        <v>0.36872287362687645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2.590242316387048E-4</v>
      </c>
      <c r="I989" s="1">
        <f t="shared" si="1129"/>
        <v>9.3708448449802972E-5</v>
      </c>
      <c r="J989" s="1">
        <f t="shared" si="1129"/>
        <v>4.6847975897890137E-4</v>
      </c>
      <c r="K989" s="1">
        <f t="shared" si="1129"/>
        <v>3.1027335123390287E-4</v>
      </c>
      <c r="L989" s="1">
        <f t="shared" ref="L989" si="1130">L985-L987</f>
        <v>0.36872287362687645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31">G991</f>
        <v>7.7553362049978629</v>
      </c>
      <c r="H990" s="1">
        <f t="shared" si="1131"/>
        <v>8.9856804947455906</v>
      </c>
      <c r="I990" s="1">
        <f t="shared" si="1131"/>
        <v>3.5477903075198682</v>
      </c>
      <c r="J990" s="1">
        <f t="shared" si="1131"/>
        <v>2.3366676097916503</v>
      </c>
      <c r="K990" s="1">
        <f t="shared" si="1131"/>
        <v>0.86170333326470794</v>
      </c>
      <c r="L990" s="1">
        <f t="shared" si="1131"/>
        <v>6.3683875109262766E-2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2.3366676097916503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0.86170333326470794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6.3683875109262766E-2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32">IFERROR(G982/G981,0)*G991</f>
        <v>7.7553362049978629</v>
      </c>
      <c r="H992" s="1">
        <f t="shared" si="1132"/>
        <v>8.9856232434363505</v>
      </c>
      <c r="I992" s="1">
        <f t="shared" si="1132"/>
        <v>3.5477724778890254</v>
      </c>
      <c r="J992" s="1">
        <f t="shared" si="1132"/>
        <v>2.3365698386887614</v>
      </c>
      <c r="K992" s="1">
        <f t="shared" si="1132"/>
        <v>0.86161442737232408</v>
      </c>
      <c r="L992" s="1">
        <f t="shared" ref="L992" si="1133">IFERROR(L982/L981,0)*L991</f>
        <v>1.9994493585756448E-6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5.725130924005839E-5</v>
      </c>
      <c r="I993" s="1">
        <f t="shared" si="1134"/>
        <v>1.7829630842847166E-5</v>
      </c>
      <c r="J993" s="1">
        <f t="shared" si="1134"/>
        <v>9.777110288888835E-5</v>
      </c>
      <c r="K993" s="1">
        <f t="shared" si="1134"/>
        <v>8.8905892383861485E-5</v>
      </c>
      <c r="L993" s="1">
        <f t="shared" ref="L993" si="1135">L991-L992</f>
        <v>6.3681875659904186E-2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36">SUM(G995:G996)</f>
        <v>48.270440501138609</v>
      </c>
      <c r="H994" s="1">
        <f t="shared" si="1136"/>
        <v>45.742432873529324</v>
      </c>
      <c r="I994" s="1">
        <f t="shared" si="1136"/>
        <v>31.001177016348169</v>
      </c>
      <c r="J994" s="1">
        <f t="shared" si="1136"/>
        <v>20.643698326499692</v>
      </c>
      <c r="K994" s="1">
        <f t="shared" si="1136"/>
        <v>11.071014419249435</v>
      </c>
      <c r="L994" s="1">
        <f t="shared" ref="L994" si="1137">SUM(L995:L996)</f>
        <v>6.9036337655794942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[2]Residential!F$18</f>
        <v>19.988818740923708</v>
      </c>
      <c r="K995" s="1">
        <f>[2]Residential!G$18</f>
        <v>11.070945464430379</v>
      </c>
      <c r="L995" s="1">
        <f>[2]Residential!H$18</f>
        <v>6.903505705642174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[2]Residential!F$19</f>
        <v>0.65487958557598414</v>
      </c>
      <c r="K996" s="1">
        <f>[2]Residential!G$19</f>
        <v>6.8954819057184019E-5</v>
      </c>
      <c r="L996" s="1">
        <f>[2]Residential!H$19</f>
        <v>1.2805993732046606E-4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40">SUM(G998:G999)</f>
        <v>40.921670258232872</v>
      </c>
      <c r="H997" s="1">
        <f t="shared" si="1140"/>
        <v>35.647967775788644</v>
      </c>
      <c r="I997" s="1">
        <f t="shared" si="1140"/>
        <v>24.869287868118789</v>
      </c>
      <c r="J997" s="1">
        <f t="shared" si="1140"/>
        <v>16.138688887398427</v>
      </c>
      <c r="K997" s="1">
        <f t="shared" si="1140"/>
        <v>8.1793624657952968</v>
      </c>
      <c r="L997" s="1">
        <f t="shared" ref="L997" si="1141">SUM(L998:L999)</f>
        <v>5.0328972555387326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12.203413511963365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3.8503154547530505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1.5321405843786589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3.9352753754350625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4.3290470110422454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3.5007566711600737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42">SUM(G1001:G1002)</f>
        <v>38.840035291064147</v>
      </c>
      <c r="H1000" s="1">
        <f t="shared" si="1142"/>
        <v>34.44220990085563</v>
      </c>
      <c r="I1000" s="1">
        <f t="shared" si="1142"/>
        <v>24.366355152622077</v>
      </c>
      <c r="J1000" s="1">
        <f t="shared" si="1142"/>
        <v>15.626721616652555</v>
      </c>
      <c r="K1000" s="1">
        <f t="shared" si="1142"/>
        <v>8.1793115213707406</v>
      </c>
      <c r="L1000" s="1">
        <f t="shared" ref="L1000" si="1143">SUM(L1001:L1002)</f>
        <v>5.0328038970946185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44">G998-G1004</f>
        <v>38.840035291064147</v>
      </c>
      <c r="H1001" s="1">
        <f t="shared" si="1144"/>
        <v>32.263274313168765</v>
      </c>
      <c r="I1001" s="1">
        <f t="shared" si="1144"/>
        <v>21.134166668616487</v>
      </c>
      <c r="J1001" s="1">
        <f t="shared" si="1144"/>
        <v>11.816284894942832</v>
      </c>
      <c r="K1001" s="1">
        <f t="shared" si="1144"/>
        <v>3.8502914734090252</v>
      </c>
      <c r="L1001" s="1">
        <f t="shared" ref="L1001" si="1145">L998-L1004</f>
        <v>1.5321121637187769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2.1789355876868672</v>
      </c>
      <c r="I1002" s="1">
        <f t="shared" si="1146"/>
        <v>3.2321884840055901</v>
      </c>
      <c r="J1002" s="1">
        <f t="shared" si="1146"/>
        <v>3.8104367217097219</v>
      </c>
      <c r="K1002" s="1">
        <f t="shared" si="1146"/>
        <v>4.3290200479617154</v>
      </c>
      <c r="L1002" s="1">
        <f t="shared" ref="L1002" si="1147">L999-L1005</f>
        <v>3.5006917333758421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48">SUM(G1004:G1005)</f>
        <v>2.0816349671687222</v>
      </c>
      <c r="H1003" s="1">
        <f t="shared" si="1148"/>
        <v>1.2057578749330089</v>
      </c>
      <c r="I1003" s="1">
        <f t="shared" si="1148"/>
        <v>0.50293271549671248</v>
      </c>
      <c r="J1003" s="1">
        <f t="shared" si="1148"/>
        <v>0.51196727074587456</v>
      </c>
      <c r="K1003" s="1">
        <f t="shared" si="1148"/>
        <v>5.0944424555295114E-5</v>
      </c>
      <c r="L1003" s="1">
        <f t="shared" ref="L1003" si="1149">SUM(L1004:L1005)</f>
        <v>9.3358444113602999E-5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50">G998*IFERROR(G996/G994,0)</f>
        <v>2.0816349671687222</v>
      </c>
      <c r="H1004" s="1">
        <f t="shared" si="1150"/>
        <v>1.1294773821484865</v>
      </c>
      <c r="I1004" s="1">
        <f t="shared" si="1150"/>
        <v>0.43621886678704175</v>
      </c>
      <c r="J1004" s="1">
        <f t="shared" si="1150"/>
        <v>0.38712861702053386</v>
      </c>
      <c r="K1004" s="1">
        <f t="shared" si="1150"/>
        <v>2.398134402516435E-5</v>
      </c>
      <c r="L1004" s="1">
        <f t="shared" ref="L1004" si="1151">L998*IFERROR(L996/L994,0)</f>
        <v>2.8420659882035864E-5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7.6280492784522397E-2</v>
      </c>
      <c r="I1005" s="1">
        <f t="shared" si="1152"/>
        <v>6.6713848709670676E-2</v>
      </c>
      <c r="J1005" s="1">
        <f t="shared" si="1152"/>
        <v>0.12483865372534066</v>
      </c>
      <c r="K1005" s="1">
        <f t="shared" si="1152"/>
        <v>2.696308053013076E-5</v>
      </c>
      <c r="L1005" s="1">
        <f t="shared" ref="L1005" si="1153">L999*IFERROR(L$996/L$994,0)</f>
        <v>6.4937784231567129E-5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54">SUM(G1007:G1008)</f>
        <v>7.3487702429057364</v>
      </c>
      <c r="H1006" s="1">
        <f t="shared" si="1154"/>
        <v>10.094465097740684</v>
      </c>
      <c r="I1006" s="1">
        <f t="shared" si="1154"/>
        <v>6.1318891482293809</v>
      </c>
      <c r="J1006" s="1">
        <f t="shared" si="1154"/>
        <v>4.5050094391012641</v>
      </c>
      <c r="K1006" s="1">
        <f t="shared" si="1154"/>
        <v>2.8916519534541392</v>
      </c>
      <c r="L1006" s="1">
        <f t="shared" ref="L1006" si="1155">SUM(L1007:L1008)</f>
        <v>1.8707365100407611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56">G994-G998-G999-G1008</f>
        <v>7.3487702429057364</v>
      </c>
      <c r="H1007" s="1">
        <f t="shared" si="1156"/>
        <v>9.6074618073542748</v>
      </c>
      <c r="I1007" s="1">
        <f t="shared" si="1156"/>
        <v>5.2693893889047922</v>
      </c>
      <c r="J1007" s="1">
        <f t="shared" si="1156"/>
        <v>3.2587401050825884</v>
      </c>
      <c r="K1007" s="1">
        <f t="shared" si="1156"/>
        <v>1.4335026213352378</v>
      </c>
      <c r="L1007" s="1">
        <f t="shared" ref="L1007" si="1157">L994-L998-L999-L1008</f>
        <v>0.6399482554485274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1.2462693340186757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1.4581493321189014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1.2307882545922337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58">SUM(G1010:G1011)</f>
        <v>6.9749473513475913</v>
      </c>
      <c r="H1009" s="1">
        <f t="shared" si="1158"/>
        <v>9.75302962345528</v>
      </c>
      <c r="I1009" s="1">
        <f t="shared" si="1158"/>
        <v>6.0078836810524434</v>
      </c>
      <c r="J1009" s="1">
        <f t="shared" si="1158"/>
        <v>4.3620971242711546</v>
      </c>
      <c r="K1009" s="1">
        <f t="shared" si="1158"/>
        <v>2.8916339430596372</v>
      </c>
      <c r="L1009" s="1">
        <f t="shared" ref="L1009" si="1159">SUM(L1010:L1011)</f>
        <v>1.8707018085475542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60">G1007-G1013</f>
        <v>6.9749473513475913</v>
      </c>
      <c r="H1010" s="1">
        <f t="shared" si="1160"/>
        <v>9.2824987462003836</v>
      </c>
      <c r="I1010" s="1">
        <f t="shared" si="1160"/>
        <v>5.1628262927508084</v>
      </c>
      <c r="J1010" s="1">
        <f t="shared" si="1160"/>
        <v>3.1553631647803333</v>
      </c>
      <c r="K1010" s="1">
        <f t="shared" si="1160"/>
        <v>1.4334936928928992</v>
      </c>
      <c r="L1010" s="1">
        <f t="shared" ref="L1010" si="1161">L1007-L1013</f>
        <v>0.63993638463726132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0.47053087725489556</v>
      </c>
      <c r="I1011" s="1">
        <f t="shared" si="1162"/>
        <v>0.8450573883016349</v>
      </c>
      <c r="J1011" s="1">
        <f t="shared" si="1162"/>
        <v>1.2067339594908213</v>
      </c>
      <c r="K1011" s="1">
        <f t="shared" si="1162"/>
        <v>1.4581402501667382</v>
      </c>
      <c r="L1011" s="1">
        <f t="shared" ref="L1011" si="1163">L1008-L1014</f>
        <v>1.230765423910293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5.561897371640194E-2</v>
      </c>
      <c r="G1012" s="1">
        <f t="shared" si="1164"/>
        <v>0.3738228915581453</v>
      </c>
      <c r="H1012" s="1">
        <f t="shared" si="1164"/>
        <v>0.34143547428540522</v>
      </c>
      <c r="I1012" s="1">
        <f t="shared" si="1164"/>
        <v>0.12400546717693794</v>
      </c>
      <c r="J1012" s="1">
        <f t="shared" si="1164"/>
        <v>0.14291231483010969</v>
      </c>
      <c r="K1012" s="1">
        <f t="shared" si="1164"/>
        <v>1.8010394501888912E-5</v>
      </c>
      <c r="L1012" s="1">
        <f t="shared" ref="L1012" si="1165">SUM(L1013:L1014)</f>
        <v>3.4701493206863071E-5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66">G1007*IFERROR(G$996/G$994,0)</f>
        <v>0.3738228915581453</v>
      </c>
      <c r="H1013" s="1">
        <f t="shared" si="1166"/>
        <v>0.3249630611538909</v>
      </c>
      <c r="I1013" s="1">
        <f t="shared" si="1166"/>
        <v>0.10656309615398396</v>
      </c>
      <c r="J1013" s="1">
        <f t="shared" si="1166"/>
        <v>0.10337694030225522</v>
      </c>
      <c r="K1013" s="1">
        <f t="shared" si="1166"/>
        <v>8.9284423386083602E-6</v>
      </c>
      <c r="L1013" s="1">
        <f t="shared" ref="L1013" si="1167">L1007*IFERROR(L$996/L$994,0)</f>
        <v>1.1870811266043596E-5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1.6472413131514336E-2</v>
      </c>
      <c r="I1014" s="1">
        <f t="shared" si="1168"/>
        <v>1.7442371022953991E-2</v>
      </c>
      <c r="J1014" s="1">
        <f t="shared" si="1168"/>
        <v>3.953537452785448E-2</v>
      </c>
      <c r="K1014" s="1">
        <f t="shared" si="1168"/>
        <v>9.0819521632805498E-6</v>
      </c>
      <c r="L1014" s="1">
        <f t="shared" ref="L1014" si="1169">L1008*IFERROR(L$996/L$994,0)</f>
        <v>2.2830681940819474E-5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70">G1015</f>
        <v>0.10000182413697438</v>
      </c>
      <c r="H1016" s="1">
        <f t="shared" ref="H1016:H1017" si="1171">H1015</f>
        <v>2.6341168928954148E-2</v>
      </c>
      <c r="I1016" s="1">
        <f t="shared" ref="I1016:I1017" si="1172">I1015</f>
        <v>0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0.10000470528783008</v>
      </c>
      <c r="G1017" s="1">
        <f t="shared" si="1170"/>
        <v>0.10000182413697438</v>
      </c>
      <c r="H1017" s="1">
        <f t="shared" si="1171"/>
        <v>2.6341168928954148E-2</v>
      </c>
      <c r="I1017" s="1">
        <f t="shared" si="1172"/>
        <v>0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76">G1021+G1023</f>
        <v>13.331599971512588</v>
      </c>
      <c r="H1020" s="1">
        <f t="shared" si="1176"/>
        <v>15.518627302805307</v>
      </c>
      <c r="I1020" s="1">
        <f t="shared" si="1176"/>
        <v>12.185114466261135</v>
      </c>
      <c r="J1020" s="1">
        <f t="shared" si="1176"/>
        <v>9.4669483100267975</v>
      </c>
      <c r="K1020" s="1">
        <f t="shared" si="1176"/>
        <v>6.7998999932006274</v>
      </c>
      <c r="L1020" s="1">
        <f t="shared" ref="L1020" si="1177">L1021+L1023</f>
        <v>2.7351498192595263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78">G1022</f>
        <v>12.137105551350412</v>
      </c>
      <c r="H1021" s="1">
        <f t="shared" si="1178"/>
        <v>13.173420105927852</v>
      </c>
      <c r="I1021" s="1">
        <f t="shared" si="1178"/>
        <v>10.250797256856762</v>
      </c>
      <c r="J1021" s="1">
        <f t="shared" si="1178"/>
        <v>7.8834007439012188</v>
      </c>
      <c r="K1021" s="1">
        <f t="shared" si="1178"/>
        <v>5.5845967268288801</v>
      </c>
      <c r="L1021" s="1">
        <f t="shared" si="1178"/>
        <v>2.1953406837119229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[2]Residential!F$22-J1024-J1025</f>
        <v>7.8834007439012188</v>
      </c>
      <c r="K1022" s="1">
        <f>[2]Residential!G$22-K1024-K1025</f>
        <v>5.5845967268288801</v>
      </c>
      <c r="L1022" s="1">
        <f>[2]Residential!H$22-L1024-L1025</f>
        <v>2.1953406837119229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79">G1024</f>
        <v>1.1944944201621766</v>
      </c>
      <c r="H1023" s="1">
        <f t="shared" ref="H1023" si="1180">H1024</f>
        <v>2.3452071968774555</v>
      </c>
      <c r="I1023" s="1">
        <f t="shared" ref="I1023" si="1181">I1024</f>
        <v>1.9343172094043732</v>
      </c>
      <c r="J1023" s="1">
        <f t="shared" ref="J1023" si="1182">J1024</f>
        <v>1.5835475661255789</v>
      </c>
      <c r="K1023" s="1">
        <f t="shared" ref="K1023:L1023" si="1183">K1024</f>
        <v>1.2153032663717478</v>
      </c>
      <c r="L1023" s="1">
        <f t="shared" si="1183"/>
        <v>0.53980913554760346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1.5835475661255789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1.2153032663717478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0.53980913554760346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84">G1026+G1028</f>
        <v>3.8319960552868437</v>
      </c>
      <c r="H1025" s="1">
        <f t="shared" si="1184"/>
        <v>0.30768276463054339</v>
      </c>
      <c r="I1025" s="1">
        <f t="shared" si="1184"/>
        <v>0.26820077425479172</v>
      </c>
      <c r="J1025" s="1">
        <f t="shared" si="1184"/>
        <v>0.22033559096104452</v>
      </c>
      <c r="K1025" s="1">
        <f t="shared" si="1184"/>
        <v>0.16277476850599959</v>
      </c>
      <c r="L1025" s="1">
        <f t="shared" ref="L1025" si="1185">L1026+L1028</f>
        <v>5.6839076886773907E-2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86">G1027</f>
        <v>3.5202544121831867</v>
      </c>
      <c r="H1026" s="1">
        <f t="shared" si="1186"/>
        <v>0.22450656490868859</v>
      </c>
      <c r="I1026" s="1">
        <f t="shared" si="1186"/>
        <v>0.19419695071165075</v>
      </c>
      <c r="J1026" s="1">
        <f t="shared" si="1186"/>
        <v>0.15711527871606634</v>
      </c>
      <c r="K1026" s="1">
        <f t="shared" si="1186"/>
        <v>0.11366130538914117</v>
      </c>
      <c r="L1026" s="1">
        <f t="shared" si="1186"/>
        <v>3.9119962944332863E-2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0.15711527871606634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0.11366130538914117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3.9119962944332863E-2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87">G1029</f>
        <v>0.31174164310365682</v>
      </c>
      <c r="H1028" s="1">
        <f t="shared" si="1187"/>
        <v>8.317619972185479E-2</v>
      </c>
      <c r="I1028" s="1">
        <f t="shared" si="1187"/>
        <v>7.4003823543141001E-2</v>
      </c>
      <c r="J1028" s="1">
        <f t="shared" si="1187"/>
        <v>6.3220312244978177E-2</v>
      </c>
      <c r="K1028" s="1">
        <f t="shared" si="1187"/>
        <v>4.9113463116858436E-2</v>
      </c>
      <c r="L1028" s="1">
        <f t="shared" si="1187"/>
        <v>1.7719113942441047E-2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6.3220312244978177E-2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4.9113463116858436E-2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1.7719113942441047E-2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[2]Residential!F$23</f>
        <v>1.8688018642251301</v>
      </c>
      <c r="K1030" s="1">
        <f>[2]Residential!G$23</f>
        <v>2.2019619311130061</v>
      </c>
      <c r="L1030" s="1">
        <f>[2]Residential!H$23</f>
        <v>2.4902791565321265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88">G1032</f>
        <v>0.94130088727139538</v>
      </c>
      <c r="H1031" s="1">
        <f t="shared" si="1188"/>
        <v>3.7008437331993833E-2</v>
      </c>
      <c r="I1031" s="1">
        <f t="shared" si="1188"/>
        <v>4.6034461850921748E-2</v>
      </c>
      <c r="J1031" s="1">
        <f t="shared" si="1188"/>
        <v>4.8628450071158819E-2</v>
      </c>
      <c r="K1031" s="1">
        <f t="shared" si="1188"/>
        <v>5.001632383457353E-2</v>
      </c>
      <c r="L1031" s="1">
        <f t="shared" si="1188"/>
        <v>4.9027416706553521E-2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4.8628450071158819E-2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5.001632383457353E-2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4.9027416706553521E-2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9">G1030-G1031</f>
        <v>1.986738375589749</v>
      </c>
      <c r="H1033" s="1">
        <f t="shared" si="1189"/>
        <v>1.0124041724445625</v>
      </c>
      <c r="I1033" s="1">
        <f t="shared" si="1189"/>
        <v>1.4702698119522437</v>
      </c>
      <c r="J1033" s="1">
        <f t="shared" si="1189"/>
        <v>1.8201734141539712</v>
      </c>
      <c r="K1033" s="1">
        <f t="shared" si="1189"/>
        <v>2.1519456072784324</v>
      </c>
      <c r="L1033" s="1">
        <f t="shared" ref="L1033" si="1190">L1030-L1031</f>
        <v>2.4412517398255731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1">G1033</f>
        <v>1.986738375589749</v>
      </c>
      <c r="H1034" s="1">
        <f t="shared" si="1191"/>
        <v>1.0124041724445625</v>
      </c>
      <c r="I1034" s="1">
        <f t="shared" si="1191"/>
        <v>1.4702698119522437</v>
      </c>
      <c r="J1034" s="1">
        <f t="shared" si="1191"/>
        <v>1.8201734141539712</v>
      </c>
      <c r="K1034" s="1">
        <f t="shared" si="1191"/>
        <v>2.1519456072784324</v>
      </c>
      <c r="L1034" s="1">
        <f t="shared" ref="L1034" si="1192">L1033</f>
        <v>2.4412517398255731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[2]Residential!F$24</f>
        <v>6.1214974310179807E-4</v>
      </c>
      <c r="K1035" s="1">
        <f>[2]Residential!G$24</f>
        <v>2.4357271315789318E-4</v>
      </c>
      <c r="L1035" s="1">
        <f>[2]Residential!H$24</f>
        <v>2.2979853227370383E-3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2.6982321571862584E-3</v>
      </c>
      <c r="J1036" s="1">
        <f t="shared" si="1193"/>
        <v>6.1214974310179807E-4</v>
      </c>
      <c r="K1036" s="1">
        <f t="shared" si="1193"/>
        <v>2.4357271315789318E-4</v>
      </c>
      <c r="L1036" s="1">
        <f t="shared" ref="L1036" si="1194">L1035-L1038-L1040</f>
        <v>2.2979853227370383E-3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[2]Residential!F$21</f>
        <v>17.503850653200281</v>
      </c>
      <c r="K1042" s="1">
        <f>[2]Residential!G$21</f>
        <v>19.0758847290987</v>
      </c>
      <c r="L1042" s="1">
        <f>[2]Residential!H$21</f>
        <v>17.19884688318194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99">SUM(G1044:G1046)</f>
        <v>7.830431706286195E-3</v>
      </c>
      <c r="H1043" s="1">
        <f t="shared" si="1199"/>
        <v>6.7381910906558276E-2</v>
      </c>
      <c r="I1043" s="1">
        <f t="shared" si="1199"/>
        <v>3.7453558474575548</v>
      </c>
      <c r="J1043" s="1">
        <f t="shared" si="1199"/>
        <v>4.4973053389704951</v>
      </c>
      <c r="K1043" s="1">
        <f t="shared" si="1199"/>
        <v>6.3431299636243237</v>
      </c>
      <c r="L1043" s="1">
        <f t="shared" ref="L1043" si="1200">SUM(L1044:L1046)</f>
        <v>6.0799993531195149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0.10499871231773246</v>
      </c>
      <c r="G1044" s="1">
        <f t="shared" si="1201"/>
        <v>7.830431706286195E-3</v>
      </c>
      <c r="H1044" s="1">
        <f t="shared" si="1201"/>
        <v>6.7381910906558276E-2</v>
      </c>
      <c r="I1044" s="1">
        <f t="shared" si="1201"/>
        <v>3.7359558867312992</v>
      </c>
      <c r="J1044" s="1">
        <f t="shared" si="1201"/>
        <v>4.3967759487596254</v>
      </c>
      <c r="K1044" s="1">
        <f t="shared" si="1201"/>
        <v>3.8257865297159008</v>
      </c>
      <c r="L1044" s="1">
        <f t="shared" ref="L1044" si="1202">SUM(L244,L246)</f>
        <v>4.6285420438972089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9.3999607262555754E-3</v>
      </c>
      <c r="J1046" s="1">
        <f t="shared" si="1204"/>
        <v>0.10052939021086994</v>
      </c>
      <c r="K1046" s="1">
        <f t="shared" si="1204"/>
        <v>2.5173434339084229</v>
      </c>
      <c r="L1046" s="1">
        <f t="shared" ref="L1046" si="1205">SUM(L285,L286)</f>
        <v>1.4514573092223062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206">G1042-G1043</f>
        <v>9.6660629796126685</v>
      </c>
      <c r="H1047" s="1">
        <f t="shared" si="1206"/>
        <v>8.3582539559037077</v>
      </c>
      <c r="I1047" s="1">
        <f t="shared" si="1206"/>
        <v>11.549112257987121</v>
      </c>
      <c r="J1047" s="1">
        <f t="shared" si="1206"/>
        <v>13.006545314229786</v>
      </c>
      <c r="K1047" s="1">
        <f t="shared" si="1206"/>
        <v>12.732754765474375</v>
      </c>
      <c r="L1047" s="1">
        <f t="shared" ref="L1047" si="1207">L1042-L1043</f>
        <v>11.118847530062425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[2]Residential!F$25</f>
        <v>53.450856583387576</v>
      </c>
      <c r="K1048" s="1">
        <f>[2]Residential!G$25</f>
        <v>63.028908757796991</v>
      </c>
      <c r="L1048" s="1">
        <f>[2]Residential!H$25</f>
        <v>62.488873521469543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208">G1048-G1052</f>
        <v>15.287315551991313</v>
      </c>
      <c r="H1049" s="1">
        <f t="shared" si="1208"/>
        <v>24.687680052560303</v>
      </c>
      <c r="I1049" s="1">
        <f t="shared" si="1208"/>
        <v>38.079895541281694</v>
      </c>
      <c r="J1049" s="1">
        <f t="shared" si="1208"/>
        <v>44.762222200546034</v>
      </c>
      <c r="K1049" s="1">
        <f t="shared" si="1208"/>
        <v>51.681344665553539</v>
      </c>
      <c r="L1049" s="1">
        <f t="shared" ref="L1049" si="1209">L1048-L1052</f>
        <v>48.995353752142904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210">G1049-G1051</f>
        <v>15.287315551991313</v>
      </c>
      <c r="H1050" s="1">
        <f t="shared" si="1210"/>
        <v>22.751436027152003</v>
      </c>
      <c r="I1050" s="1">
        <f t="shared" si="1210"/>
        <v>34.980438789416134</v>
      </c>
      <c r="J1050" s="1">
        <f t="shared" si="1210"/>
        <v>40.877882767023507</v>
      </c>
      <c r="K1050" s="1">
        <f t="shared" si="1210"/>
        <v>47.224727243141714</v>
      </c>
      <c r="L1050" s="1">
        <f t="shared" ref="L1050" si="1211">L1049-L1051</f>
        <v>45.046173503190474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3.8843394335225279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4.4566174224118278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3.9491802489524273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12">SUM(G1053:G1054)</f>
        <v>2.3490296032579741</v>
      </c>
      <c r="H1052" s="1">
        <f t="shared" si="1212"/>
        <v>3.0000706983514025</v>
      </c>
      <c r="I1052" s="1">
        <f t="shared" si="1212"/>
        <v>5.9249859055819263</v>
      </c>
      <c r="J1052" s="1">
        <f t="shared" si="1212"/>
        <v>8.6886343828415384</v>
      </c>
      <c r="K1052" s="1">
        <f t="shared" si="1212"/>
        <v>11.34756409224345</v>
      </c>
      <c r="L1052" s="1">
        <f t="shared" ref="L1052" si="1213">SUM(L1053:L1054)</f>
        <v>13.493519769326635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6.8182878452883902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8.9235121821252577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10.763333122109657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1.8703465375531487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2.4240519101181928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2.7301866472169785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[2]Residential!F$245</f>
        <v>146.27510758745296</v>
      </c>
      <c r="K1055" s="3">
        <f>[2]Residential!G$245</f>
        <v>146.04586635061003</v>
      </c>
      <c r="L1055" s="3">
        <f>[2]Residential!H$245</f>
        <v>142.84511308693436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[2]Residential!F$116</f>
        <v>121.04675560434237</v>
      </c>
      <c r="K1056" s="1">
        <f>[2]Residential!G$116</f>
        <v>118.39592452476498</v>
      </c>
      <c r="L1056" s="1">
        <f>[2]Residential!H$116</f>
        <v>114.3770061128298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16">SUM(G1058:G1059)</f>
        <v>29.954374928768992</v>
      </c>
      <c r="H1057" s="1">
        <f t="shared" si="1216"/>
        <v>34.976882044563531</v>
      </c>
      <c r="I1057" s="1">
        <f t="shared" si="1216"/>
        <v>50.155359171242424</v>
      </c>
      <c r="J1057" s="1">
        <f t="shared" si="1216"/>
        <v>57.107004450454461</v>
      </c>
      <c r="K1057" s="1">
        <f t="shared" si="1216"/>
        <v>64.631894186009617</v>
      </c>
      <c r="L1057" s="1">
        <f t="shared" ref="L1057" si="1217">SUM(L1058:L1059)</f>
        <v>59.571117976911019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[2]Residential!F$102</f>
        <v>2.5255943362626789E-2</v>
      </c>
      <c r="K1058" s="1">
        <f>[2]Residential!G$102</f>
        <v>1.998786763161672E-2</v>
      </c>
      <c r="L1058" s="1">
        <f>[2]Residential!H$102</f>
        <v>1.1573710595610985E-2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[2]Residential!F$104</f>
        <v>57.081748507091831</v>
      </c>
      <c r="K1059" s="1">
        <f>[2]Residential!G$104</f>
        <v>64.611906318378004</v>
      </c>
      <c r="L1059" s="1">
        <f>[2]Residential!H$104</f>
        <v>59.559544266315406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18">G1061</f>
        <v>38.437459084499402</v>
      </c>
      <c r="H1060" s="1">
        <f t="shared" si="1218"/>
        <v>34.726764555143092</v>
      </c>
      <c r="I1060" s="1">
        <f t="shared" si="1218"/>
        <v>16.221013243169139</v>
      </c>
      <c r="J1060" s="1">
        <f t="shared" si="1218"/>
        <v>9.744162282751299</v>
      </c>
      <c r="K1060" s="1">
        <f t="shared" si="1218"/>
        <v>2.6209970716093407</v>
      </c>
      <c r="L1060" s="1">
        <f t="shared" si="1218"/>
        <v>0.32055600604150436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[2]Residential!F$105</f>
        <v>9.744162282751299</v>
      </c>
      <c r="K1061" s="1">
        <f>[2]Residential!G$105</f>
        <v>2.6209970716093407</v>
      </c>
      <c r="L1061" s="1">
        <f>[2]Residential!H$105</f>
        <v>0.32055600604150436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19">SUM(G1063:G1064)</f>
        <v>38.875586745321236</v>
      </c>
      <c r="H1062" s="1">
        <f t="shared" si="1219"/>
        <v>35.386229731006857</v>
      </c>
      <c r="I1062" s="1">
        <f t="shared" si="1219"/>
        <v>26.55025137415964</v>
      </c>
      <c r="J1062" s="1">
        <f t="shared" si="1219"/>
        <v>19.214074334866631</v>
      </c>
      <c r="K1062" s="1">
        <f t="shared" si="1219"/>
        <v>12.37245122502887</v>
      </c>
      <c r="L1062" s="1">
        <f t="shared" ref="L1062" si="1220">SUM(L1063:L1064)</f>
        <v>8.8902005082860835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[2]Residential!F$106</f>
        <v>11.394459525909038</v>
      </c>
      <c r="K1063" s="1">
        <f>[2]Residential!G$106</f>
        <v>3.5867867915747991</v>
      </c>
      <c r="L1063" s="1">
        <f>[2]Residential!H$106</f>
        <v>1.4402635881735826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[2]Residential!F$107</f>
        <v>7.8196148089575903</v>
      </c>
      <c r="K1064" s="1">
        <f>[2]Residential!G$107</f>
        <v>8.7856644334540714</v>
      </c>
      <c r="L1064" s="1">
        <f>[2]Residential!H$107</f>
        <v>7.449936920112501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21">G1066</f>
        <v>7.2001313378621534E-2</v>
      </c>
      <c r="H1065" s="1">
        <f t="shared" si="1221"/>
        <v>2.1051899413794289E-2</v>
      </c>
      <c r="I1065" s="1">
        <f t="shared" si="1221"/>
        <v>0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SUM([2]Residential!F$109:F$110)</f>
        <v>11.683650472438854</v>
      </c>
      <c r="K1067" s="1">
        <f>SUM([2]Residential!G$109:G$110)</f>
        <v>12.470973727603804</v>
      </c>
      <c r="L1067" s="1">
        <f>SUM([2]Residential!H$109:H$110)</f>
        <v>10.746380844684957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22">IFERROR(G$1068/G$1043,0)*G1044</f>
        <v>7.4913257962543559E-3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28">G1067-G1068</f>
        <v>7.6930524965287033</v>
      </c>
      <c r="H1072" s="1">
        <f t="shared" si="1228"/>
        <v>5.9353608026295612</v>
      </c>
      <c r="I1072" s="1">
        <f t="shared" si="1228"/>
        <v>10.51304094221844</v>
      </c>
      <c r="J1072" s="1">
        <f t="shared" si="1228"/>
        <v>11.683650472438854</v>
      </c>
      <c r="K1072" s="1">
        <f t="shared" si="1228"/>
        <v>12.470973727603804</v>
      </c>
      <c r="L1072" s="1">
        <f t="shared" ref="L1072" si="1229">L1067-L1068</f>
        <v>10.746380844684957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30">G1074</f>
        <v>8.7387159969723012</v>
      </c>
      <c r="H1073" s="1">
        <f t="shared" si="1230"/>
        <v>9.4560270606056491</v>
      </c>
      <c r="I1073" s="1">
        <f t="shared" si="1230"/>
        <v>7.4130663791196207</v>
      </c>
      <c r="J1073" s="1">
        <f t="shared" si="1230"/>
        <v>5.7097175810437708</v>
      </c>
      <c r="K1073" s="1">
        <f t="shared" si="1230"/>
        <v>4.0597719841604478</v>
      </c>
      <c r="L1073" s="1">
        <f t="shared" si="1230"/>
        <v>1.6550605832160856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[2]Residential!F$111</f>
        <v>5.7097175810437708</v>
      </c>
      <c r="K1074" s="1">
        <f>[2]Residential!G$111</f>
        <v>4.0597719841604478</v>
      </c>
      <c r="L1074" s="1">
        <f>[2]Residential!H$111</f>
        <v>1.6550605832160856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31">G1076</f>
        <v>3.1682289709648677</v>
      </c>
      <c r="H1075" s="1">
        <f t="shared" si="1231"/>
        <v>0.163341102714536</v>
      </c>
      <c r="I1075" s="1">
        <f t="shared" si="1231"/>
        <v>0.14129626645436419</v>
      </c>
      <c r="J1075" s="1">
        <f t="shared" si="1231"/>
        <v>0.11431642089844013</v>
      </c>
      <c r="K1075" s="1">
        <f t="shared" si="1231"/>
        <v>8.2699235877154512E-2</v>
      </c>
      <c r="L1075" s="1">
        <f t="shared" si="1231"/>
        <v>2.9226218119994884E-2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[2]Residential!F$112</f>
        <v>0.11431642089844013</v>
      </c>
      <c r="K1076" s="1">
        <f>[2]Residential!G$112</f>
        <v>8.2699235877154512E-2</v>
      </c>
      <c r="L1076" s="1">
        <f>[2]Residential!H$112</f>
        <v>2.9226218119994884E-2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32">G1078</f>
        <v>0.94130088727139527</v>
      </c>
      <c r="H1077" s="1">
        <f t="shared" si="1232"/>
        <v>3.7008437331993833E-2</v>
      </c>
      <c r="I1077" s="1">
        <f t="shared" si="1232"/>
        <v>4.6034461850921735E-2</v>
      </c>
      <c r="J1077" s="1">
        <f t="shared" si="1232"/>
        <v>4.8628450071158826E-2</v>
      </c>
      <c r="K1077" s="1">
        <f t="shared" si="1232"/>
        <v>5.0016323834573523E-2</v>
      </c>
      <c r="L1077" s="1">
        <f t="shared" si="1232"/>
        <v>4.9027416706553521E-2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[2]Residential!F$113</f>
        <v>4.8628450071158826E-2</v>
      </c>
      <c r="K1078" s="1">
        <f>[2]Residential!G$113</f>
        <v>5.0016323834573523E-2</v>
      </c>
      <c r="L1078" s="1">
        <f>[2]Residential!H$113</f>
        <v>4.9027416706553521E-2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[2]Residential!F$10-[2]Residential!F$223</f>
        <v>17.425201611817734</v>
      </c>
      <c r="K1081" s="1">
        <f>[2]Residential!G$10-[2]Residential!G$223</f>
        <v>22.107120770641181</v>
      </c>
      <c r="L1081" s="1">
        <f>[2]Residential!H$10-[2]Residential!H$223</f>
        <v>33.115436558863586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[2]Residential!F$224</f>
        <v>25.228351983110631</v>
      </c>
      <c r="K1082" s="1">
        <f>[2]Residential!G$224</f>
        <v>27.649941825845012</v>
      </c>
      <c r="L1082" s="1">
        <f>[2]Residential!H$224</f>
        <v>28.468106974104565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34">SUM(G1084:G1085)</f>
        <v>10.604175161449239</v>
      </c>
      <c r="H1083" s="1">
        <f t="shared" si="1234"/>
        <v>8.124141848449522</v>
      </c>
      <c r="I1083" s="1">
        <f t="shared" si="1234"/>
        <v>10.907391190992428</v>
      </c>
      <c r="J1083" s="1">
        <f t="shared" si="1234"/>
        <v>13.908679384300966</v>
      </c>
      <c r="K1083" s="1">
        <f t="shared" si="1234"/>
        <v>16.783969736677669</v>
      </c>
      <c r="L1083" s="1">
        <f t="shared" ref="L1083" si="1235">SUM(L1084:L1085)</f>
        <v>18.349712580634833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[2]Residential!F$231-J1058</f>
        <v>1.9039418306477507</v>
      </c>
      <c r="K1084" s="1">
        <f>[2]Residential!G$231-K1058</f>
        <v>1.7476160395707354</v>
      </c>
      <c r="L1084" s="1">
        <f>[2]Residential!H$231-L1058</f>
        <v>1.485876388760782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[2]Residential!F$233-J1059</f>
        <v>12.004737553653214</v>
      </c>
      <c r="K1085" s="1">
        <f>[2]Residential!G$233-K1059</f>
        <v>15.036353697106932</v>
      </c>
      <c r="L1085" s="1">
        <f>[2]Residential!H$233-L1059</f>
        <v>16.86383619187405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36">G1087</f>
        <v>5.5418339964880516</v>
      </c>
      <c r="H1086" s="1">
        <f t="shared" si="1236"/>
        <v>4.5163214769155218</v>
      </c>
      <c r="I1086" s="1">
        <f t="shared" si="1236"/>
        <v>1.9156966048350057</v>
      </c>
      <c r="J1086" s="1">
        <f t="shared" si="1236"/>
        <v>1.2899845793592615</v>
      </c>
      <c r="K1086" s="1">
        <f t="shared" si="1236"/>
        <v>0.48313991181154492</v>
      </c>
      <c r="L1086" s="1">
        <f t="shared" si="1236"/>
        <v>3.754427611357436E-2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[2]Residential!F$234-J1061</f>
        <v>1.2899845793592615</v>
      </c>
      <c r="K1087" s="1">
        <f>[2]Residential!G$234-K1061</f>
        <v>0.48313991181154492</v>
      </c>
      <c r="L1087" s="1">
        <f>[2]Residential!H$234-L1061</f>
        <v>3.754427611357436E-2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37">SUM(G1089:G1090)</f>
        <v>5.5409727631509256</v>
      </c>
      <c r="H1088" s="1">
        <f t="shared" si="1237"/>
        <v>6.0507108951267794</v>
      </c>
      <c r="I1088" s="1">
        <f t="shared" si="1237"/>
        <v>4.8935167287481898</v>
      </c>
      <c r="J1088" s="1">
        <f t="shared" si="1237"/>
        <v>4.9157219300720136</v>
      </c>
      <c r="K1088" s="1">
        <f t="shared" si="1237"/>
        <v>4.6736043378199632</v>
      </c>
      <c r="L1088" s="1">
        <f t="shared" ref="L1088" si="1238">SUM(L1089:L1090)</f>
        <v>4.315483715979207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[2]Residential!F$235-J1063</f>
        <v>1.7991060585001897</v>
      </c>
      <c r="K1089" s="1">
        <f>[2]Residential!G$235-K1063</f>
        <v>0.79140309558286903</v>
      </c>
      <c r="L1089" s="1">
        <f>[2]Residential!H$235-L1063</f>
        <v>0.35450881416999502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[2]Residential!F$236-J1064</f>
        <v>3.116615871571824</v>
      </c>
      <c r="K1090" s="1">
        <f>[2]Residential!G$236-K1064</f>
        <v>3.8822012422370946</v>
      </c>
      <c r="L1090" s="1">
        <f>[2]Residential!H$236-L1064</f>
        <v>3.9609749018092124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39">SUM(G1094,G1098)</f>
        <v>1.463377197543414</v>
      </c>
      <c r="H1093" s="1">
        <f t="shared" si="1239"/>
        <v>0.9609287319997426</v>
      </c>
      <c r="I1093" s="1">
        <f t="shared" si="1239"/>
        <v>2.00535513675249</v>
      </c>
      <c r="J1093" s="1">
        <f t="shared" si="1239"/>
        <v>2.5472514356954452</v>
      </c>
      <c r="K1093" s="1">
        <f t="shared" si="1239"/>
        <v>2.9715392438020647</v>
      </c>
      <c r="L1093" s="1">
        <f t="shared" ref="L1093" si="1240">SUM(L1094,L1098)</f>
        <v>3.0478890928555789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41">IFERROR(G$1094/G$1043,0)*G1044</f>
        <v>1.423618331711219E-3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[2]Residential!F$239-J1072</f>
        <v>2.5472514356954452</v>
      </c>
      <c r="K1098" s="1">
        <f>[2]Residential!G$239-K1072</f>
        <v>2.9715392438020647</v>
      </c>
      <c r="L1098" s="1">
        <f>[2]Residential!H$239-L1072</f>
        <v>3.0478890928555789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45">G1100</f>
        <v>0.59724721008108794</v>
      </c>
      <c r="H1099" s="1">
        <f t="shared" si="1245"/>
        <v>1.0153907950684786</v>
      </c>
      <c r="I1099" s="1">
        <f t="shared" si="1245"/>
        <v>0.86068834829869001</v>
      </c>
      <c r="J1099" s="1">
        <f t="shared" si="1245"/>
        <v>0.71808400079486123</v>
      </c>
      <c r="K1099" s="1">
        <f t="shared" si="1245"/>
        <v>0.5631433025852699</v>
      </c>
      <c r="L1099" s="1">
        <f t="shared" si="1245"/>
        <v>0.26741140909221084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[2]Residential!F$240-J1074</f>
        <v>0.71808400079486123</v>
      </c>
      <c r="K1100" s="1">
        <f>[2]Residential!G$240-K1074</f>
        <v>0.5631433025852699</v>
      </c>
      <c r="L1100" s="1">
        <f>[2]Residential!H$240-L1074</f>
        <v>0.26741140909221084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46">G1102</f>
        <v>0.19483852693978543</v>
      </c>
      <c r="H1101" s="1">
        <f t="shared" ref="H1101" si="1247">H1102</f>
        <v>3.6707341930770188E-2</v>
      </c>
      <c r="I1101" s="1">
        <f t="shared" ref="I1101" si="1248">I1102</f>
        <v>3.2923923915890885E-2</v>
      </c>
      <c r="J1101" s="1">
        <f t="shared" ref="J1101" si="1249">J1102</f>
        <v>2.8457238734112267E-2</v>
      </c>
      <c r="K1101" s="1">
        <f t="shared" ref="K1101:L1101" si="1250">K1102</f>
        <v>2.2599685870068165E-2</v>
      </c>
      <c r="L1101" s="1">
        <f t="shared" si="1250"/>
        <v>8.8141596035851595E-3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[2]Residential!F$241-J1076</f>
        <v>2.8457238734112267E-2</v>
      </c>
      <c r="K1102" s="1">
        <f>[2]Residential!G$241-K1076</f>
        <v>2.2599685870068165E-2</v>
      </c>
      <c r="L1102" s="1">
        <f>[2]Residential!H$241-L1076</f>
        <v>8.8141596035851595E-3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1">G1104</f>
        <v>1.9867383755897492</v>
      </c>
      <c r="H1103" s="1">
        <f t="shared" ref="H1103" si="1252">H1104</f>
        <v>1.0124041724445625</v>
      </c>
      <c r="I1103" s="1">
        <f t="shared" ref="I1103" si="1253">I1104</f>
        <v>1.4702698119522439</v>
      </c>
      <c r="J1103" s="1">
        <f t="shared" ref="J1103" si="1254">J1104</f>
        <v>1.8201734141539712</v>
      </c>
      <c r="K1103" s="1">
        <f t="shared" ref="K1103:L1103" si="1255">K1104</f>
        <v>2.1519456072784324</v>
      </c>
      <c r="L1103" s="1">
        <f t="shared" si="1255"/>
        <v>2.4412517398255731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[2]Residential!F$242-J1078</f>
        <v>1.8201734141539712</v>
      </c>
      <c r="K1104" s="1">
        <f>[2]Residential!G$242-K1078</f>
        <v>2.1519456072784324</v>
      </c>
      <c r="L1104" s="1">
        <f>[2]Residential!H$242-L1078</f>
        <v>2.4412517398255731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63">IFERROR(G1058/G975,"-")</f>
        <v>0.95</v>
      </c>
      <c r="H1109" s="4">
        <f t="shared" si="1263"/>
        <v>0.91787084734418256</v>
      </c>
      <c r="I1109" s="4">
        <f t="shared" si="1263"/>
        <v>0.92086320470649341</v>
      </c>
      <c r="J1109" s="4">
        <f t="shared" si="1263"/>
        <v>0.93981306451721158</v>
      </c>
      <c r="K1109" s="4">
        <f t="shared" si="1263"/>
        <v>0.94441498662912859</v>
      </c>
      <c r="L1109" s="4">
        <f t="shared" ref="L1109" si="1264">IFERROR(L1058/L975,"-")</f>
        <v>0.94674361011164987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3.2533333333333325</v>
      </c>
      <c r="H1110" s="4">
        <f t="shared" si="1263"/>
        <v>2.9970855095199793</v>
      </c>
      <c r="I1110" s="4">
        <f t="shared" si="1263"/>
        <v>3.3288760736558261</v>
      </c>
      <c r="J1110" s="4">
        <f t="shared" si="1263"/>
        <v>3.522724109342759</v>
      </c>
      <c r="K1110" s="4">
        <f t="shared" si="1263"/>
        <v>3.7160660759744242</v>
      </c>
      <c r="L1110" s="4">
        <f t="shared" ref="L1110" si="1265">IFERROR(L1059/L976,"-")</f>
        <v>4.1037706014954347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66">IFERROR(G1061/G985,"-")</f>
        <v>0.89583333333333404</v>
      </c>
      <c r="H1111" s="4">
        <f t="shared" si="1266"/>
        <v>0.85419766303333644</v>
      </c>
      <c r="I1111" s="4">
        <f t="shared" si="1266"/>
        <v>0.86992866209334496</v>
      </c>
      <c r="J1111" s="4">
        <f t="shared" si="1266"/>
        <v>0.87029653072067004</v>
      </c>
      <c r="K1111" s="4">
        <f t="shared" si="1266"/>
        <v>0.87155506644365333</v>
      </c>
      <c r="L1111" s="4">
        <f t="shared" ref="L1111" si="1267">IFERROR(L1061/L985,"-")</f>
        <v>0.86934108144430344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68">IFERROR(G1063/G998,"-")</f>
        <v>0.95000000000000018</v>
      </c>
      <c r="H1112" s="4">
        <f t="shared" si="1268"/>
        <v>0.93417786919014778</v>
      </c>
      <c r="I1112" s="4">
        <f t="shared" si="1268"/>
        <v>0.93423885523527017</v>
      </c>
      <c r="J1112" s="4">
        <f t="shared" si="1268"/>
        <v>0.93371084366998747</v>
      </c>
      <c r="K1112" s="4">
        <f t="shared" si="1268"/>
        <v>0.93155660457562339</v>
      </c>
      <c r="L1112" s="4">
        <f t="shared" ref="L1112" si="1269">IFERROR(L1063/L998,"-")</f>
        <v>0.94003357319698189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1.8585625307370026</v>
      </c>
      <c r="I1113" s="4">
        <f t="shared" si="1270"/>
        <v>1.9395418352123379</v>
      </c>
      <c r="J1113" s="4">
        <f t="shared" si="1270"/>
        <v>1.9870565749399676</v>
      </c>
      <c r="K1113" s="4">
        <f t="shared" si="1270"/>
        <v>2.0294684744804532</v>
      </c>
      <c r="L1113" s="4">
        <f t="shared" ref="L1113" si="1271">IFERROR(L1064/L999,"-")</f>
        <v>2.1280933295040341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72">IFERROR(G1066/G1017,"-")</f>
        <v>0.71999999999999986</v>
      </c>
      <c r="H1114" s="4">
        <f t="shared" si="1272"/>
        <v>0.7992014124572161</v>
      </c>
      <c r="I1114" s="4" t="str">
        <f t="shared" si="1272"/>
        <v>-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74">IFERROR(G1074/G1022,"-")</f>
        <v>0.72000000000000031</v>
      </c>
      <c r="H1119" s="4">
        <f t="shared" si="1274"/>
        <v>0.71781109116459219</v>
      </c>
      <c r="I1119" s="4">
        <f t="shared" si="1274"/>
        <v>0.72316973922794325</v>
      </c>
      <c r="J1119" s="4">
        <f t="shared" si="1274"/>
        <v>0.72427087833393988</v>
      </c>
      <c r="K1119" s="4">
        <f t="shared" si="1274"/>
        <v>0.72695884461217342</v>
      </c>
      <c r="L1119" s="4">
        <f t="shared" ref="L1119" si="1275">IFERROR(L1074/L1022,"-")</f>
        <v>0.75389692155555477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76">IFERROR(G1076/G1027,"-")</f>
        <v>0.89999999999999991</v>
      </c>
      <c r="H1120" s="4">
        <f t="shared" si="1276"/>
        <v>0.72755601949087845</v>
      </c>
      <c r="I1120" s="4">
        <f t="shared" si="1276"/>
        <v>0.72759261119483265</v>
      </c>
      <c r="J1120" s="4">
        <f t="shared" si="1276"/>
        <v>0.72759582538773382</v>
      </c>
      <c r="K1120" s="4">
        <f t="shared" si="1276"/>
        <v>0.72759357807846647</v>
      </c>
      <c r="L1120" s="4">
        <f t="shared" ref="L1120" si="1277">IFERROR(L1076/L1027,"-")</f>
        <v>0.74709217290372609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80">IFERROR(G1084/G978,"-")</f>
        <v>0.79199999999999893</v>
      </c>
      <c r="H1123" s="4">
        <f t="shared" si="1280"/>
        <v>0.46572224291230924</v>
      </c>
      <c r="I1123" s="4">
        <f t="shared" si="1280"/>
        <v>0.48665298823441172</v>
      </c>
      <c r="J1123" s="4">
        <f t="shared" si="1280"/>
        <v>0.49853794722328715</v>
      </c>
      <c r="K1123" s="4">
        <f t="shared" si="1280"/>
        <v>0.50636322875671114</v>
      </c>
      <c r="L1123" s="4">
        <f t="shared" ref="L1123" si="1281">IFERROR(L1084/L978,"-")</f>
        <v>0.51948799722178107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80"/>
        <v>2.8259999999999987</v>
      </c>
      <c r="H1124" s="4">
        <f t="shared" si="1280"/>
        <v>1.8931008236249185</v>
      </c>
      <c r="I1124" s="4">
        <f t="shared" si="1280"/>
        <v>2.1445795883334213</v>
      </c>
      <c r="J1124" s="4">
        <f t="shared" si="1280"/>
        <v>2.3146349099446004</v>
      </c>
      <c r="K1124" s="4">
        <f t="shared" si="1280"/>
        <v>2.4597977324056317</v>
      </c>
      <c r="L1124" s="4">
        <f t="shared" ref="L1124" si="1282">IFERROR(L1085/L979,"-")</f>
        <v>2.7643353341555397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83">IFERROR(G1087/G991,"-")</f>
        <v>0.71458333333333279</v>
      </c>
      <c r="H1125" s="4">
        <f t="shared" si="1283"/>
        <v>0.50261318322596238</v>
      </c>
      <c r="I1125" s="4">
        <f t="shared" si="1283"/>
        <v>0.53996894934137185</v>
      </c>
      <c r="J1125" s="4">
        <f t="shared" si="1283"/>
        <v>0.55206165136781404</v>
      </c>
      <c r="K1125" s="4">
        <f t="shared" si="1283"/>
        <v>0.56068010086613929</v>
      </c>
      <c r="L1125" s="4">
        <f t="shared" ref="L1125" si="1284">IFERROR(L1087/L991,"-")</f>
        <v>0.58954132500824497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85">IFERROR(G1089/G1007,"-")</f>
        <v>0.754</v>
      </c>
      <c r="H1126" s="4">
        <f t="shared" si="1285"/>
        <v>0.52749652833694005</v>
      </c>
      <c r="I1126" s="4">
        <f t="shared" si="1285"/>
        <v>0.55134383753420202</v>
      </c>
      <c r="J1126" s="4">
        <f t="shared" si="1285"/>
        <v>0.55208638936690957</v>
      </c>
      <c r="K1126" s="4">
        <f t="shared" si="1285"/>
        <v>0.55207648999324166</v>
      </c>
      <c r="L1126" s="4">
        <f t="shared" ref="L1126" si="1286">IFERROR(L1089/L1007,"-")</f>
        <v>0.55396481067289827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2.01807290632031</v>
      </c>
      <c r="I1127" s="4">
        <f t="shared" si="1287"/>
        <v>2.3052428016494804</v>
      </c>
      <c r="J1127" s="4">
        <f t="shared" si="1287"/>
        <v>2.5007562863816086</v>
      </c>
      <c r="K1127" s="4">
        <f t="shared" si="1287"/>
        <v>2.6624167749648082</v>
      </c>
      <c r="L1127" s="4">
        <f t="shared" ref="L1127" si="1288">IFERROR(L1090/L1008,"-")</f>
        <v>3.2182423638105835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89">IFERROR(G1100/G1024,"-")</f>
        <v>0.49999999999999972</v>
      </c>
      <c r="H1132" s="4">
        <f t="shared" si="1289"/>
        <v>0.4329642158784216</v>
      </c>
      <c r="I1132" s="4">
        <f t="shared" si="1289"/>
        <v>0.44495718908674675</v>
      </c>
      <c r="J1132" s="4">
        <f t="shared" si="1289"/>
        <v>0.45346538124634744</v>
      </c>
      <c r="K1132" s="4">
        <f t="shared" si="1289"/>
        <v>0.46337677036491287</v>
      </c>
      <c r="L1132" s="4">
        <f t="shared" ref="L1132" si="1290">IFERROR(L1100/L1024,"-")</f>
        <v>0.4953814070244259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91">IFERROR(G1102/G1029,"-")</f>
        <v>0.62499999999999978</v>
      </c>
      <c r="H1133" s="4">
        <f t="shared" si="1291"/>
        <v>0.44132025812096853</v>
      </c>
      <c r="I1133" s="4">
        <f t="shared" si="1291"/>
        <v>0.44489490325723069</v>
      </c>
      <c r="J1133" s="4">
        <f t="shared" si="1291"/>
        <v>0.45012809528432424</v>
      </c>
      <c r="K1133" s="4">
        <f t="shared" si="1291"/>
        <v>0.46015256175878816</v>
      </c>
      <c r="L1133" s="4">
        <f t="shared" ref="L1133" si="1292">IFERROR(L1102/L1029,"-")</f>
        <v>0.49743794369273581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141.18542921400319</v>
      </c>
      <c r="G1136" s="3">
        <f t="shared" si="1295"/>
        <v>135.64945888743546</v>
      </c>
      <c r="H1136" s="3">
        <f t="shared" si="1295"/>
        <v>121.92214798980926</v>
      </c>
      <c r="I1136" s="3">
        <f t="shared" si="1295"/>
        <v>101.63670188429464</v>
      </c>
      <c r="J1136" s="3">
        <f t="shared" si="1295"/>
        <v>70.198458525738701</v>
      </c>
      <c r="K1136" s="3">
        <f t="shared" si="1295"/>
        <v>60.763876890812689</v>
      </c>
      <c r="L1136" s="3">
        <f t="shared" ref="L1136" si="1296">L1137+L1152+L1157+L1180+L1203</f>
        <v>41.675222335907833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97">SUM(G1138:G1151)</f>
        <v>1.7816624523083531</v>
      </c>
      <c r="H1137" s="1">
        <f t="shared" si="1297"/>
        <v>4.4196917102718807</v>
      </c>
      <c r="I1137" s="1">
        <f t="shared" si="1297"/>
        <v>10.613739580981326</v>
      </c>
      <c r="J1137" s="1">
        <f t="shared" si="1297"/>
        <v>30.366335275482609</v>
      </c>
      <c r="K1137" s="1">
        <f t="shared" si="1297"/>
        <v>36.880251598895505</v>
      </c>
      <c r="L1137" s="1">
        <f t="shared" ref="L1137" si="1298">SUM(L1138:L1151)</f>
        <v>41.654463835076385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2.3038092543691256E-3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1.3052819631518941E-3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1.2058560849807802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8.8788004768729767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11.182912300628148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11.387397317606604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11.209421221718406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13.044094671774278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11.799376528427686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9.2527778921803314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11.864854572031566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16.652267138042806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1.4515518916653378E-4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1.2735682416760945E-4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0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2.3476707362836365E-3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3.0459050082995345E-4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0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0.12819027362791427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1.5645190072001186E-2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6.4577761699679773E-3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5.3489575114785656E-4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0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1.5070462980900707E-4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1.3385556277171351E-4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0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5.3510766155160045E-4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3.6769334857684343E-4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0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0.7730198489631841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0.41123177628419416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1.5236858217093905E-3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6.4312277945665199E-4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0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[2]Transport!F$32</f>
        <v>0.11066165265693383</v>
      </c>
      <c r="K1151" s="1">
        <f>[2]Transport!G$32</f>
        <v>0.3580962913752111</v>
      </c>
      <c r="L1151" s="1">
        <f>[2]Transport!H$32</f>
        <v>0.60956676601850635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303">SUM(G1153:G1156)</f>
        <v>2.084786597883327E-3</v>
      </c>
      <c r="H1152" s="1">
        <f t="shared" si="1303"/>
        <v>2.0697649180767431E-3</v>
      </c>
      <c r="I1152" s="1">
        <f t="shared" si="1303"/>
        <v>0</v>
      </c>
      <c r="J1152" s="1">
        <f t="shared" si="1303"/>
        <v>0</v>
      </c>
      <c r="K1152" s="1">
        <f t="shared" si="1303"/>
        <v>3.5780855525466781E-5</v>
      </c>
      <c r="L1152" s="1">
        <f t="shared" ref="L1152" si="1304">SUM(L1153:L1156)</f>
        <v>3.5487551937744357E-5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6.146063388929097E-6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4.607126468459181E-6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9.9198585928372855E-6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9.3068309092253258E-6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1.0020834678158313E-5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1.137901057659056E-5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9.6940988655420863E-6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1.019458398346929E-5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305">SUM(G1162:G1179)</f>
        <v>75.416834962720941</v>
      </c>
      <c r="H1157" s="1">
        <f t="shared" si="1305"/>
        <v>71.174426700801234</v>
      </c>
      <c r="I1157" s="1">
        <f t="shared" si="1305"/>
        <v>58.111806157882086</v>
      </c>
      <c r="J1157" s="1">
        <f t="shared" si="1305"/>
        <v>30.62821849640402</v>
      </c>
      <c r="K1157" s="1">
        <f t="shared" si="1305"/>
        <v>19.123588471044755</v>
      </c>
      <c r="L1157" s="1">
        <f t="shared" ref="L1157" si="1306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72.210676560264602</v>
      </c>
      <c r="G1158" s="1">
        <f t="shared" si="1307"/>
        <v>71.288506733575403</v>
      </c>
      <c r="H1158" s="1">
        <f t="shared" si="1307"/>
        <v>66.445250104571244</v>
      </c>
      <c r="I1158" s="1">
        <f t="shared" si="1307"/>
        <v>54.93063948396415</v>
      </c>
      <c r="J1158" s="1">
        <f t="shared" si="1307"/>
        <v>28.583868127265525</v>
      </c>
      <c r="K1158" s="1">
        <f>IF(K1157-K1159&lt;0,0,K1157-K1159)</f>
        <v>14.893454078732496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309">SUM(G1160:G1161)</f>
        <v>4.1283282291455414</v>
      </c>
      <c r="H1159" s="1">
        <f t="shared" ref="H1159" si="1310">SUM(H1160:H1161)</f>
        <v>4.7291765962299932</v>
      </c>
      <c r="I1159" s="1">
        <f t="shared" ref="I1159" si="1311">SUM(I1160:I1161)</f>
        <v>3.1811666739179385</v>
      </c>
      <c r="J1159" s="1">
        <f t="shared" ref="J1159" si="1312">SUM(J1160:J1161)</f>
        <v>2.0443503691384972</v>
      </c>
      <c r="K1159" s="1">
        <f t="shared" ref="K1159" si="1313">SUM(K1160:K1161)</f>
        <v>4.2301343923122579</v>
      </c>
      <c r="L1159" s="1">
        <f>IFERROR(SUM(L1160:L1161),0)</f>
        <v>0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[2]Transport!F$25/SUM([2]Transport!F$21,[2]Transport!F$25)*J1157*(J$35+J$600)/(J$35+J$600+J$39)</f>
        <v>2.0443503691384972</v>
      </c>
      <c r="K1160" s="1">
        <f>[2]Transport!G$25/SUM([2]Transport!G$21,[2]Transport!G$25)*K1157*(K$35+K$600)/(K$35+K$600+K$39)</f>
        <v>4.2301343923122579</v>
      </c>
      <c r="L1160" s="1">
        <f>IFERROR([2]Transport!H$25/SUM([2]Transport!H$21,[2]Transport!H$25)*L1157*(L$35+L$600)/(L$35+L$600+L$39),0)</f>
        <v>0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IFERROR((L$39+L$719)/([2]Transport!H$21+[2]Transport!H$25)*L1157,0)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1.9566687370521487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1.3861158331694721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0.86771642511796532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0.22665762182951221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0.25750925449840184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6.6753918539099377E-4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1.6847956825852998E-2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7.5850039560076412E-4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0.65812580070470239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7.1960366797379577E-2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0.17092231575603622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4.9808112878831365E-3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1.3975058627462089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0.14572474090026757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24.683282643440819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17.238170835660256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1.2184123903240234E-3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4.5977684067885732E-4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1.3264299961084009E-3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4.913957691275217E-4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1.4659219156397786E-3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5.2008900771645437E-4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2.1674470173112872E-3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8.5350760328825538E-4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1.068072133547888E-3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6.0044080187308555E-4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0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1.4158585324752313E-2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1.1703149072920815E-3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0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0.5667243700188177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4.2789894623347507E-2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3.1510261465390522E-2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1.6668022656729903E-3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0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14">SUM(G1185:G1202)</f>
        <v>58.378358000258949</v>
      </c>
      <c r="H1180" s="1">
        <f t="shared" si="1314"/>
        <v>46.231681586929085</v>
      </c>
      <c r="I1180" s="1">
        <f t="shared" si="1314"/>
        <v>32.909896195746612</v>
      </c>
      <c r="J1180" s="1">
        <f t="shared" si="1314"/>
        <v>9.0611901936180264</v>
      </c>
      <c r="K1180" s="1">
        <f t="shared" si="1314"/>
        <v>4.6479166288349631</v>
      </c>
      <c r="L1180" s="1">
        <f t="shared" ref="L1180" si="1315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16">IF(G1180-G1182&lt;0,0,G1180-G1182)</f>
        <v>56.856977021932373</v>
      </c>
      <c r="H1181" s="1">
        <f t="shared" si="1316"/>
        <v>44.776311733881165</v>
      </c>
      <c r="I1181" s="1">
        <f t="shared" si="1316"/>
        <v>31.622856484505597</v>
      </c>
      <c r="J1181" s="1">
        <f t="shared" si="1316"/>
        <v>8.687204640284083</v>
      </c>
      <c r="K1181" s="1">
        <f t="shared" si="1316"/>
        <v>4.5007897500560086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1.5414193611789275</v>
      </c>
      <c r="G1182" s="1">
        <f t="shared" ref="G1182" si="1320">SUM(G1183:G1184)</f>
        <v>1.5213809783265775</v>
      </c>
      <c r="H1182" s="1">
        <f t="shared" ref="H1182" si="1321">SUM(H1183:H1184)</f>
        <v>1.4553698530479189</v>
      </c>
      <c r="I1182" s="1">
        <f t="shared" ref="I1182" si="1322">SUM(I1183:I1184)</f>
        <v>1.2870397112410159</v>
      </c>
      <c r="J1182" s="1">
        <f t="shared" ref="J1182" si="1323">SUM(J1183:J1184)</f>
        <v>0.37398555333394401</v>
      </c>
      <c r="K1182" s="1">
        <f t="shared" ref="K1182:L1182" si="1324">SUM(K1183:K1184)</f>
        <v>0.14712687877895467</v>
      </c>
      <c r="L1182" s="1">
        <f t="shared" si="1324"/>
        <v>0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[2]Transport!F$26/SUM([2]Transport!F$22,[2]Transport!F$26)*J1180*(J$34+J$582)/(J$34+J$582+J$38)</f>
        <v>0.37398555333394401</v>
      </c>
      <c r="K1183" s="1">
        <f>[2]Transport!G$26/SUM([2]Transport!G$22,[2]Transport!G$26)*K1180*(K$34+K$582)/(K$34+K$582+K$38)</f>
        <v>0.14712687877895467</v>
      </c>
      <c r="L1183" s="1">
        <f>[2]Transport!H$26/SUM([2]Transport!H$22,[2]Transport!H$26)*L1180*(L$34+L$582)/(L$34+L$582+L$38)</f>
        <v>0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0.31338681732989343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1.2770148154974497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5.090933500435292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2.2506253211580689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7.2160225084348982E-3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6.7614529485584001E-4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1.3570326264760516E-2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7.6355017706141836E-4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2.3958750818229816E-3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7.4314351029996606E-4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2.9754618321821562E-2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9.0711824026585132E-4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0.13957598084230494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7.8898724292078191E-4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7.7986922081673016E-2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4.4949475791391364E-4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9.8752017328983298E-4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3.7586009667877875E-4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1.1981088122314902E-3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4.7317104787844815E-4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1.2621249079085542E-3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4.6964364722908901E-4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6.146942544006666E-4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2.0025243507470626E-4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1.0847632141992181E-3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6.2086393264096113E-4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0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3.1674487567305244E-3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1.396248643715332E-3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0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3.3707568983157654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1.1104139631214578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7.2985723174974456E-3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1.9980500314518068E-3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0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25">SUM(G1208:G1212)</f>
        <v>7.0518685549337407E-2</v>
      </c>
      <c r="H1203" s="1">
        <f t="shared" si="1325"/>
        <v>9.427822688898338E-2</v>
      </c>
      <c r="I1203" s="1">
        <f t="shared" si="1325"/>
        <v>1.2599496846059347E-3</v>
      </c>
      <c r="J1203" s="1">
        <f t="shared" si="1325"/>
        <v>0.14271456023404683</v>
      </c>
      <c r="K1203" s="1">
        <f t="shared" si="1325"/>
        <v>0.11208441118193735</v>
      </c>
      <c r="L1203" s="1">
        <f t="shared" ref="L1203" si="1326">SUM(L1208:L1212)</f>
        <v>2.0723013279507759E-2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27">IF(G1203-G1205&lt;0,0,G1203-G1205)</f>
        <v>6.3624745543905667E-2</v>
      </c>
      <c r="H1204" s="1">
        <f t="shared" si="1327"/>
        <v>8.5359488408772818E-2</v>
      </c>
      <c r="I1204" s="1">
        <f t="shared" si="1327"/>
        <v>1.0514738859614394E-3</v>
      </c>
      <c r="J1204" s="1">
        <f t="shared" si="1327"/>
        <v>0</v>
      </c>
      <c r="K1204" s="1">
        <f t="shared" si="1327"/>
        <v>0.1120263259631044</v>
      </c>
      <c r="L1204" s="1">
        <f t="shared" si="1327"/>
        <v>2.0653033207730463E-2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28">SUM(G1206:G1207)</f>
        <v>6.8939400054317344E-3</v>
      </c>
      <c r="H1205" s="1">
        <f t="shared" ref="H1205" si="1329">SUM(H1206:H1207)</f>
        <v>8.918738480210563E-3</v>
      </c>
      <c r="I1205" s="1">
        <f t="shared" ref="I1205" si="1330">SUM(I1206:I1207)</f>
        <v>2.0847579864449528E-4</v>
      </c>
      <c r="J1205" s="1">
        <f t="shared" ref="J1205" si="1331">SUM(J1206:J1207)</f>
        <v>0.64603710917424906</v>
      </c>
      <c r="K1205" s="1">
        <f t="shared" ref="K1205:L1205" si="1332">SUM(K1206:K1207)</f>
        <v>5.8085218832947996E-5</v>
      </c>
      <c r="L1205" s="1">
        <f t="shared" si="1332"/>
        <v>6.9980071777297475E-5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[2]Transport!F$27/SUM([2]Transport!F$24,[2]Transport!F$27)*J1203*(J$47+J$614)/(J$47+J$614+J$49)</f>
        <v>2.6817185989191372E-2</v>
      </c>
      <c r="K1206" s="1">
        <f>[2]Transport!G$27/SUM([2]Transport!G$24,[2]Transport!G$27)*K1203*(K$47+K$614)/(K$47+K$614+K$49)</f>
        <v>5.8085218832947996E-5</v>
      </c>
      <c r="L1206" s="1">
        <f>[2]Transport!H$27/SUM([2]Transport!H$24,[2]Transport!H$27)*L1203*(L$47+L$614)/(L$47+L$614+L$49)</f>
        <v>6.9980071777297475E-5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0.6192199231850577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4.2541283491527034E-4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2.0947134532171716E-4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3.7322634388670569E-5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1.6444335383083756E-3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7.3772560799318472E-4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1.3027584038623988E-4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1.6330350790458133E-2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8.5121223233151008E-3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6.2425574399063764E-4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0.12431436307036504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0.10262509190530734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1.993115906074221E-2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33">SUM(G1214:G1263)</f>
        <v>55.671233697921771</v>
      </c>
      <c r="H1213" s="3">
        <f t="shared" si="1333"/>
        <v>58.440137973640191</v>
      </c>
      <c r="I1213" s="3">
        <f t="shared" si="1333"/>
        <v>62.339388675934003</v>
      </c>
      <c r="J1213" s="3">
        <f t="shared" si="1333"/>
        <v>66.595114287556157</v>
      </c>
      <c r="K1213" s="3">
        <f t="shared" si="1333"/>
        <v>66.689128141427418</v>
      </c>
      <c r="L1213" s="3">
        <f t="shared" ref="L1213" si="1334">SUM(L1214:L1263)</f>
        <v>66.32179272630826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4.2082593462387666E-3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2.5210110417847246E-3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2.6547162508524047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13.502952163649022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17.661394796890225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19.574495925063161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15.618531948047703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18.597855644478361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18.522103328310553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12.444671080137907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16.444775462369915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25.560609553574253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1.061044277702884E-3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6.9516516406163155E-4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0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1.2426096029165556E-2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1.2127363125139627E-3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0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0.51599931651593633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4.9996471789073835E-2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0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2.6278832771802443E-2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1.6795856132797353E-3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0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1.0988775324357596E-3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7.3215995548500342E-4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0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2.7999448037046132E-3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1.4695392448401195E-3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0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3.1129743717065619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1.3203916582787436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6.1396780817192312E-3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2.0344608904433849E-3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0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7.2275789721495966E-6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6.0747905217207925E-6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9.6306120730514418E-6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1.0145800510801634E-5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9.1188642440354656E-6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1.1641996194170018E-5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8.8252641926282364E-6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1.0377165365214302E-5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1.7723942770196566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1.2632017301712646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1.2858744773031765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0.2473738456754877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0.65499282210878651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4.9650724337094675E-4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2.6202037469767778E-2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5.3164123154866036E-4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0.39620100485504783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4.3163286504098605E-2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0.102909190975875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2.502683161455205E-3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0.68551267675540506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7.0212836170988821E-2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11.167658232109371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7.9274485304219802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7.1753561875911376E-4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2.7801710225760373E-4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6.3128637017644332E-4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2.4054982736758103E-4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6.4650161239687698E-4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2.3682343334779343E-4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9.7284232328387625E-4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3.9318976351076547E-4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0.29064918680593804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1.2245235799622034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4.7219204173345721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1.7677105013271379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9.9889501519197666E-3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4.8025686721394137E-4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2.0680814601882907E-2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5.3449950554253114E-4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1.8950564965716542E-3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4.873878310936925E-4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2.4293126967682446E-2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4.7724020112295627E-4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8.2403643632417492E-2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3.7836384754045302E-4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3.0490760186414875E-2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2.0009825737595329E-4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6.1736590038281424E-4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2.4015062334836079E-4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6.0673143028293418E-4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2.4496617560037517E-4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5.9297934449083331E-4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2.2618309840495202E-4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2.7051107988449531E-4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9.1035159019843976E-5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2.4734816677315138E-4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1.2364634836667837E-4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2.281745434818197E-5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8.2334092758934386E-4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3.5034289738480412E-4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6.3747665741681223E-5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7.2599552772642222E-3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3.7726599733348175E-3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2.9325924245685291E-4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5.8519601830494726E-2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4.8414094297802766E-2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9.4496043927356273E-3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0.88951199431361339</v>
      </c>
      <c r="G1265" s="1">
        <f t="shared" si="1338"/>
        <v>0.95694536964701904</v>
      </c>
      <c r="H1265" s="1">
        <f t="shared" si="1338"/>
        <v>1.058095432647125</v>
      </c>
      <c r="I1265" s="1">
        <f t="shared" si="1338"/>
        <v>1.2266788709806389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1.8116719735064508</v>
      </c>
      <c r="G1266" s="1">
        <f t="shared" si="1338"/>
        <v>1.8116719735064477</v>
      </c>
      <c r="H1266" s="1">
        <f t="shared" si="1338"/>
        <v>1.8116719735064557</v>
      </c>
      <c r="I1266" s="1">
        <f t="shared" si="1338"/>
        <v>1.8116719735064502</v>
      </c>
      <c r="J1266" s="1">
        <f t="shared" si="1338"/>
        <v>1.8266526789307282</v>
      </c>
      <c r="K1266" s="1">
        <f t="shared" si="1338"/>
        <v>1.9313919237014368</v>
      </c>
      <c r="L1266" s="1">
        <f t="shared" ref="L1266" si="1343">IFERROR(L1215/L1139,"-")</f>
        <v>2.2015199690224372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1.4637982671179686</v>
      </c>
      <c r="G1267" s="1">
        <f t="shared" si="1338"/>
        <v>1.4637982671179719</v>
      </c>
      <c r="H1267" s="1">
        <f t="shared" si="1338"/>
        <v>1.4637982671179723</v>
      </c>
      <c r="I1267" s="1">
        <f t="shared" si="1338"/>
        <v>1.4637982671179701</v>
      </c>
      <c r="J1267" s="1">
        <f t="shared" si="1338"/>
        <v>1.5208081540767571</v>
      </c>
      <c r="K1267" s="1">
        <f t="shared" si="1338"/>
        <v>1.5793197981082421</v>
      </c>
      <c r="L1267" s="1">
        <f t="shared" ref="L1267" si="1344">IFERROR(L1216/L1140,"-")</f>
        <v>1.7189613551814942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1.3374527251491997</v>
      </c>
      <c r="G1268" s="1">
        <f t="shared" si="1338"/>
        <v>1.3374527251491997</v>
      </c>
      <c r="H1268" s="1">
        <f t="shared" si="1338"/>
        <v>1.3374527251491994</v>
      </c>
      <c r="I1268" s="1">
        <f t="shared" si="1338"/>
        <v>1.3374527251492005</v>
      </c>
      <c r="J1268" s="1">
        <f t="shared" si="1338"/>
        <v>1.3933397308494917</v>
      </c>
      <c r="K1268" s="1">
        <f t="shared" si="1338"/>
        <v>1.4257682202139867</v>
      </c>
      <c r="L1268" s="1">
        <f t="shared" ref="L1268" si="1345">IFERROR(L1217/L1141,"-")</f>
        <v>1.5697527139409542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1.2949729235430796</v>
      </c>
      <c r="G1269" s="1">
        <f t="shared" si="1338"/>
        <v>1.29497292354308</v>
      </c>
      <c r="H1269" s="1">
        <f t="shared" si="1338"/>
        <v>1.2949729235430789</v>
      </c>
      <c r="I1269" s="1">
        <f t="shared" si="1338"/>
        <v>1.2949729235430807</v>
      </c>
      <c r="J1269" s="1">
        <f t="shared" si="1338"/>
        <v>1.3449659361925346</v>
      </c>
      <c r="K1269" s="1">
        <f t="shared" si="1338"/>
        <v>1.3860073347324771</v>
      </c>
      <c r="L1269" s="1">
        <f t="shared" ref="L1269" si="1346">IFERROR(L1218/L1142,"-")</f>
        <v>1.5349627376070591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0.71120026375852141</v>
      </c>
      <c r="G1270" s="1">
        <f t="shared" si="1347"/>
        <v>0.76022175673932502</v>
      </c>
      <c r="H1270" s="1">
        <f t="shared" si="1347"/>
        <v>0.77198803772901758</v>
      </c>
      <c r="I1270" s="1">
        <f t="shared" si="1347"/>
        <v>0.81213367381447732</v>
      </c>
      <c r="J1270" s="1">
        <f t="shared" si="1347"/>
        <v>0.87456345388673729</v>
      </c>
      <c r="K1270" s="1">
        <f t="shared" si="1347"/>
        <v>0.95516272544527525</v>
      </c>
      <c r="L1270" s="1" t="str">
        <f t="shared" ref="L1270" si="1348">IFERROR(L1219/SUM(L1143,L1176),"-")</f>
        <v>-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0.62745760072630241</v>
      </c>
      <c r="G1271" s="1">
        <f t="shared" si="1347"/>
        <v>0.63280898736947677</v>
      </c>
      <c r="H1271" s="1">
        <f t="shared" si="1347"/>
        <v>0.63573890220170359</v>
      </c>
      <c r="I1271" s="1">
        <f t="shared" si="1347"/>
        <v>0.68362485527302319</v>
      </c>
      <c r="J1271" s="1">
        <f t="shared" si="1347"/>
        <v>0.75281129671180447</v>
      </c>
      <c r="K1271" s="1">
        <f t="shared" si="1347"/>
        <v>0.82224684094020206</v>
      </c>
      <c r="L1271" s="1" t="str">
        <f t="shared" ref="L1271" si="1349">IFERROR(L1220/SUM(L1144,L1177),"-")</f>
        <v>-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0.54553536017737791</v>
      </c>
      <c r="G1272" s="1">
        <f t="shared" si="1347"/>
        <v>0.60404378441704509</v>
      </c>
      <c r="H1272" s="1">
        <f t="shared" si="1347"/>
        <v>0.61793143467963407</v>
      </c>
      <c r="I1272" s="1">
        <f t="shared" si="1347"/>
        <v>0.66532028848613167</v>
      </c>
      <c r="J1272" s="1">
        <f t="shared" si="1347"/>
        <v>0.74253625424858749</v>
      </c>
      <c r="K1272" s="1">
        <f t="shared" si="1347"/>
        <v>0.85558996020507938</v>
      </c>
      <c r="L1272" s="1" t="str">
        <f t="shared" ref="L1272" si="1350">IFERROR(L1221/SUM(L1145,L1178),"-")</f>
        <v>-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0.51975568473665923</v>
      </c>
      <c r="G1273" s="1">
        <f t="shared" si="1347"/>
        <v>0.57147545637761188</v>
      </c>
      <c r="H1273" s="1">
        <f t="shared" si="1347"/>
        <v>0.56057431006191583</v>
      </c>
      <c r="I1273" s="1">
        <f t="shared" si="1347"/>
        <v>0.62533498316693026</v>
      </c>
      <c r="J1273" s="1">
        <f t="shared" si="1347"/>
        <v>0.69213039199396897</v>
      </c>
      <c r="K1273" s="1">
        <f t="shared" si="1347"/>
        <v>0.7628592115938686</v>
      </c>
      <c r="L1273" s="1" t="str">
        <f t="shared" ref="L1273" si="1351">IFERROR(L1222/SUM(L1146,L1179),"-")</f>
        <v>-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0.72840569582556958</v>
      </c>
      <c r="G1274" s="1">
        <f t="shared" si="1352"/>
        <v>0.77360418910789108</v>
      </c>
      <c r="H1274" s="1">
        <f t="shared" si="1352"/>
        <v>0.78619359265083666</v>
      </c>
      <c r="I1274" s="1">
        <f t="shared" si="1352"/>
        <v>0.8264714253676283</v>
      </c>
      <c r="J1274" s="1">
        <f t="shared" si="1352"/>
        <v>0.88944243896358655</v>
      </c>
      <c r="K1274" s="1">
        <f t="shared" si="1352"/>
        <v>0.97010870917633329</v>
      </c>
      <c r="L1274" s="1" t="str">
        <f t="shared" ref="L1274" si="1353">IFERROR(L1223/SUM(L1147,L1199),"-")</f>
        <v>-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0.31875878620678361</v>
      </c>
      <c r="G1275" s="1">
        <f t="shared" si="1352"/>
        <v>0.64079072368253576</v>
      </c>
      <c r="H1275" s="1">
        <f t="shared" si="1352"/>
        <v>0.65200594559306213</v>
      </c>
      <c r="I1275" s="1">
        <f t="shared" si="1352"/>
        <v>0.69286617102083814</v>
      </c>
      <c r="J1275" s="1">
        <f t="shared" si="1352"/>
        <v>0.75621934884754671</v>
      </c>
      <c r="K1275" s="1">
        <f t="shared" si="1352"/>
        <v>0.83309953006476656</v>
      </c>
      <c r="L1275" s="1" t="str">
        <f t="shared" ref="L1275" si="1354">IFERROR(L1224/SUM(L1148,L1200),"-")</f>
        <v>-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0.54821884681205502</v>
      </c>
      <c r="G1276" s="1">
        <f t="shared" si="1352"/>
        <v>0.61224059353664451</v>
      </c>
      <c r="H1276" s="1">
        <f t="shared" si="1352"/>
        <v>0.6262620546969565</v>
      </c>
      <c r="I1276" s="1">
        <f t="shared" si="1352"/>
        <v>0.673740109568987</v>
      </c>
      <c r="J1276" s="1">
        <f t="shared" si="1352"/>
        <v>0.75124085141669994</v>
      </c>
      <c r="K1276" s="1">
        <f t="shared" si="1352"/>
        <v>0.86773920110635128</v>
      </c>
      <c r="L1276" s="1" t="str">
        <f t="shared" ref="L1276" si="1355">IFERROR(L1225/SUM(L1149,L1201),"-")</f>
        <v>-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0.52693204984736663</v>
      </c>
      <c r="G1277" s="1">
        <f t="shared" si="1352"/>
        <v>0.57888590795951911</v>
      </c>
      <c r="H1277" s="1">
        <f t="shared" si="1352"/>
        <v>0.55429940484772644</v>
      </c>
      <c r="I1277" s="1">
        <f t="shared" si="1352"/>
        <v>0.63285468044693827</v>
      </c>
      <c r="J1277" s="1">
        <f t="shared" si="1352"/>
        <v>0.69593045055369662</v>
      </c>
      <c r="K1277" s="1">
        <f t="shared" si="1352"/>
        <v>0.77028692785293784</v>
      </c>
      <c r="L1277" s="1" t="str">
        <f t="shared" ref="L1277" si="1356">IFERROR(L1226/SUM(L1150,L1202),"-")</f>
        <v>-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1.0965696656165205</v>
      </c>
      <c r="H1278" s="1">
        <f t="shared" si="1357"/>
        <v>1.0965696656165207</v>
      </c>
      <c r="I1278" s="1" t="str">
        <f t="shared" si="1357"/>
        <v>-</v>
      </c>
      <c r="J1278" s="1" t="str">
        <f t="shared" si="1357"/>
        <v>-</v>
      </c>
      <c r="K1278" s="1">
        <f t="shared" si="1357"/>
        <v>1.1759688299291924</v>
      </c>
      <c r="L1278" s="1">
        <f t="shared" ref="L1278" si="1358">IFERROR(L1227/L1153,"-")</f>
        <v>1.3185638734489658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0.89149519806162081</v>
      </c>
      <c r="G1279" s="1">
        <f t="shared" si="1359"/>
        <v>0.89149519806162192</v>
      </c>
      <c r="H1279" s="1">
        <f t="shared" si="1359"/>
        <v>0.89149519806162014</v>
      </c>
      <c r="I1279" s="1" t="str">
        <f t="shared" si="1359"/>
        <v>-</v>
      </c>
      <c r="J1279" s="1" t="str">
        <f t="shared" si="1359"/>
        <v>-</v>
      </c>
      <c r="K1279" s="1">
        <f t="shared" si="1359"/>
        <v>0.97084166905416414</v>
      </c>
      <c r="L1279" s="1">
        <f t="shared" ref="L1279" si="1360">IFERROR(L1228/L1154,"-")</f>
        <v>1.0901455726185683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0.83000507256490563</v>
      </c>
      <c r="G1280" s="1">
        <f t="shared" si="1361"/>
        <v>0.83000507256490508</v>
      </c>
      <c r="H1280" s="1">
        <f t="shared" si="1361"/>
        <v>0.8300050725649053</v>
      </c>
      <c r="I1280" s="1" t="str">
        <f t="shared" si="1361"/>
        <v>-</v>
      </c>
      <c r="J1280" s="1" t="str">
        <f t="shared" si="1361"/>
        <v>-</v>
      </c>
      <c r="K1280" s="1">
        <f t="shared" si="1361"/>
        <v>0.90999048850802744</v>
      </c>
      <c r="L1280" s="1">
        <f t="shared" ref="L1280" si="1362">IFERROR(L1229/L1155,"-")</f>
        <v>1.0231114661340139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0.83675282096654169</v>
      </c>
      <c r="H1281" s="1">
        <f t="shared" si="1363"/>
        <v>0.83675282096654202</v>
      </c>
      <c r="I1281" s="1" t="str">
        <f t="shared" si="1363"/>
        <v>-</v>
      </c>
      <c r="J1281" s="1" t="str">
        <f t="shared" si="1363"/>
        <v>-</v>
      </c>
      <c r="K1281" s="1">
        <f t="shared" si="1363"/>
        <v>0.91037489043956998</v>
      </c>
      <c r="L1281" s="1">
        <f t="shared" ref="L1281" si="1364">IFERROR(L1230/L1156,"-")</f>
        <v>1.0179096451646357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0.49379534694678257</v>
      </c>
      <c r="G1282" s="1">
        <f t="shared" si="1365"/>
        <v>0.50503220860251374</v>
      </c>
      <c r="H1282" s="1">
        <f t="shared" si="1365"/>
        <v>0.52188750108610926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1.1286887382757667</v>
      </c>
      <c r="G1283" s="1">
        <f t="shared" si="1365"/>
        <v>1.2248217301701574</v>
      </c>
      <c r="H1283" s="1">
        <f t="shared" si="1365"/>
        <v>1.1637676029692949</v>
      </c>
      <c r="I1283" s="1">
        <f t="shared" si="1365"/>
        <v>0.88989605679762085</v>
      </c>
      <c r="J1283" s="1">
        <f t="shared" si="1365"/>
        <v>0.90582235176399162</v>
      </c>
      <c r="K1283" s="1">
        <f t="shared" si="1365"/>
        <v>0.91132479692035984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1.5474523106370901</v>
      </c>
      <c r="G1284" s="1">
        <f t="shared" si="1365"/>
        <v>2.2178870816408365</v>
      </c>
      <c r="H1284" s="1">
        <f t="shared" si="1365"/>
        <v>1.9669768595973727</v>
      </c>
      <c r="I1284" s="1">
        <f t="shared" si="1365"/>
        <v>1.5959967050783677</v>
      </c>
      <c r="J1284" s="1">
        <f t="shared" si="1365"/>
        <v>1.4819063464522559</v>
      </c>
      <c r="K1284" s="1">
        <f t="shared" si="1365"/>
        <v>1.0913987523506175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1.8804652031587012</v>
      </c>
      <c r="G1285" s="1">
        <f t="shared" si="1365"/>
        <v>2.4682963610763711</v>
      </c>
      <c r="H1285" s="1">
        <f t="shared" si="1365"/>
        <v>2.4637296147754926</v>
      </c>
      <c r="I1285" s="1">
        <f t="shared" si="1365"/>
        <v>2.4860853390047217</v>
      </c>
      <c r="J1285" s="1">
        <f t="shared" si="1365"/>
        <v>2.5435700296854828</v>
      </c>
      <c r="K1285" s="1">
        <f t="shared" si="1365"/>
        <v>0.7437874123900764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1.123299989751694</v>
      </c>
      <c r="G1286" s="1">
        <f t="shared" si="1365"/>
        <v>1.3326385970402808</v>
      </c>
      <c r="H1286" s="1">
        <f t="shared" si="1365"/>
        <v>1.3279819527749028</v>
      </c>
      <c r="I1286" s="1">
        <f t="shared" si="1365"/>
        <v>1.3359086371333018</v>
      </c>
      <c r="J1286" s="1">
        <f t="shared" si="1365"/>
        <v>1.5552056395088245</v>
      </c>
      <c r="K1286" s="1">
        <f t="shared" si="1365"/>
        <v>0.70091094827653744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0.28603940550919488</v>
      </c>
      <c r="G1287" s="1">
        <f t="shared" si="1365"/>
        <v>0.29254854993039747</v>
      </c>
      <c r="H1287" s="1">
        <f t="shared" si="1365"/>
        <v>0.30231226656220067</v>
      </c>
      <c r="I1287" s="1">
        <f t="shared" si="1365"/>
        <v>0.31858512761520602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0.68205399616056994</v>
      </c>
      <c r="G1288" s="1">
        <f t="shared" si="1365"/>
        <v>0.67433392723903074</v>
      </c>
      <c r="H1288" s="1">
        <f t="shared" si="1365"/>
        <v>0.62329799733689129</v>
      </c>
      <c r="I1288" s="1">
        <f t="shared" si="1365"/>
        <v>0.62281544989245519</v>
      </c>
      <c r="J1288" s="1">
        <f t="shared" si="1365"/>
        <v>0.60201408975427961</v>
      </c>
      <c r="K1288" s="1">
        <f t="shared" si="1365"/>
        <v>0.59982026808777178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0.60190719997139985</v>
      </c>
      <c r="G1289" s="1">
        <f t="shared" si="1365"/>
        <v>0.60445979248390957</v>
      </c>
      <c r="H1289" s="1">
        <f t="shared" si="1365"/>
        <v>0.60798702603277344</v>
      </c>
      <c r="I1289" s="1">
        <f t="shared" si="1365"/>
        <v>0.60907746592716894</v>
      </c>
      <c r="J1289" s="1">
        <f t="shared" si="1365"/>
        <v>0.6020816563400716</v>
      </c>
      <c r="K1289" s="1">
        <f t="shared" si="1365"/>
        <v>0.50246496339732938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0.51517780948893244</v>
      </c>
      <c r="G1290" s="1">
        <f t="shared" si="1365"/>
        <v>0.51522685544915248</v>
      </c>
      <c r="H1290" s="1">
        <f t="shared" si="1365"/>
        <v>0.50970392873300729</v>
      </c>
      <c r="I1290" s="1">
        <f t="shared" si="1365"/>
        <v>0.51187943371356404</v>
      </c>
      <c r="J1290" s="1">
        <f t="shared" si="1365"/>
        <v>0.49052579672783536</v>
      </c>
      <c r="K1290" s="1">
        <f t="shared" si="1365"/>
        <v>0.4818182261791889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0.43335331759564327</v>
      </c>
      <c r="G1291" s="1">
        <f t="shared" si="1365"/>
        <v>0.43329854811830182</v>
      </c>
      <c r="H1291" s="1">
        <f t="shared" si="1365"/>
        <v>0.43378697966240548</v>
      </c>
      <c r="I1291" s="1">
        <f t="shared" si="1365"/>
        <v>0.43689749158683866</v>
      </c>
      <c r="J1291" s="1">
        <f t="shared" si="1365"/>
        <v>0.45243812962118291</v>
      </c>
      <c r="K1291" s="1">
        <f t="shared" si="1365"/>
        <v>0.459877594090356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0.51837627625535165</v>
      </c>
      <c r="H1292" s="1">
        <f t="shared" si="1365"/>
        <v>0.53766862422917461</v>
      </c>
      <c r="I1292" s="1">
        <f t="shared" si="1365"/>
        <v>0.5803518320486668</v>
      </c>
      <c r="J1292" s="1">
        <f t="shared" si="1365"/>
        <v>0.58891031021794926</v>
      </c>
      <c r="K1292" s="1">
        <f t="shared" si="1365"/>
        <v>0.60467835188721863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0.41733711223534986</v>
      </c>
      <c r="H1293" s="1">
        <f t="shared" si="1365"/>
        <v>0.43619234574394894</v>
      </c>
      <c r="I1293" s="1">
        <f t="shared" si="1365"/>
        <v>0.47114926595692685</v>
      </c>
      <c r="J1293" s="1">
        <f t="shared" si="1365"/>
        <v>0.47592890090586598</v>
      </c>
      <c r="K1293" s="1">
        <f t="shared" si="1365"/>
        <v>0.48952360292942643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0.38796990995538655</v>
      </c>
      <c r="H1294" s="1">
        <f t="shared" si="1365"/>
        <v>0.40454496251576683</v>
      </c>
      <c r="I1294" s="1">
        <f t="shared" si="1365"/>
        <v>0.43542054548371562</v>
      </c>
      <c r="J1294" s="1">
        <f t="shared" si="1365"/>
        <v>0.44102049740809113</v>
      </c>
      <c r="K1294" s="1">
        <f t="shared" si="1365"/>
        <v>0.45535173755663461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0.39332458747711346</v>
      </c>
      <c r="H1295" s="1">
        <f t="shared" si="1365"/>
        <v>0.40928568018043349</v>
      </c>
      <c r="I1295" s="1">
        <f t="shared" si="1365"/>
        <v>0.44424188066686016</v>
      </c>
      <c r="J1295" s="1">
        <f t="shared" si="1365"/>
        <v>0.44884249327150094</v>
      </c>
      <c r="K1295" s="1">
        <f t="shared" si="1365"/>
        <v>0.46067517383084561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0.41824117647058801</v>
      </c>
      <c r="G1297" s="1">
        <f t="shared" si="1380"/>
        <v>1.6976494765847152</v>
      </c>
      <c r="H1297" s="1">
        <f t="shared" si="1380"/>
        <v>1.6953643552202713</v>
      </c>
      <c r="I1297" s="1">
        <f t="shared" si="1380"/>
        <v>1.6608898896013045</v>
      </c>
      <c r="J1297" s="1">
        <f t="shared" si="1380"/>
        <v>0.92744547866536409</v>
      </c>
      <c r="K1297" s="1">
        <f t="shared" si="1380"/>
        <v>0.95889535900583989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1.1861225080161868</v>
      </c>
      <c r="G1298" s="1">
        <f t="shared" si="1380"/>
        <v>2.6784498073457406</v>
      </c>
      <c r="H1298" s="1">
        <f t="shared" si="1380"/>
        <v>2.1970890759577211</v>
      </c>
      <c r="I1298" s="1">
        <f t="shared" si="1380"/>
        <v>1.0415195469753902</v>
      </c>
      <c r="J1298" s="1">
        <f t="shared" si="1380"/>
        <v>0.92751563479091448</v>
      </c>
      <c r="K1298" s="1">
        <f t="shared" si="1380"/>
        <v>0.78543082436198441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0.9191863157657213</v>
      </c>
      <c r="G1299" s="1">
        <f t="shared" si="1380"/>
        <v>1.2012590672444443</v>
      </c>
      <c r="H1299" s="1">
        <f t="shared" si="1380"/>
        <v>1.1979344397282075</v>
      </c>
      <c r="I1299" s="1">
        <f t="shared" si="1380"/>
        <v>1.2481766879431235</v>
      </c>
      <c r="J1299" s="1">
        <f t="shared" si="1380"/>
        <v>1.3842736965195936</v>
      </c>
      <c r="K1299" s="1">
        <f t="shared" si="1380"/>
        <v>0.71028648852216925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1.3447385131189982</v>
      </c>
      <c r="G1300" s="1">
        <f t="shared" si="1380"/>
        <v>1.5813257707260331</v>
      </c>
      <c r="H1300" s="1">
        <f t="shared" si="1380"/>
        <v>1.5870387725418167</v>
      </c>
      <c r="I1300" s="1">
        <f t="shared" si="1380"/>
        <v>1.6025706491645642</v>
      </c>
      <c r="J1300" s="1">
        <f t="shared" si="1380"/>
        <v>1.5239732780476281</v>
      </c>
      <c r="K1300" s="1">
        <f t="shared" si="1380"/>
        <v>0.70001883517281549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0.33901850024085983</v>
      </c>
      <c r="G1301" s="1">
        <f t="shared" si="1380"/>
        <v>0.35391427166601075</v>
      </c>
      <c r="H1301" s="1">
        <f t="shared" si="1380"/>
        <v>0.37625792880373715</v>
      </c>
      <c r="I1301" s="1">
        <f t="shared" si="1380"/>
        <v>0.4134973573666148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0.74937658352289116</v>
      </c>
      <c r="G1302" s="1">
        <f t="shared" si="1380"/>
        <v>0.82451670133030042</v>
      </c>
      <c r="H1302" s="1">
        <f t="shared" si="1380"/>
        <v>0.81700025600574999</v>
      </c>
      <c r="I1302" s="1">
        <f t="shared" si="1380"/>
        <v>0.80123768175305476</v>
      </c>
      <c r="J1302" s="1">
        <f t="shared" si="1380"/>
        <v>0.79096631996762423</v>
      </c>
      <c r="K1302" s="1">
        <f t="shared" si="1380"/>
        <v>0.65584617821255131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0.70480060867609495</v>
      </c>
      <c r="G1303" s="1">
        <f t="shared" si="1380"/>
        <v>0.70457039146863976</v>
      </c>
      <c r="H1303" s="1">
        <f t="shared" si="1380"/>
        <v>0.72786180264077338</v>
      </c>
      <c r="I1303" s="1">
        <f t="shared" si="1380"/>
        <v>0.73339675072157673</v>
      </c>
      <c r="J1303" s="1">
        <f t="shared" si="1380"/>
        <v>0.81644895272833173</v>
      </c>
      <c r="K1303" s="1">
        <f t="shared" si="1380"/>
        <v>0.52610583707708303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0.53574007336887897</v>
      </c>
      <c r="G1304" s="1">
        <f t="shared" si="1380"/>
        <v>0.53243699148100498</v>
      </c>
      <c r="H1304" s="1">
        <f t="shared" si="1380"/>
        <v>0.53197342745035037</v>
      </c>
      <c r="I1304" s="1">
        <f t="shared" si="1380"/>
        <v>0.54119923593546837</v>
      </c>
      <c r="J1304" s="1">
        <f t="shared" si="1380"/>
        <v>0.59038556014532606</v>
      </c>
      <c r="K1304" s="1">
        <f t="shared" si="1380"/>
        <v>0.47955635650048473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0.46599933508579938</v>
      </c>
      <c r="G1305" s="1">
        <f t="shared" si="1380"/>
        <v>0.45573686750085596</v>
      </c>
      <c r="H1305" s="1">
        <f t="shared" si="1380"/>
        <v>0.45675927862065879</v>
      </c>
      <c r="I1305" s="1">
        <f t="shared" si="1380"/>
        <v>0.46314962588394176</v>
      </c>
      <c r="J1305" s="1">
        <f t="shared" si="1380"/>
        <v>0.39097273456289189</v>
      </c>
      <c r="K1305" s="1">
        <f t="shared" si="1380"/>
        <v>0.4451626050203587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0.56203544748554612</v>
      </c>
      <c r="H1306" s="1">
        <f t="shared" si="1380"/>
        <v>0.57936983979871881</v>
      </c>
      <c r="I1306" s="1">
        <f t="shared" si="1380"/>
        <v>0.61644180016803862</v>
      </c>
      <c r="J1306" s="1">
        <f t="shared" si="1380"/>
        <v>0.62516788728084038</v>
      </c>
      <c r="K1306" s="1">
        <f t="shared" si="1380"/>
        <v>0.63893620384395489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0.45210145766281479</v>
      </c>
      <c r="H1307" s="1">
        <f t="shared" si="1380"/>
        <v>0.46902015587313245</v>
      </c>
      <c r="I1307" s="1">
        <f t="shared" si="1380"/>
        <v>0.50294272244607874</v>
      </c>
      <c r="J1307" s="1">
        <f t="shared" si="1380"/>
        <v>0.50640761848073756</v>
      </c>
      <c r="K1307" s="1">
        <f t="shared" si="1380"/>
        <v>0.51771167466548795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0.42028149632876888</v>
      </c>
      <c r="H1308" s="1">
        <f t="shared" si="1380"/>
        <v>0.43531756749581157</v>
      </c>
      <c r="I1308" s="1">
        <f t="shared" si="1380"/>
        <v>0.46528903066570854</v>
      </c>
      <c r="J1308" s="1">
        <f t="shared" si="1380"/>
        <v>0.46982619610403642</v>
      </c>
      <c r="K1308" s="1">
        <f t="shared" si="1380"/>
        <v>0.48160578715253316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0.39943403925494791</v>
      </c>
      <c r="H1309" s="1">
        <f t="shared" si="1380"/>
        <v>0.41242539873012529</v>
      </c>
      <c r="I1309" s="1">
        <f t="shared" si="1380"/>
        <v>0.43363828436015023</v>
      </c>
      <c r="J1309" s="1">
        <f t="shared" si="1380"/>
        <v>0.44007419615178683</v>
      </c>
      <c r="K1309" s="1">
        <f t="shared" si="1380"/>
        <v>0.45460200764041825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 t="str">
        <f t="shared" ref="L1310" si="1396">IFERROR(L1259/L1199,"-")</f>
        <v>-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0.61538895829153983</v>
      </c>
      <c r="G1311" s="1">
        <f t="shared" si="1395"/>
        <v>0.79902302296730154</v>
      </c>
      <c r="H1311" s="1">
        <f t="shared" si="1395"/>
        <v>0.32409884632120495</v>
      </c>
      <c r="I1311" s="1">
        <f t="shared" si="1395"/>
        <v>2.0673320836852797E-2</v>
      </c>
      <c r="J1311" s="1">
        <f t="shared" si="1395"/>
        <v>7.8090660897847289E-2</v>
      </c>
      <c r="K1311" s="1">
        <f t="shared" si="1395"/>
        <v>8.8556109918691145E-2</v>
      </c>
      <c r="L1311" s="1" t="str">
        <f t="shared" ref="L1311" si="1397">IFERROR(L1260/L1200,"-")</f>
        <v>-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0.63262428220852895</v>
      </c>
      <c r="G1312" s="1">
        <f t="shared" si="1395"/>
        <v>1.159052299701083</v>
      </c>
      <c r="H1312" s="1">
        <f t="shared" si="1395"/>
        <v>2.0607380893975392E-2</v>
      </c>
      <c r="I1312" s="1">
        <f t="shared" si="1395"/>
        <v>2.9084421556605776E-5</v>
      </c>
      <c r="J1312" s="1">
        <f t="shared" si="1395"/>
        <v>2.4425995478960077E-4</v>
      </c>
      <c r="K1312" s="1">
        <f t="shared" si="1395"/>
        <v>3.1550656693830084E-4</v>
      </c>
      <c r="L1312" s="1" t="str">
        <f t="shared" ref="L1312" si="1398">IFERROR(L1261/L1201,"-")</f>
        <v>-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0.46801268644513094</v>
      </c>
      <c r="G1313" s="1">
        <f t="shared" si="1395"/>
        <v>6.8684257691284056E-2</v>
      </c>
      <c r="H1313" s="1">
        <f t="shared" si="1395"/>
        <v>6.7377031955218325E-2</v>
      </c>
      <c r="I1313" s="1">
        <f t="shared" si="1395"/>
        <v>1.2321714620852499E-2</v>
      </c>
      <c r="J1313" s="1">
        <f t="shared" si="1395"/>
        <v>0.99470895970426387</v>
      </c>
      <c r="K1313" s="1">
        <f t="shared" si="1395"/>
        <v>1.8881709236247493</v>
      </c>
      <c r="L1313" s="1" t="str">
        <f t="shared" ref="L1313" si="1399">IFERROR(L1262/L1202,"-")</f>
        <v>-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0.68268917765463699</v>
      </c>
      <c r="G1314" s="1">
        <f t="shared" si="1395"/>
        <v>0.32034592823018992</v>
      </c>
      <c r="H1314" s="1">
        <f t="shared" si="1395"/>
        <v>0.31762273983980871</v>
      </c>
      <c r="I1314" s="1">
        <f t="shared" si="1395"/>
        <v>6.2485396531421711E-2</v>
      </c>
      <c r="J1314" s="1">
        <f t="shared" si="1395"/>
        <v>0.41004647132377137</v>
      </c>
      <c r="K1314" s="1">
        <f t="shared" si="1395"/>
        <v>0.43194315594178545</v>
      </c>
      <c r="L1314" s="1">
        <f t="shared" ref="L1314" si="1400">IFERROR(L1263/L1203,"-")</f>
        <v>0.45599567327788187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403">G1316+G1322+G1327+G1341</f>
        <v>1.3391708161909792</v>
      </c>
      <c r="H1315" s="3">
        <f t="shared" si="1403"/>
        <v>2.1881296621403052</v>
      </c>
      <c r="I1315" s="3">
        <f t="shared" si="1403"/>
        <v>1.4968396517529514</v>
      </c>
      <c r="J1315" s="3">
        <f t="shared" si="1403"/>
        <v>2.8137092219211981</v>
      </c>
      <c r="K1315" s="3">
        <f t="shared" si="1403"/>
        <v>2.6922750344124013</v>
      </c>
      <c r="L1315" s="3">
        <f t="shared" ref="L1315" si="1404">L1316+L1322+L1327+L1341</f>
        <v>1.4843849054078833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405">SUM(G1317:G1321)</f>
        <v>1.7730444231467996E-2</v>
      </c>
      <c r="H1316" s="1">
        <f t="shared" si="1405"/>
        <v>2.2715625189570647E-2</v>
      </c>
      <c r="I1316" s="1">
        <f t="shared" si="1405"/>
        <v>0.97153122563904171</v>
      </c>
      <c r="J1316" s="1">
        <f t="shared" si="1405"/>
        <v>0.43528423350621775</v>
      </c>
      <c r="K1316" s="1">
        <f t="shared" si="1405"/>
        <v>0.4774050170891021</v>
      </c>
      <c r="L1316" s="1">
        <f t="shared" ref="L1316" si="1406">SUM(L1317:L1321)</f>
        <v>1.0677955698459378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0.15101142704277853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7.0829562453796013E-2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0.11839000758108285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0.11685193179519179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0.13196667030218978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0.13157459278520503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0.16729643030710983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0.27450490473094846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0.81777591151873819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1.2444436113760699E-4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1.0387960216783942E-4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5.5057960911713167E-5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0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411">SUM(G1332:G1340)</f>
        <v>1.3208661926894203</v>
      </c>
      <c r="H1327" s="1">
        <f t="shared" si="1411"/>
        <v>2.143296247696449</v>
      </c>
      <c r="I1327" s="1">
        <f t="shared" si="1411"/>
        <v>0.52530581209547822</v>
      </c>
      <c r="J1327" s="1">
        <f t="shared" si="1411"/>
        <v>2.3745297270284116</v>
      </c>
      <c r="K1327" s="1">
        <f t="shared" si="1411"/>
        <v>2.2105664318243701</v>
      </c>
      <c r="L1327" s="1">
        <f t="shared" ref="L1327" si="1412">SUM(L1332:L1340)</f>
        <v>0.41391708615173306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13">IF(G1327-G1329&lt;0,0,G1327-G1329)</f>
        <v>1.2864434927487434</v>
      </c>
      <c r="H1328" s="1">
        <f t="shared" si="1413"/>
        <v>2.075825443304812</v>
      </c>
      <c r="I1328" s="1">
        <f t="shared" si="1413"/>
        <v>0.50476216052358502</v>
      </c>
      <c r="J1328" s="1">
        <f t="shared" si="1413"/>
        <v>2.2765249622132901</v>
      </c>
      <c r="K1328" s="1">
        <f t="shared" si="1413"/>
        <v>2.1405923411898371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14">SUM(G1330:G1331)</f>
        <v>3.4422699940676954E-2</v>
      </c>
      <c r="H1329" s="1">
        <f t="shared" ref="H1329" si="1415">SUM(H1330:H1331)</f>
        <v>6.7470804391636968E-2</v>
      </c>
      <c r="I1329" s="1">
        <f t="shared" ref="I1329" si="1416">SUM(I1330:I1331)</f>
        <v>2.0543651571893189E-2</v>
      </c>
      <c r="J1329" s="1">
        <f t="shared" ref="J1329" si="1417">SUM(J1330:J1331)</f>
        <v>9.8004764815121423E-2</v>
      </c>
      <c r="K1329" s="1">
        <f t="shared" ref="K1329:L1329" si="1418">SUM(K1330:K1331)</f>
        <v>6.9974090634532929E-2</v>
      </c>
      <c r="L1329" s="1">
        <f t="shared" si="1418"/>
        <v>0.47608260541659586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[2]Transport!F$26/SUM([2]Transport!F$22,[2]Transport!F$26)*J1327*(J$34+J$582)/(J$34+J$582+J$38)</f>
        <v>9.8004764815121423E-2</v>
      </c>
      <c r="K1330" s="1">
        <f>[2]Transport!G$26/SUM([2]Transport!G$22,[2]Transport!G$26)*K1327*(K$34+K$582)/(K$34+K$582+K$38)</f>
        <v>6.9974090634532929E-2</v>
      </c>
      <c r="L1330" s="1">
        <f>[2]Transport!H$26/SUM([2]Transport!H$22,[2]Transport!H$26)*L1327*(L$34+L$582)/(L$34+L$582+L$38)</f>
        <v>0.18535661336932172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0.29072599204727412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5.6559205240753222E-3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2.0925914572374636E-3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0.34005836988437926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4.2951658154358127E-3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1.83373965730859E-3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6.7986467487384525E-4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0.78925098255012094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0.95230837455534945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7.1942305358752776E-2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3.2578411062112082E-5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4.3080835781831778E-5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1.2201662031840159E-6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0.33758778282158797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0.59222398864439962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4.9271299363803E-4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3.748523797519681E-2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8.2000798392706138E-3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3.7825610527738392E-4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1.2001803099454991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0.65381097716451342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3.6350030391334756E-4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4.17489854331938E-5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5.3599670509180411E-5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8.56664695227191E-7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19">SUM(G1346:G1350)</f>
        <v>5.7417927009088506E-4</v>
      </c>
      <c r="H1341" s="1">
        <f t="shared" si="1419"/>
        <v>2.2117789254285765E-2</v>
      </c>
      <c r="I1341" s="1">
        <f t="shared" si="1419"/>
        <v>2.6140184314458954E-6</v>
      </c>
      <c r="J1341" s="1">
        <f t="shared" si="1419"/>
        <v>3.8952613865686574E-3</v>
      </c>
      <c r="K1341" s="1">
        <f t="shared" si="1419"/>
        <v>4.303585498929105E-3</v>
      </c>
      <c r="L1341" s="1">
        <f t="shared" ref="L1341" si="1420">SUM(L1346:L1350)</f>
        <v>2.6722494102125946E-3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21">IF(G1341-G1343&lt;0,0,G1341-G1343)</f>
        <v>5.1804723346068242E-4</v>
      </c>
      <c r="H1342" s="1">
        <f t="shared" si="1421"/>
        <v>2.0025442117213792E-2</v>
      </c>
      <c r="I1342" s="1">
        <f t="shared" si="1421"/>
        <v>2.1814935561866451E-6</v>
      </c>
      <c r="J1342" s="1">
        <f t="shared" si="1421"/>
        <v>0</v>
      </c>
      <c r="K1342" s="1">
        <f t="shared" si="1421"/>
        <v>4.3013552627808697E-3</v>
      </c>
      <c r="L1342" s="1">
        <f t="shared" si="1421"/>
        <v>2.6632254230630789E-3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22">SUM(G1344:G1345)</f>
        <v>5.6132036630202598E-5</v>
      </c>
      <c r="H1343" s="1">
        <f t="shared" ref="H1343" si="1423">SUM(H1344:H1345)</f>
        <v>2.0923471370719714E-3</v>
      </c>
      <c r="I1343" s="1">
        <f t="shared" ref="I1343" si="1424">SUM(I1344:I1345)</f>
        <v>4.3252487525925049E-7</v>
      </c>
      <c r="J1343" s="1">
        <f t="shared" ref="J1343" si="1425">SUM(J1344:J1345)</f>
        <v>1.7632982938320722E-2</v>
      </c>
      <c r="K1343" s="1">
        <f t="shared" ref="K1343:L1343" si="1426">SUM(K1344:K1345)</f>
        <v>2.2302361482350611E-6</v>
      </c>
      <c r="L1343" s="1">
        <f t="shared" si="1426"/>
        <v>9.0239871495155553E-6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[2]Transport!F$27/SUM([2]Transport!F$24,[2]Transport!F$27)*J1341*(J$47+J$614)/(J$47+J$614+J$49)</f>
        <v>7.3195018720456076E-4</v>
      </c>
      <c r="K1344" s="1">
        <f>[2]Transport!G$27/SUM([2]Transport!G$24,[2]Transport!G$27)*K1341*(K$47+K$614)/(K$47+K$614+K$49)</f>
        <v>2.2302361482350611E-6</v>
      </c>
      <c r="L1344" s="1">
        <f>[2]Transport!H$27/SUM([2]Transport!H$24,[2]Transport!H$27)*L1341*(L$47+L$614)/(L$47+L$614+L$49)</f>
        <v>9.0239871495155553E-6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1.6901032751116162E-2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9.0113562414594788E-4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5.4787384169434133E-4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1.448976223690207E-3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9.5841005689952994E-4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7.0098008412396791E-4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4.3869149323100775E-4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2.0105047412591649E-3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3.0177901594296967E-3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7.8458169329137994E-4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2.5210964264014892E-5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3.6941413681099383E-5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27">SUM(G1352:G1374)</f>
        <v>0.30117187832353931</v>
      </c>
      <c r="H1351" s="3">
        <f t="shared" si="1427"/>
        <v>0.30909954370934378</v>
      </c>
      <c r="I1351" s="3">
        <f t="shared" si="1427"/>
        <v>0.32279886338240266</v>
      </c>
      <c r="J1351" s="3">
        <f t="shared" si="1427"/>
        <v>0.36109140103623705</v>
      </c>
      <c r="K1351" s="3">
        <f t="shared" si="1427"/>
        <v>0.37883281428092719</v>
      </c>
      <c r="L1351" s="3">
        <f t="shared" ref="L1351" si="1428">SUM(L1352:L1374)</f>
        <v>0.41115654733454454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7.1119234561463712E-2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3.3414841593878718E-2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6.3128305596085094E-2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3.9838699438681631E-2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4.5347005453900927E-2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5.0308295262224724E-2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3.8061877863264822E-2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6.3704703453022968E-2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0.21352320343863795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1.8789332910462756E-5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1.6288322033104214E-5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9.4124066276074119E-6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1.0396728251559999E-3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4.0946800622717867E-4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7.6479131865097957E-2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5.6832582752874361E-4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2.5579194042343455E-4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1.0297754976585781E-4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7.3780746132757813E-2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9.0339193682346927E-2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7.105415182810563E-3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2.0568874297921865E-6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2.8041274552400226E-6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8.5245553800645096E-8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5.058797019986893E-2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9.500799252202316E-2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8.1241097669213283E-5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3.8552315873892425E-3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8.5865622904403457E-4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4.3112948306017442E-5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8.1860508810424781E-2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4.9109358705311565E-2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2.78963940466741E-5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1.9984745273192641E-6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2.6321546773983598E-6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4.3069808916353905E-8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1.2797639972421846E-4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8.0976670808032919E-5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2.4081826755157132E-4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9.2934664039305979E-5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7.2381332964958269E-5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4.9082188644957648E-5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1.342396759486593E-4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2.0900612729334719E-4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5.752682171368782E-5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1.1383551216007468E-6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1.7139595162566903E-6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34">IFERROR(G1352/G1317,"-")</f>
        <v>3.3737507326839338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0.37869321701871766</v>
      </c>
      <c r="G1377" s="1">
        <f t="shared" si="1436"/>
        <v>0.39242172610251852</v>
      </c>
      <c r="H1377" s="1">
        <f t="shared" si="1436"/>
        <v>0.40041950125720926</v>
      </c>
      <c r="I1377" s="1">
        <f t="shared" si="1436"/>
        <v>0.44722582259710453</v>
      </c>
      <c r="J1377" s="1">
        <f t="shared" si="1436"/>
        <v>0.4709526686435262</v>
      </c>
      <c r="K1377" s="1">
        <f t="shared" si="1436"/>
        <v>0.47176405495482338</v>
      </c>
      <c r="L1377" s="1">
        <f t="shared" ref="L1377" si="1437">IFERROR(L1353/L1318,"-")</f>
        <v>0.53322325832988759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0.27518070496490743</v>
      </c>
      <c r="G1378" s="1">
        <f t="shared" si="1438"/>
        <v>0.27847727966585528</v>
      </c>
      <c r="H1378" s="1">
        <f t="shared" si="1438"/>
        <v>0.28652008619743918</v>
      </c>
      <c r="I1378" s="1">
        <f t="shared" si="1438"/>
        <v>0.32357011754068604</v>
      </c>
      <c r="J1378" s="1">
        <f t="shared" si="1438"/>
        <v>0.34093316923940581</v>
      </c>
      <c r="K1378" s="1">
        <f t="shared" si="1438"/>
        <v>0.34362468455149364</v>
      </c>
      <c r="L1378" s="1">
        <f t="shared" ref="L1378" si="1439">IFERROR(L1354/L1319,"-")</f>
        <v>0.38235569799066604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0.1829704071343993</v>
      </c>
      <c r="G1379" s="1">
        <f t="shared" si="1440"/>
        <v>0.18437381488517599</v>
      </c>
      <c r="H1379" s="1">
        <f t="shared" si="1440"/>
        <v>0.18631555830870453</v>
      </c>
      <c r="I1379" s="1">
        <f t="shared" si="1440"/>
        <v>0.21571321281260772</v>
      </c>
      <c r="J1379" s="1">
        <f t="shared" si="1440"/>
        <v>0.22751159599397175</v>
      </c>
      <c r="K1379" s="1">
        <f t="shared" si="1440"/>
        <v>0.23207127579546202</v>
      </c>
      <c r="L1379" s="1">
        <f t="shared" ref="L1379" si="1441">IFERROR(L1355/L1320,"-")</f>
        <v>0.26110233919961262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0.12198710645807105</v>
      </c>
      <c r="G1380" s="1">
        <f t="shared" si="1442"/>
        <v>0.12419388937499326</v>
      </c>
      <c r="H1380" s="1">
        <f t="shared" si="1442"/>
        <v>0.12677533229336285</v>
      </c>
      <c r="I1380" s="1">
        <f t="shared" si="1442"/>
        <v>0.13692589761236368</v>
      </c>
      <c r="J1380" s="1">
        <f t="shared" si="1442"/>
        <v>0.15098581196207075</v>
      </c>
      <c r="K1380" s="1">
        <f t="shared" si="1442"/>
        <v>0.15680000397755656</v>
      </c>
      <c r="L1380" s="1">
        <f t="shared" ref="L1380" si="1443">IFERROR(L1356/L1321,"-")</f>
        <v>0.17095450815369723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 t="str">
        <f t="shared" si="1444"/>
        <v>-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0.16251369968883864</v>
      </c>
      <c r="H1385" s="1">
        <f t="shared" si="1452"/>
        <v>0.16514659122556904</v>
      </c>
      <c r="I1385" s="1">
        <f t="shared" si="1452"/>
        <v>0.1750141680654772</v>
      </c>
      <c r="J1385" s="1">
        <f t="shared" si="1452"/>
        <v>0.18382026775844315</v>
      </c>
      <c r="K1385" s="1">
        <f t="shared" si="1452"/>
        <v>0.19567508259244173</v>
      </c>
      <c r="L1385" s="1">
        <f t="shared" ref="L1385" si="1453">IFERROR(L1361/L1332,"-")</f>
        <v>0.22490001316862474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0.11649393435744135</v>
      </c>
      <c r="H1386" s="1">
        <f t="shared" si="1454"/>
        <v>0.11924129921115846</v>
      </c>
      <c r="I1386" s="1">
        <f t="shared" si="1454"/>
        <v>0.12464916487475367</v>
      </c>
      <c r="J1386" s="1">
        <f t="shared" si="1454"/>
        <v>0.13231755232506151</v>
      </c>
      <c r="K1386" s="1">
        <f t="shared" si="1454"/>
        <v>0.1394919608156725</v>
      </c>
      <c r="L1386" s="1">
        <f t="shared" ref="L1386" si="1455">IFERROR(L1362/L1333,"-")</f>
        <v>0.15146771640248285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7.8235828164578886E-2</v>
      </c>
      <c r="H1387" s="1">
        <f t="shared" si="1456"/>
        <v>8.2191060435936686E-2</v>
      </c>
      <c r="I1387" s="1">
        <f t="shared" si="1456"/>
        <v>8.2206513218154281E-2</v>
      </c>
      <c r="J1387" s="1">
        <f t="shared" si="1456"/>
        <v>9.348198198546101E-2</v>
      </c>
      <c r="K1387" s="1">
        <f t="shared" si="1456"/>
        <v>9.4863382593404141E-2</v>
      </c>
      <c r="L1387" s="1">
        <f t="shared" ref="L1387" si="1457">IFERROR(L1363/L1334,"-")</f>
        <v>9.8765464178249204E-2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5.2751439830497689E-2</v>
      </c>
      <c r="H1388" s="1">
        <f t="shared" si="1458"/>
        <v>5.3859304277905917E-2</v>
      </c>
      <c r="I1388" s="1">
        <f t="shared" si="1458"/>
        <v>5.6884685223163305E-2</v>
      </c>
      <c r="J1388" s="1">
        <f t="shared" si="1458"/>
        <v>6.3136517796114913E-2</v>
      </c>
      <c r="K1388" s="1">
        <f t="shared" si="1458"/>
        <v>6.5089903766968937E-2</v>
      </c>
      <c r="L1388" s="1">
        <f t="shared" ref="L1388" si="1459">IFERROR(L1364/L1335,"-")</f>
        <v>6.9863887049319492E-2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60">IFERROR(G1365/G1336,"-")</f>
        <v>11.189596541502638</v>
      </c>
      <c r="H1389" s="1">
        <f t="shared" si="1460"/>
        <v>7.0209702814264219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0.12851077686985904</v>
      </c>
      <c r="H1390" s="1">
        <f t="shared" si="1462"/>
        <v>0.1315128308744975</v>
      </c>
      <c r="I1390" s="1">
        <f t="shared" si="1462"/>
        <v>0.12391916748597492</v>
      </c>
      <c r="J1390" s="1">
        <f t="shared" si="1462"/>
        <v>0.14985130616117173</v>
      </c>
      <c r="K1390" s="1">
        <f t="shared" si="1462"/>
        <v>0.16042577528731383</v>
      </c>
      <c r="L1390" s="1">
        <f t="shared" ref="L1390" si="1463">IFERROR(L1366/L1337,"-")</f>
        <v>0.16488523484910728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8.7465847585616679E-2</v>
      </c>
      <c r="G1391" s="1">
        <f t="shared" si="1464"/>
        <v>8.7782663334596098E-2</v>
      </c>
      <c r="H1391" s="1">
        <f t="shared" si="1464"/>
        <v>9.077786758260474E-2</v>
      </c>
      <c r="I1391" s="1" t="str">
        <f t="shared" si="1464"/>
        <v>-</v>
      </c>
      <c r="J1391" s="1">
        <f t="shared" si="1464"/>
        <v>0.10284666166292362</v>
      </c>
      <c r="K1391" s="1">
        <f t="shared" si="1464"/>
        <v>0.10471315473440694</v>
      </c>
      <c r="L1391" s="1">
        <f t="shared" ref="L1391" si="1465">IFERROR(L1367/L1338,"-")</f>
        <v>0.1139781954726196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5.7949527986548711E-2</v>
      </c>
      <c r="G1392" s="1">
        <f t="shared" si="1466"/>
        <v>5.8180661237605437E-2</v>
      </c>
      <c r="H1392" s="1">
        <f t="shared" si="1466"/>
        <v>5.8200581503533598E-2</v>
      </c>
      <c r="I1392" s="1" t="str">
        <f t="shared" si="1466"/>
        <v>-</v>
      </c>
      <c r="J1392" s="1">
        <f t="shared" si="1466"/>
        <v>6.8206842032046106E-2</v>
      </c>
      <c r="K1392" s="1">
        <f t="shared" si="1466"/>
        <v>7.5112471984321791E-2</v>
      </c>
      <c r="L1392" s="1">
        <f t="shared" ref="L1392" si="1467">IFERROR(L1368/L1339,"-")</f>
        <v>7.6743798413230868E-2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3.8646481387947573E-2</v>
      </c>
      <c r="G1393" s="1">
        <f t="shared" si="1468"/>
        <v>3.8897037049101142E-2</v>
      </c>
      <c r="H1393" s="1">
        <f t="shared" si="1468"/>
        <v>3.9209408451221651E-2</v>
      </c>
      <c r="I1393" s="1" t="str">
        <f t="shared" si="1468"/>
        <v>-</v>
      </c>
      <c r="J1393" s="1">
        <f t="shared" si="1468"/>
        <v>4.7868816609141267E-2</v>
      </c>
      <c r="K1393" s="1">
        <f t="shared" si="1468"/>
        <v>4.9107665259761832E-2</v>
      </c>
      <c r="L1393" s="1">
        <f t="shared" ref="L1393" si="1469">IFERROR(L1369/L1340,"-")</f>
        <v>5.0276157236678949E-2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70">IFERROR(G1370/G1346,"-")</f>
        <v>11.186996076539069</v>
      </c>
      <c r="H1394" s="1">
        <f t="shared" si="1470"/>
        <v>7.0144691190174813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0.12023751974847222</v>
      </c>
      <c r="H1395" s="1">
        <f t="shared" si="1472"/>
        <v>0.12611997089120544</v>
      </c>
      <c r="I1395" s="1">
        <f t="shared" si="1472"/>
        <v>0.13540510424235844</v>
      </c>
      <c r="J1395" s="1">
        <f t="shared" si="1472"/>
        <v>0.14201680223829594</v>
      </c>
      <c r="K1395" s="1">
        <f t="shared" si="1472"/>
        <v>0.1478016737532247</v>
      </c>
      <c r="L1395" s="1">
        <f t="shared" ref="L1395" si="1473">IFERROR(L1371/L1347,"-")</f>
        <v>0.16619890900505113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8.4998076233608832E-2</v>
      </c>
      <c r="H1396" s="1">
        <f t="shared" si="1474"/>
        <v>8.9367321041526643E-2</v>
      </c>
      <c r="I1396" s="1" t="str">
        <f t="shared" si="1474"/>
        <v>-</v>
      </c>
      <c r="J1396" s="1">
        <f t="shared" si="1474"/>
        <v>9.696753844586202E-2</v>
      </c>
      <c r="K1396" s="1">
        <f t="shared" si="1474"/>
        <v>0.10325733156230109</v>
      </c>
      <c r="L1396" s="1">
        <f t="shared" ref="L1396" si="1475">IFERROR(L1372/L1348,"-")</f>
        <v>0.11188315570804053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5.6422133461237145E-2</v>
      </c>
      <c r="H1397" s="1">
        <f t="shared" si="1476"/>
        <v>5.9334622079481425E-2</v>
      </c>
      <c r="I1397" s="1" t="str">
        <f t="shared" si="1476"/>
        <v>-</v>
      </c>
      <c r="J1397" s="1">
        <f t="shared" si="1476"/>
        <v>6.6769141695525641E-2</v>
      </c>
      <c r="K1397" s="1">
        <f t="shared" si="1476"/>
        <v>6.9258005444899878E-2</v>
      </c>
      <c r="L1397" s="1">
        <f t="shared" ref="L1397" si="1477">IFERROR(L1373/L1349,"-")</f>
        <v>7.3321646688388073E-2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3.7689157759834363E-2</v>
      </c>
      <c r="H1398" s="1">
        <f t="shared" si="1478"/>
        <v>3.9198321450721413E-2</v>
      </c>
      <c r="I1398" s="1" t="str">
        <f t="shared" si="1478"/>
        <v>-</v>
      </c>
      <c r="J1398" s="1">
        <f t="shared" si="1478"/>
        <v>4.5153176597278695E-2</v>
      </c>
      <c r="K1398" s="1">
        <f t="shared" si="1478"/>
        <v>4.6396695347195566E-2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80">G1400+G1406+G1411+G1425</f>
        <v>0.84274697054901282</v>
      </c>
      <c r="H1399" s="3">
        <f t="shared" ref="H1399" si="1481">H1400+H1406+H1411+H1425</f>
        <v>1.0093037055737766</v>
      </c>
      <c r="I1399" s="3">
        <f t="shared" ref="I1399" si="1482">I1400+I1406+I1411+I1425</f>
        <v>0.5260888299731763</v>
      </c>
      <c r="J1399" s="3">
        <f t="shared" ref="J1399" si="1483">J1400+J1406+J1411+J1425</f>
        <v>0.87393667728219837</v>
      </c>
      <c r="K1399" s="3">
        <f t="shared" ref="K1399:L1399" si="1484">K1400+K1406+K1411+K1425</f>
        <v>0.78480027981834899</v>
      </c>
      <c r="L1399" s="3">
        <f t="shared" si="1484"/>
        <v>0.37724361297285919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85">SUM(G1401:G1405)</f>
        <v>4.1545885377463924E-3</v>
      </c>
      <c r="H1400" s="1">
        <f t="shared" ref="H1400" si="1486">SUM(H1401:H1405)</f>
        <v>5.3056845409502236E-3</v>
      </c>
      <c r="I1400" s="1">
        <f t="shared" ref="I1400" si="1487">SUM(I1401:I1405)</f>
        <v>0.28066505616650739</v>
      </c>
      <c r="J1400" s="1">
        <f t="shared" ref="J1400" si="1488">SUM(J1401:J1405)</f>
        <v>0.12642155195819599</v>
      </c>
      <c r="K1400" s="1">
        <f t="shared" ref="K1400:L1400" si="1489">SUM(K1401:K1405)</f>
        <v>0.14254953093271758</v>
      </c>
      <c r="L1400" s="1">
        <f t="shared" si="1489"/>
        <v>0.26147384282587838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2.9757616014972618E-2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2.8597354565616562E-2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7.7602867020967636E-2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9.4616693713125852E-2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0.11005204945843984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0.14495718026800913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1.9500970831069415E-3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3.7702977166931824E-3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3.8873764289624177E-2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9.7145146990589655E-5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1.2982919196799538E-4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4.0031247277414003E-5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97">SUM(G1416:G1424)</f>
        <v>0.8381647300047097</v>
      </c>
      <c r="H1411" s="1">
        <f t="shared" si="1497"/>
        <v>1.0017061867647339</v>
      </c>
      <c r="I1411" s="1">
        <f t="shared" si="1497"/>
        <v>0.24542377380666885</v>
      </c>
      <c r="J1411" s="1">
        <f t="shared" si="1497"/>
        <v>0.7460792780983343</v>
      </c>
      <c r="K1411" s="1">
        <f t="shared" si="1497"/>
        <v>0.64079265619865489</v>
      </c>
      <c r="L1411" s="1">
        <f t="shared" ref="L1411" si="1498">SUM(L1416:L1424)</f>
        <v>0.11467833927216599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99">IF(G1411-G1413&lt;0,0,G1411-G1413)</f>
        <v>0.81632156893245511</v>
      </c>
      <c r="H1412" s="1">
        <f t="shared" si="1499"/>
        <v>0.97017255147855486</v>
      </c>
      <c r="I1412" s="1">
        <f t="shared" si="1499"/>
        <v>0.23582574465783673</v>
      </c>
      <c r="J1412" s="1">
        <f t="shared" si="1499"/>
        <v>0.71528609688389333</v>
      </c>
      <c r="K1412" s="1">
        <f t="shared" si="1499"/>
        <v>0.62050876752773965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500">SUM(G1414:G1415)</f>
        <v>2.1843161072254563E-2</v>
      </c>
      <c r="H1413" s="1">
        <f t="shared" ref="H1413" si="1501">SUM(H1414:H1415)</f>
        <v>3.1533635286179064E-2</v>
      </c>
      <c r="I1413" s="1">
        <f t="shared" ref="I1413" si="1502">SUM(I1414:I1415)</f>
        <v>9.5980291488321264E-3</v>
      </c>
      <c r="J1413" s="1">
        <f t="shared" ref="J1413" si="1503">SUM(J1414:J1415)</f>
        <v>3.079318121444093E-2</v>
      </c>
      <c r="K1413" s="1">
        <f t="shared" ref="K1413:L1413" si="1504">SUM(K1414:K1415)</f>
        <v>2.0283888670915198E-2</v>
      </c>
      <c r="L1413" s="1">
        <f t="shared" si="1504"/>
        <v>0.13190168845923711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[2]Transport!F$26/SUM([2]Transport!F$22,[2]Transport!F$26)*J1411*(J$34+J$582)/(J$34+J$582+J$38)</f>
        <v>3.079318121444093E-2</v>
      </c>
      <c r="K1414" s="1">
        <f>[2]Transport!G$26/SUM([2]Transport!G$22,[2]Transport!G$26)*K1411*(K$34+K$582)/(K$34+K$582+K$38)</f>
        <v>2.0283888670915198E-2</v>
      </c>
      <c r="L1414" s="1">
        <f>[2]Transport!H$26/SUM([2]Transport!H$22,[2]Transport!H$26)*L1411*(L$34+L$582)/(L$34+L$582+L$38)</f>
        <v>5.1354218768622284E-2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8.054746969061484E-2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3.301736109060819E-3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1.4703101942193566E-3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9.4750011307336957E-2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3.0859579847419358E-3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2.3126560380633864E-3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1.0363346077098894E-3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8.3861908856204658E-3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5.6452573332748661E-2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1.7461874004521337E-2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4.4311642022559814E-5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7.135356842312692E-5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8.4148337617753014E-6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0.33269303550117763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0.32468004523632255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3.998835926346818E-4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0.24058672657665187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0.17442172904438941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4.5403913436460982E-4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0.15792291212249893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8.1290171142927886E-2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5.6233747902770161E-4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5.8407276560172256E-5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9.3817641560471117E-5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5.4443128090423846E-6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505">SUM(G1430:G1434)</f>
        <v>4.2765200655672515E-4</v>
      </c>
      <c r="H1425" s="1">
        <f t="shared" ref="H1425" si="1506">SUM(H1430:H1434)</f>
        <v>2.2918342680923968E-3</v>
      </c>
      <c r="I1425" s="1">
        <f t="shared" ref="I1425" si="1507">SUM(I1430:I1434)</f>
        <v>0</v>
      </c>
      <c r="J1425" s="1">
        <f t="shared" ref="J1425" si="1508">SUM(J1430:J1434)</f>
        <v>1.4358472256681735E-3</v>
      </c>
      <c r="K1425" s="1">
        <f t="shared" ref="K1425:L1425" si="1509">SUM(K1430:K1434)</f>
        <v>1.4580926869764482E-3</v>
      </c>
      <c r="L1425" s="1">
        <f t="shared" si="1509"/>
        <v>1.0914308748148332E-3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510">IF(G1425-G1427&lt;0,0,G1425-G1427)</f>
        <v>3.8584454441476716E-4</v>
      </c>
      <c r="H1426" s="1">
        <f t="shared" si="1510"/>
        <v>2.0750263035008462E-3</v>
      </c>
      <c r="I1426" s="1">
        <f t="shared" si="1510"/>
        <v>0</v>
      </c>
      <c r="J1426" s="1">
        <f t="shared" si="1510"/>
        <v>0</v>
      </c>
      <c r="K1426" s="1">
        <f t="shared" si="1510"/>
        <v>1.4573370633182727E-3</v>
      </c>
      <c r="L1426" s="1">
        <f t="shared" si="1510"/>
        <v>1.087745194072881E-3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511">SUM(G1428:G1429)</f>
        <v>4.180746214195797E-5</v>
      </c>
      <c r="H1427" s="1">
        <f t="shared" ref="H1427" si="1512">SUM(H1428:H1429)</f>
        <v>2.1680796459155047E-4</v>
      </c>
      <c r="I1427" s="1">
        <f t="shared" ref="I1427" si="1513">SUM(I1428:I1429)</f>
        <v>0</v>
      </c>
      <c r="J1427" s="1">
        <f t="shared" ref="J1427" si="1514">SUM(J1428:J1429)</f>
        <v>6.4997614074225078E-3</v>
      </c>
      <c r="K1427" s="1">
        <f t="shared" ref="K1427:L1427" si="1515">SUM(K1428:K1429)</f>
        <v>7.5562365817555104E-7</v>
      </c>
      <c r="L1427" s="1">
        <f t="shared" si="1515"/>
        <v>3.6856807419521587E-6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2.6980696321146473E-4</v>
      </c>
      <c r="K1428" s="1">
        <f>[2]Transport!G$27/SUM([2]Transport!G$24,[2]Transport!G$27)*K1425*(K$47+K$614)/(K$47+K$614+K$49)</f>
        <v>7.5562365817555104E-7</v>
      </c>
      <c r="L1428" s="1">
        <f>[2]Transport!H$27/SUM([2]Transport!H$24,[2]Transport!H$27)*L1425*(L$47+L$614)/(L$47+L$614+L$49)</f>
        <v>3.6856807419521587E-6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6.2299544442110432E-3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3.1627832246248691E-4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2.420253080952821E-4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3.1760826337078025E-4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5.4553396888453907E-4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4.243552392479439E-4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3.1610161913769305E-4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5.4771911206834831E-4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7.4103500712637081E-4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4.5394608357614139E-4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2.6315822252799202E-5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5.0677132506851292E-5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3.7749087302185275E-6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16">SUM(G1436:G1458)</f>
        <v>0.1316494463353779</v>
      </c>
      <c r="H1435" s="3">
        <f t="shared" ref="H1435" si="1517">SUM(H1436:H1458)</f>
        <v>0.1326908606963102</v>
      </c>
      <c r="I1435" s="3">
        <f t="shared" ref="I1435" si="1518">SUM(I1436:I1458)</f>
        <v>0.13441651245149505</v>
      </c>
      <c r="J1435" s="3">
        <f t="shared" ref="J1435" si="1519">SUM(J1436:J1458)</f>
        <v>0.13463922532670025</v>
      </c>
      <c r="K1435" s="3">
        <f t="shared" ref="K1435:L1435" si="1520">SUM(K1436:K1458)</f>
        <v>0.13472880015621877</v>
      </c>
      <c r="L1435" s="3">
        <f t="shared" si="1520"/>
        <v>0.13114357567160401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1.3958094634206166E-2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1.3492623221993674E-2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4.1721966088431636E-2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3.228091751480279E-2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3.7840650902044207E-2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5.576831959330638E-2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4.4110068956324547E-4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8.8149888416459959E-4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1.0174375127887028E-2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1.4691135906034275E-5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2.0405109593858936E-5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6.8636203051151347E-6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6.0572306643525222E-4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2.8793080133823718E-4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2.1304577067012689E-2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4.1142950266665639E-4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3.2750598199548451E-4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1.5633135598991884E-4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7.7668390483162479E-4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5.5417345784231639E-3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1.7274317173423389E-3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2.7963219169562779E-6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4.672421228569577E-6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6.0380840745626239E-7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5.0206199192801761E-2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5.1030184555742153E-2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6.5751402211281954E-5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2.4759432166475498E-2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1.9331273222168786E-2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5.1635659113665383E-5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1.1044937321374701E-2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5.8320404269516382E-3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4.3025111380871196E-5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2.791101074036459E-6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4.6375494827956339E-6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2.8615330826582831E-7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4.419005514993427E-5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3.5804191166267391E-5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5.2251822953111485E-5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5.279751095618281E-5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4.3975766277990644E-5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3.5634846526840086E-5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3.6250673896350696E-5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5.1499781404468437E-5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3.4325938011296953E-5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1.1905346430294963E-6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2.3627622428647576E-6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1.9635941611203029E-7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0.37869321701871816</v>
      </c>
      <c r="G1461" s="1">
        <f t="shared" si="1528"/>
        <v>0.38520363054183615</v>
      </c>
      <c r="H1461" s="1">
        <f t="shared" si="1528"/>
        <v>0.39560495283287744</v>
      </c>
      <c r="I1461" s="1">
        <f t="shared" si="1528"/>
        <v>0.44699371520290682</v>
      </c>
      <c r="J1461" s="1">
        <f t="shared" si="1528"/>
        <v>0.46905957208343291</v>
      </c>
      <c r="K1461" s="1">
        <f t="shared" si="1528"/>
        <v>0.47181368441038424</v>
      </c>
      <c r="L1461" s="1">
        <f t="shared" ref="L1461" si="1529">IFERROR(L1437/L1402,"-")</f>
        <v>0.53763433865347676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0.27518070496490693</v>
      </c>
      <c r="G1462" s="1">
        <f t="shared" si="1530"/>
        <v>0.27824661696765457</v>
      </c>
      <c r="H1462" s="1">
        <f t="shared" si="1530"/>
        <v>0.28286287710600166</v>
      </c>
      <c r="I1462" s="1">
        <f t="shared" si="1530"/>
        <v>0.3238259782501306</v>
      </c>
      <c r="J1462" s="1">
        <f t="shared" si="1530"/>
        <v>0.34117570851373524</v>
      </c>
      <c r="K1462" s="1">
        <f t="shared" si="1530"/>
        <v>0.34384321862478706</v>
      </c>
      <c r="L1462" s="1">
        <f t="shared" ref="L1462" si="1531">IFERROR(L1438/L1403,"-")</f>
        <v>0.38472271252929435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0.18297040713439916</v>
      </c>
      <c r="G1463" s="1">
        <f t="shared" si="1532"/>
        <v>0.18525185681673922</v>
      </c>
      <c r="H1463" s="1">
        <f t="shared" si="1532"/>
        <v>0.18738304863817748</v>
      </c>
      <c r="I1463" s="1">
        <f t="shared" si="1532"/>
        <v>0.20227078168991769</v>
      </c>
      <c r="J1463" s="1">
        <f t="shared" si="1532"/>
        <v>0.2261942204746408</v>
      </c>
      <c r="K1463" s="1">
        <f t="shared" si="1532"/>
        <v>0.23380086942782238</v>
      </c>
      <c r="L1463" s="1">
        <f t="shared" ref="L1463" si="1533">IFERROR(L1439/L1404,"-")</f>
        <v>0.26172858002852784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0.12643429100140421</v>
      </c>
      <c r="H1464" s="1">
        <f t="shared" si="1534"/>
        <v>0.129304064185046</v>
      </c>
      <c r="I1464" s="1">
        <f t="shared" si="1534"/>
        <v>0.13826573624185914</v>
      </c>
      <c r="J1464" s="1">
        <f t="shared" si="1534"/>
        <v>0.15122871662809251</v>
      </c>
      <c r="K1464" s="1">
        <f t="shared" si="1534"/>
        <v>0.1571688869394571</v>
      </c>
      <c r="L1464" s="1">
        <f t="shared" ref="L1464" si="1535">IFERROR(L1440/L1405,"-")</f>
        <v>0.17145656885359284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0.16251369968883869</v>
      </c>
      <c r="H1469" s="1">
        <f t="shared" si="1544"/>
        <v>0.16549784120842384</v>
      </c>
      <c r="I1469" s="1">
        <f t="shared" si="1544"/>
        <v>0.17313209640304722</v>
      </c>
      <c r="J1469" s="1">
        <f t="shared" si="1544"/>
        <v>0.18345592937394095</v>
      </c>
      <c r="K1469" s="1">
        <f t="shared" si="1544"/>
        <v>0.19582997007723976</v>
      </c>
      <c r="L1469" s="1">
        <f t="shared" ref="L1469" si="1545">IFERROR(L1445/L1416,"-")</f>
        <v>0.22485039076045968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0.11649393435744138</v>
      </c>
      <c r="H1470" s="1">
        <f t="shared" si="1546"/>
        <v>0.12226698916415461</v>
      </c>
      <c r="I1470" s="1">
        <f t="shared" si="1546"/>
        <v>0.12799255349596481</v>
      </c>
      <c r="J1470" s="1">
        <f t="shared" si="1546"/>
        <v>0.13332310572629599</v>
      </c>
      <c r="K1470" s="1">
        <f t="shared" si="1546"/>
        <v>0.14161465285159197</v>
      </c>
      <c r="L1470" s="1">
        <f t="shared" ref="L1470" si="1547">IFERROR(L1446/L1417,"-")</f>
        <v>0.15085027058527228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7.8235828164578997E-2</v>
      </c>
      <c r="H1471" s="1">
        <f t="shared" si="1548"/>
        <v>8.2110820762997916E-2</v>
      </c>
      <c r="I1471" s="1">
        <f t="shared" si="1548"/>
        <v>8.7871120020862684E-2</v>
      </c>
      <c r="J1471" s="1">
        <f t="shared" si="1548"/>
        <v>9.2614622708312055E-2</v>
      </c>
      <c r="K1471" s="1">
        <f t="shared" si="1548"/>
        <v>9.8166199541666457E-2</v>
      </c>
      <c r="L1471" s="1">
        <f t="shared" ref="L1471" si="1549">IFERROR(L1447/L1418,"-")</f>
        <v>9.8925906629211829E-2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5.2751439830497751E-2</v>
      </c>
      <c r="H1472" s="1">
        <f t="shared" si="1550"/>
        <v>5.3898436709217103E-2</v>
      </c>
      <c r="I1472" s="1">
        <f t="shared" si="1550"/>
        <v>5.7272819668435913E-2</v>
      </c>
      <c r="J1472" s="1">
        <f t="shared" si="1550"/>
        <v>6.3105806720785085E-2</v>
      </c>
      <c r="K1472" s="1">
        <f t="shared" si="1550"/>
        <v>6.5482656744819012E-2</v>
      </c>
      <c r="L1472" s="1">
        <f t="shared" ref="L1472" si="1551">IFERROR(L1448/L1419,"-")</f>
        <v>7.1755238968485013E-2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52">IFERROR(G1449/G1420,"-")</f>
        <v>7.9797266512003127</v>
      </c>
      <c r="H1473" s="1">
        <f t="shared" si="1552"/>
        <v>5.0239422367072901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0.12391916748597509</v>
      </c>
      <c r="G1474" s="1">
        <f t="shared" si="1554"/>
        <v>0.12668688751369483</v>
      </c>
      <c r="H1474" s="1">
        <f t="shared" si="1554"/>
        <v>0.12823409188599999</v>
      </c>
      <c r="I1474" s="1" t="str">
        <f t="shared" si="1554"/>
        <v>-</v>
      </c>
      <c r="J1474" s="1">
        <f t="shared" si="1554"/>
        <v>0.15090847668984056</v>
      </c>
      <c r="K1474" s="1">
        <f t="shared" si="1554"/>
        <v>0.15717068327558958</v>
      </c>
      <c r="L1474" s="1">
        <f t="shared" ref="L1474" si="1555">IFERROR(L1450/L1421,"-")</f>
        <v>0.16442635662561403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8.7465847585616541E-2</v>
      </c>
      <c r="G1475" s="1">
        <f t="shared" si="1556"/>
        <v>8.7812919130600076E-2</v>
      </c>
      <c r="H1475" s="1">
        <f t="shared" si="1556"/>
        <v>8.7809767467238301E-2</v>
      </c>
      <c r="I1475" s="1" t="str">
        <f t="shared" si="1556"/>
        <v>-</v>
      </c>
      <c r="J1475" s="1">
        <f t="shared" si="1556"/>
        <v>0.10291271060037906</v>
      </c>
      <c r="K1475" s="1">
        <f t="shared" si="1556"/>
        <v>0.11083064781022255</v>
      </c>
      <c r="L1475" s="1">
        <f t="shared" ref="L1475" si="1557">IFERROR(L1451/L1422,"-")</f>
        <v>0.11372512897137206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5.7949527986548642E-2</v>
      </c>
      <c r="G1476" s="1">
        <f t="shared" si="1558"/>
        <v>5.8187067918153978E-2</v>
      </c>
      <c r="H1476" s="1">
        <f t="shared" si="1558"/>
        <v>5.8200738678164152E-2</v>
      </c>
      <c r="I1476" s="1" t="str">
        <f t="shared" si="1558"/>
        <v>-</v>
      </c>
      <c r="J1476" s="1">
        <f t="shared" si="1558"/>
        <v>6.9938789583662661E-2</v>
      </c>
      <c r="K1476" s="1">
        <f t="shared" si="1558"/>
        <v>7.1743488111219417E-2</v>
      </c>
      <c r="L1476" s="1">
        <f t="shared" ref="L1476" si="1559">IFERROR(L1452/L1423,"-")</f>
        <v>7.6511192985505613E-2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3.8646481387947511E-2</v>
      </c>
      <c r="G1477" s="1">
        <f t="shared" si="1560"/>
        <v>3.8958140884201589E-2</v>
      </c>
      <c r="H1477" s="1">
        <f t="shared" si="1560"/>
        <v>3.9248864061242804E-2</v>
      </c>
      <c r="I1477" s="1" t="str">
        <f t="shared" si="1560"/>
        <v>-</v>
      </c>
      <c r="J1477" s="1">
        <f t="shared" si="1560"/>
        <v>4.7786872431228922E-2</v>
      </c>
      <c r="K1477" s="1">
        <f t="shared" si="1560"/>
        <v>4.9431529141632215E-2</v>
      </c>
      <c r="L1477" s="1">
        <f t="shared" ref="L1477" si="1561">IFERROR(L1453/L1424,"-")</f>
        <v>5.2560041699029524E-2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62">IFERROR(G1454/G1430,"-")</f>
        <v>7.9767976048237523</v>
      </c>
      <c r="H1478" s="1">
        <f t="shared" si="1562"/>
        <v>5.0166196207658702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0.12023751974847215</v>
      </c>
      <c r="H1479" s="1">
        <f t="shared" si="1564"/>
        <v>0.12588848488903456</v>
      </c>
      <c r="I1479" s="1" t="str">
        <f t="shared" si="1564"/>
        <v>-</v>
      </c>
      <c r="J1479" s="1">
        <f t="shared" si="1564"/>
        <v>0.13971888685218239</v>
      </c>
      <c r="K1479" s="1">
        <f t="shared" si="1564"/>
        <v>0.147935732209343</v>
      </c>
      <c r="L1479" s="1">
        <f t="shared" ref="L1479" si="1565">IFERROR(L1455/L1431,"-")</f>
        <v>0.16451657270677492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8.4998076233608888E-2</v>
      </c>
      <c r="H1480" s="1">
        <f t="shared" si="1566"/>
        <v>8.8759512292266987E-2</v>
      </c>
      <c r="I1480" s="1" t="str">
        <f t="shared" si="1566"/>
        <v>-</v>
      </c>
      <c r="J1480" s="1">
        <f t="shared" si="1566"/>
        <v>9.6781344458052018E-2</v>
      </c>
      <c r="K1480" s="1">
        <f t="shared" si="1566"/>
        <v>0.10362960607232262</v>
      </c>
      <c r="L1480" s="1">
        <f t="shared" ref="L1480" si="1567">IFERROR(L1456/L1432,"-")</f>
        <v>0.11273224928125926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5.6422133461237131E-2</v>
      </c>
      <c r="H1481" s="1">
        <f t="shared" si="1568"/>
        <v>5.8760692832628844E-2</v>
      </c>
      <c r="I1481" s="1" t="str">
        <f t="shared" si="1568"/>
        <v>-</v>
      </c>
      <c r="J1481" s="1">
        <f t="shared" si="1568"/>
        <v>6.6184789059957214E-2</v>
      </c>
      <c r="K1481" s="1">
        <f t="shared" si="1568"/>
        <v>6.9497096505841641E-2</v>
      </c>
      <c r="L1481" s="1">
        <f t="shared" ref="L1481" si="1569">IFERROR(L1457/L1433,"-")</f>
        <v>7.5616773121778433E-2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3.7689157759834349E-2</v>
      </c>
      <c r="H1482" s="1">
        <f t="shared" si="1570"/>
        <v>3.9191882653171209E-2</v>
      </c>
      <c r="I1482" s="1" t="str">
        <f t="shared" si="1570"/>
        <v>-</v>
      </c>
      <c r="J1482" s="1">
        <f t="shared" si="1570"/>
        <v>4.5240260083564736E-2</v>
      </c>
      <c r="K1482" s="1">
        <f t="shared" si="1570"/>
        <v>4.6623834577564624E-2</v>
      </c>
      <c r="L1482" s="1">
        <f t="shared" ref="L1482" si="1571">IFERROR(L1458/L1434,"-")</f>
        <v>5.2016997004497946E-2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0.49261136197989641</v>
      </c>
      <c r="K1483" s="3">
        <f t="shared" si="1572"/>
        <v>0.50951781331339152</v>
      </c>
      <c r="L1483" s="3">
        <f t="shared" si="1572"/>
        <v>0.53414696386004867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0.49261136197989641</v>
      </c>
      <c r="K1484" s="1">
        <f t="shared" si="1573"/>
        <v>0.50951781331339152</v>
      </c>
      <c r="L1484" s="1">
        <f t="shared" si="1573"/>
        <v>0.53414696386004867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0.49261136197989641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0.50951781331339152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0.53414696386004867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3.3377943963007015E-2</v>
      </c>
      <c r="K1486" s="3">
        <f t="shared" si="1577"/>
        <v>3.4523476991223531E-2</v>
      </c>
      <c r="L1486" s="3">
        <f t="shared" si="1577"/>
        <v>3.6192278140061748E-2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3.3377943963007015E-2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3.4523476991223531E-2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3.6192278140061748E-2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6.7757154095786323E-2</v>
      </c>
      <c r="K1489" s="1">
        <f t="shared" si="1578"/>
        <v>6.7757154095786268E-2</v>
      </c>
      <c r="L1489" s="1">
        <f t="shared" ref="L1489" si="1579">L1487/L1485</f>
        <v>6.7757154095786365E-2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0.81049220903668817</v>
      </c>
      <c r="K1490" s="3">
        <f t="shared" ref="K1490:L1491" si="1584">K1491</f>
        <v>0.83406545569057244</v>
      </c>
      <c r="L1490" s="3">
        <f t="shared" si="1584"/>
        <v>0.87438264033834123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0.81049220903668817</v>
      </c>
      <c r="K1491" s="1">
        <f t="shared" si="1584"/>
        <v>0.83406545569057244</v>
      </c>
      <c r="L1491" s="1">
        <f t="shared" si="1584"/>
        <v>0.87438264033834123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0.81049220903668817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0.83406545569057244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0.87438264033834123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4.0928719476428004E-2</v>
      </c>
      <c r="K1493" s="3">
        <f t="shared" ref="K1493:L1493" si="1592">K1494</f>
        <v>4.2119135360366218E-2</v>
      </c>
      <c r="L1493" s="3">
        <f t="shared" si="1592"/>
        <v>4.4155096622090266E-2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4.0928719476428004E-2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4.2119135360366218E-2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4.4155096622090266E-2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5.0498597050147961E-2</v>
      </c>
      <c r="K1496" s="1">
        <f t="shared" si="1593"/>
        <v>5.0498597050147913E-2</v>
      </c>
      <c r="L1496" s="1">
        <f t="shared" ref="L1496" si="1594">L1494/L1492</f>
        <v>5.0498597050147871E-2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95">SUM(G1498,G1503,G1508)</f>
        <v>1.6521357309662572</v>
      </c>
      <c r="H1497" s="3">
        <f t="shared" si="1595"/>
        <v>1.3732005529406281</v>
      </c>
      <c r="I1497" s="3">
        <f t="shared" si="1595"/>
        <v>1.1255891485558094</v>
      </c>
      <c r="J1497" s="3">
        <f t="shared" si="1595"/>
        <v>0.54045223356032712</v>
      </c>
      <c r="K1497" s="3">
        <f t="shared" si="1595"/>
        <v>0.28105545701935153</v>
      </c>
      <c r="L1497" s="3">
        <f t="shared" ref="L1497" si="1596">SUM(L1498,L1503,L1508)</f>
        <v>0.17095213410993063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98">SUM(G1499:G1502)</f>
        <v>5.7358497904560206E-2</v>
      </c>
      <c r="H1498" s="1">
        <f t="shared" si="1598"/>
        <v>5.7686881401448009E-2</v>
      </c>
      <c r="I1498" s="1">
        <f t="shared" si="1598"/>
        <v>4.2720230689753808E-2</v>
      </c>
      <c r="J1498" s="1">
        <f t="shared" si="1598"/>
        <v>0.10980710837637341</v>
      </c>
      <c r="K1498" s="1">
        <f t="shared" si="1598"/>
        <v>0.16114790663131104</v>
      </c>
      <c r="L1498" s="1">
        <f t="shared" ref="L1498" si="1599">SUM(L1499:L1502)</f>
        <v>0.17066741403055299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0.10901807215070004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0.16042315565638707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0.17024763531376999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2.5916214030536396E-4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2.2269982699161115E-4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1.3878626872762133E-4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2.6954977403943932E-4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2.110935037038653E-4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1.088871250176418E-4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2.603243113285725E-4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2.9095764422851819E-4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1.7210532303773218E-4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0</v>
      </c>
      <c r="J1503" s="1">
        <f t="shared" si="1603"/>
        <v>0</v>
      </c>
      <c r="K1503" s="1">
        <f t="shared" si="1603"/>
        <v>2.9593976240063492E-4</v>
      </c>
      <c r="L1503" s="1">
        <f t="shared" ref="L1503" si="1604">SUM(L1504:L1507)</f>
        <v>2.8472007937764234E-4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0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1.1797717437374914E-4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9.6872727326071824E-5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0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7.9486881045767407E-5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6.8466107869764056E-5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0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6.0881146790556647E-5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6.9260620989165903E-5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0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3.7594560190561764E-5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5.0120623192640526E-5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608">SUM(G1513:G1517)</f>
        <v>1.5947772330616969</v>
      </c>
      <c r="H1508" s="1">
        <f t="shared" si="1608"/>
        <v>1.3155136715391802</v>
      </c>
      <c r="I1508" s="1">
        <f t="shared" si="1608"/>
        <v>1.0828689178660555</v>
      </c>
      <c r="J1508" s="1">
        <f t="shared" si="1608"/>
        <v>0.4306451251839537</v>
      </c>
      <c r="K1508" s="1">
        <f t="shared" si="1608"/>
        <v>0.11961161062563982</v>
      </c>
      <c r="L1508" s="1">
        <f t="shared" ref="L1508" si="1609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610">IF(G1508-G1510&lt;0,0,G1508-G1510)</f>
        <v>1.5074789014133108</v>
      </c>
      <c r="H1509" s="1">
        <f t="shared" si="1610"/>
        <v>1.2281045169334621</v>
      </c>
      <c r="I1509" s="1">
        <f t="shared" si="1610"/>
        <v>1.0235903178449506</v>
      </c>
      <c r="J1509" s="1">
        <f t="shared" si="1610"/>
        <v>0.40190073312142238</v>
      </c>
      <c r="K1509" s="1">
        <f t="shared" si="1610"/>
        <v>9.3153543480266915E-2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13">SUM(G1511:G1512)</f>
        <v>8.7298331648386213E-2</v>
      </c>
      <c r="H1510" s="1">
        <f t="shared" ref="H1510" si="1614">SUM(H1511:H1512)</f>
        <v>8.7409154605718048E-2</v>
      </c>
      <c r="I1510" s="1">
        <f t="shared" ref="I1510" si="1615">SUM(I1511:I1512)</f>
        <v>5.927860002110498E-2</v>
      </c>
      <c r="J1510" s="1">
        <f t="shared" ref="J1510" si="1616">SUM(J1511:J1512)</f>
        <v>2.87443920625313E-2</v>
      </c>
      <c r="K1510" s="1">
        <f t="shared" ref="K1510" si="1617">SUM(K1511:K1512)</f>
        <v>2.6458067145372906E-2</v>
      </c>
      <c r="L1510" s="1">
        <f>IFERROR(SUM(L1511:L1512),0)</f>
        <v>0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[2]Transport!F$25/SUM([2]Transport!F$21,[2]Transport!F$25)*J1508*(J$35+J$600)/(J$35+J$600+J$39)</f>
        <v>2.87443920625313E-2</v>
      </c>
      <c r="K1511" s="1">
        <f>[2]Transport!G$25/SUM([2]Transport!G$21,[2]Transport!G$25)*K1508*(K$35+K$600)/(K$35+K$600+K$39)</f>
        <v>2.6458067145372906E-2</v>
      </c>
      <c r="L1511" s="1">
        <f>IFERROR([2]Transport!H$25/SUM([2]Transport!H$21,[2]Transport!H$25)*L1508*(L$35+L$600)/(L$35+L$600+L$39),0)</f>
        <v>0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IFERROR((L$39+L$719)/([2]Transport!H$21+[2]Transport!H$25)*L1508,0)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0.3795739584036002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8.2464990119547082E-2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9.9179260230901102E-3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3.1656863365013517E-4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0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7.9522614010113374E-3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3.7172747112191912E-3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0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3.3200979356252047E-2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3.3112777161223426E-2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0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20">SUM(G1519:G1531)</f>
        <v>1.9513896623548095</v>
      </c>
      <c r="H1518" s="3">
        <f t="shared" si="1620"/>
        <v>1.955434413378089</v>
      </c>
      <c r="I1518" s="3">
        <f t="shared" si="1620"/>
        <v>1.9617061130551303</v>
      </c>
      <c r="J1518" s="3">
        <f t="shared" si="1620"/>
        <v>2.0553866526560127</v>
      </c>
      <c r="K1518" s="3">
        <f t="shared" si="1620"/>
        <v>2.0535243374359862</v>
      </c>
      <c r="L1518" s="3">
        <f t="shared" ref="L1518" si="1621">SUM(L1519:L1531)</f>
        <v>2.0180437580109527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1.2554243059791768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1.8573174095132892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2.0150997043698435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1.6757357210312128E-3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1.455784193879902E-3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9.1986960406022884E-4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1.1193885772005595E-3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8.8765324985190606E-4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4.7139574043499711E-4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9.9811324109594954E-4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1.1227411148004886E-3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6.8117451830243569E-4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0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5.6121471991134808E-4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4.7115469016772586E-4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0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2.1937511866888232E-4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1.9242837669504803E-4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0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1.093006237040024E-4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1.2657250272883998E-4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0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6.0115866300012834E-5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8.1458208719110522E-5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0.75682934197669793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0.16624033223976983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1.1008744696881186E-2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3.7201616964985484E-4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0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5.8265970246812902E-3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2.7323047547063851E-3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0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2.2504425439247751E-2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2.2446089871454803E-2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0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11.098927012431902</v>
      </c>
      <c r="G1533" s="1">
        <f t="shared" si="1625"/>
        <v>11.099208344154382</v>
      </c>
      <c r="H1533" s="1">
        <f t="shared" si="1625"/>
        <v>11.099482523051272</v>
      </c>
      <c r="I1533" s="1">
        <f t="shared" si="1625"/>
        <v>11.100697588852187</v>
      </c>
      <c r="J1533" s="1">
        <f t="shared" si="1625"/>
        <v>11.51574487800292</v>
      </c>
      <c r="K1533" s="1">
        <f t="shared" si="1625"/>
        <v>11.577614228531367</v>
      </c>
      <c r="L1533" s="1">
        <f t="shared" ref="L1533" si="1626">IFERROR(L1519/L1499,"-")</f>
        <v>11.836286011585255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6.284524362935997</v>
      </c>
      <c r="G1534" s="1">
        <f t="shared" si="1625"/>
        <v>6.2886372155481718</v>
      </c>
      <c r="H1534" s="1">
        <f t="shared" si="1625"/>
        <v>6.3000516408138507</v>
      </c>
      <c r="I1534" s="1">
        <f t="shared" si="1625"/>
        <v>6.3242030048807951</v>
      </c>
      <c r="J1534" s="1">
        <f t="shared" si="1625"/>
        <v>6.4659742316402289</v>
      </c>
      <c r="K1534" s="1">
        <f t="shared" si="1625"/>
        <v>6.5369794559146186</v>
      </c>
      <c r="L1534" s="1">
        <f t="shared" ref="L1534" si="1627">IFERROR(L1520/L1500,"-")</f>
        <v>6.627958316723273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4.0901432735634886</v>
      </c>
      <c r="G1535" s="1">
        <f t="shared" si="1625"/>
        <v>4.0976275003010878</v>
      </c>
      <c r="H1535" s="1">
        <f t="shared" si="1625"/>
        <v>4.1109991062851057</v>
      </c>
      <c r="I1535" s="1">
        <f t="shared" si="1625"/>
        <v>4.1311633581964191</v>
      </c>
      <c r="J1535" s="1">
        <f t="shared" si="1625"/>
        <v>4.1528084421127192</v>
      </c>
      <c r="K1535" s="1">
        <f t="shared" si="1625"/>
        <v>4.2050240025252483</v>
      </c>
      <c r="L1535" s="1">
        <f t="shared" ref="L1535" si="1628">IFERROR(L1521/L1501,"-")</f>
        <v>4.3292146831741762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3.7650534829600413</v>
      </c>
      <c r="G1536" s="1">
        <f t="shared" si="1625"/>
        <v>3.7724502845093997</v>
      </c>
      <c r="H1536" s="1">
        <f t="shared" si="1625"/>
        <v>3.7878202627633759</v>
      </c>
      <c r="I1536" s="1">
        <f t="shared" si="1625"/>
        <v>3.8063083998452676</v>
      </c>
      <c r="J1536" s="1">
        <f t="shared" si="1625"/>
        <v>3.834114593454796</v>
      </c>
      <c r="K1536" s="1">
        <f t="shared" si="1625"/>
        <v>3.8587785441329991</v>
      </c>
      <c r="L1536" s="1">
        <f t="shared" ref="L1536" si="1629">IFERROR(L1522/L1502,"-")</f>
        <v>3.9578933776098011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 t="str">
        <f t="shared" si="1630"/>
        <v>-</v>
      </c>
      <c r="J1537" s="1" t="str">
        <f t="shared" si="1630"/>
        <v>-</v>
      </c>
      <c r="K1537" s="1">
        <f t="shared" si="1630"/>
        <v>4.7569771262145339</v>
      </c>
      <c r="L1537" s="1">
        <f t="shared" ref="L1537" si="1631">IFERROR(L1523/L1504,"-")</f>
        <v>4.8636463860651702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 t="str">
        <f t="shared" si="1630"/>
        <v>-</v>
      </c>
      <c r="J1538" s="1" t="str">
        <f t="shared" si="1630"/>
        <v>-</v>
      </c>
      <c r="K1538" s="1">
        <f t="shared" si="1630"/>
        <v>2.7598908874354908</v>
      </c>
      <c r="L1538" s="1">
        <f t="shared" ref="L1538" si="1632">IFERROR(L1524/L1505,"-")</f>
        <v>2.8105639809565997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 t="str">
        <f t="shared" si="1630"/>
        <v>-</v>
      </c>
      <c r="J1539" s="1" t="str">
        <f t="shared" si="1630"/>
        <v>-</v>
      </c>
      <c r="K1539" s="1">
        <f t="shared" si="1630"/>
        <v>1.7953115121175109</v>
      </c>
      <c r="L1539" s="1">
        <f t="shared" ref="L1539" si="1633">IFERROR(L1525/L1506,"-")</f>
        <v>1.8274814883429806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 t="str">
        <f t="shared" si="1630"/>
        <v>-</v>
      </c>
      <c r="J1540" s="1" t="str">
        <f t="shared" si="1630"/>
        <v>-</v>
      </c>
      <c r="K1540" s="1">
        <f t="shared" si="1630"/>
        <v>1.5990575762901229</v>
      </c>
      <c r="L1540" s="1">
        <f t="shared" ref="L1540" si="1634">IFERROR(L1526/L1507,"-")</f>
        <v>1.6252433335879084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0.77116510534577754</v>
      </c>
      <c r="G1541" s="1">
        <f t="shared" si="1635"/>
        <v>0.78723832996732035</v>
      </c>
      <c r="H1541" s="1">
        <f t="shared" si="1635"/>
        <v>0.81134816689963374</v>
      </c>
      <c r="I1541" s="1">
        <f t="shared" si="1635"/>
        <v>0.85153122845348961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1.9078836334110871</v>
      </c>
      <c r="G1542" s="1">
        <f t="shared" si="1635"/>
        <v>1.9092619935745083</v>
      </c>
      <c r="H1542" s="1">
        <f t="shared" si="1635"/>
        <v>1.9443467994772259</v>
      </c>
      <c r="I1542" s="1">
        <f t="shared" si="1635"/>
        <v>1.9826285440128237</v>
      </c>
      <c r="J1542" s="1">
        <f t="shared" si="1635"/>
        <v>1.9938916388251349</v>
      </c>
      <c r="K1542" s="1">
        <f t="shared" si="1635"/>
        <v>2.0158897975829024</v>
      </c>
      <c r="L1542" s="1" t="str">
        <f t="shared" ref="L1542" si="1637">IFERROR(L1528/L1514,"-")</f>
        <v>-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1.1027629847473199</v>
      </c>
      <c r="G1543" s="1">
        <f t="shared" si="1635"/>
        <v>1.1057164437492442</v>
      </c>
      <c r="H1543" s="1">
        <f t="shared" si="1635"/>
        <v>1.1058297598659594</v>
      </c>
      <c r="I1543" s="1">
        <f t="shared" si="1635"/>
        <v>1.1062031021818488</v>
      </c>
      <c r="J1543" s="1">
        <f t="shared" si="1635"/>
        <v>1.1099845543565781</v>
      </c>
      <c r="K1543" s="1">
        <f t="shared" si="1635"/>
        <v>1.17515170520968</v>
      </c>
      <c r="L1543" s="1" t="str">
        <f t="shared" ref="L1543" si="1638">IFERROR(L1529/L1515,"-")</f>
        <v>-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</v>
      </c>
      <c r="G1544" s="1">
        <f t="shared" si="1635"/>
        <v>0.73139678951736864</v>
      </c>
      <c r="H1544" s="1">
        <f t="shared" si="1635"/>
        <v>0.73168462723869421</v>
      </c>
      <c r="I1544" s="1">
        <f t="shared" si="1635"/>
        <v>0.7321841029948315</v>
      </c>
      <c r="J1544" s="1">
        <f t="shared" si="1635"/>
        <v>0.73269686833235714</v>
      </c>
      <c r="K1544" s="1">
        <f t="shared" si="1635"/>
        <v>0.73502901102787865</v>
      </c>
      <c r="L1544" s="1" t="str">
        <f t="shared" ref="L1544" si="1639">IFERROR(L1530/L1516,"-")</f>
        <v>-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0.67580166525687335</v>
      </c>
      <c r="G1545" s="1">
        <f t="shared" si="1635"/>
        <v>0.67728038723671302</v>
      </c>
      <c r="H1545" s="1">
        <f t="shared" si="1635"/>
        <v>0.67731780212541226</v>
      </c>
      <c r="I1545" s="1">
        <f t="shared" si="1635"/>
        <v>0.677383563116013</v>
      </c>
      <c r="J1545" s="1">
        <f t="shared" si="1635"/>
        <v>0.67782414481728115</v>
      </c>
      <c r="K1545" s="1">
        <f t="shared" si="1635"/>
        <v>0.67786793485084662</v>
      </c>
      <c r="L1545" s="1" t="str">
        <f t="shared" ref="L1545" si="1640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41">G1547+G1550+G1552+G1559+G1567</f>
        <v>15.562895902725327</v>
      </c>
      <c r="H1546" s="3">
        <f t="shared" si="1641"/>
        <v>13.956434937792517</v>
      </c>
      <c r="I1546" s="3">
        <f t="shared" si="1641"/>
        <v>11.304606554372187</v>
      </c>
      <c r="J1546" s="3">
        <f t="shared" si="1641"/>
        <v>9.3982872258215426</v>
      </c>
      <c r="K1546" s="3">
        <f t="shared" si="1641"/>
        <v>9.6989257923103676</v>
      </c>
      <c r="L1546" s="3">
        <f t="shared" ref="L1546" si="1642">L1547+L1550+L1552+L1559+L1567</f>
        <v>8.658736620431613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45">SUM(G1548:G1549)</f>
        <v>0.16886741014676421</v>
      </c>
      <c r="H1547" s="1">
        <f t="shared" si="1645"/>
        <v>0.1988419153515712</v>
      </c>
      <c r="I1547" s="1">
        <f t="shared" si="1645"/>
        <v>1.7092678467708122</v>
      </c>
      <c r="J1547" s="1">
        <f t="shared" si="1645"/>
        <v>2.9666027467152563</v>
      </c>
      <c r="K1547" s="1">
        <f t="shared" si="1645"/>
        <v>2.7052208133534092</v>
      </c>
      <c r="L1547" s="1">
        <f t="shared" ref="L1547" si="1646">SUM(L1548:L1549)</f>
        <v>6.831062745703198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2.9666027467152563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2.7052208133534092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6.831062745703198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1.0088491347631419E-4</v>
      </c>
      <c r="H1550" s="1">
        <f t="shared" si="1648"/>
        <v>1.4895847727274043E-4</v>
      </c>
      <c r="I1550" s="1">
        <f t="shared" si="1648"/>
        <v>0</v>
      </c>
      <c r="J1550" s="1">
        <f t="shared" si="1648"/>
        <v>0</v>
      </c>
      <c r="K1550" s="1">
        <f t="shared" si="1648"/>
        <v>7.6518298401045594E-6</v>
      </c>
      <c r="L1550" s="1">
        <f t="shared" si="1648"/>
        <v>6.4220402764492541E-6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7.6518298401045594E-6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6.4220402764492541E-6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1.0019014339047747</v>
      </c>
      <c r="G1552" s="1">
        <f t="shared" ref="G1552:K1552" si="1649">SUM(G1557:G1558)</f>
        <v>2.3352259347978865</v>
      </c>
      <c r="H1552" s="1">
        <f t="shared" si="1649"/>
        <v>1.3252208476089327</v>
      </c>
      <c r="I1552" s="1">
        <f t="shared" si="1649"/>
        <v>1.630680223855145</v>
      </c>
      <c r="J1552" s="1">
        <f t="shared" si="1649"/>
        <v>0.81227115735040911</v>
      </c>
      <c r="K1552" s="1">
        <f t="shared" si="1649"/>
        <v>0.11342187185283122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0.94705731480203004</v>
      </c>
      <c r="G1553" s="1">
        <f t="shared" ref="G1553:K1553" si="1651">IF(G1552-G1554&lt;0,0,G1552-G1554)</f>
        <v>2.2073953363270769</v>
      </c>
      <c r="H1553" s="1">
        <f t="shared" si="1651"/>
        <v>1.2371667008057006</v>
      </c>
      <c r="I1553" s="1">
        <f t="shared" si="1651"/>
        <v>1.5414132413447172</v>
      </c>
      <c r="J1553" s="1">
        <f t="shared" si="1651"/>
        <v>0.75805426450158653</v>
      </c>
      <c r="K1553" s="1">
        <f t="shared" si="1651"/>
        <v>8.8332973830812483E-2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5.4844119102744712E-2</v>
      </c>
      <c r="G1554" s="1">
        <f t="shared" ref="G1554:K1554" si="1652">SUM(G1555:G1556)</f>
        <v>0.12783059847080966</v>
      </c>
      <c r="H1554" s="1">
        <f t="shared" si="1652"/>
        <v>8.8054146803232161E-2</v>
      </c>
      <c r="I1554" s="1">
        <f t="shared" si="1652"/>
        <v>8.9266982510427806E-2</v>
      </c>
      <c r="J1554" s="1">
        <f t="shared" si="1652"/>
        <v>5.4216892848822598E-2</v>
      </c>
      <c r="K1554" s="1">
        <f t="shared" si="1652"/>
        <v>2.5088898022018732E-2</v>
      </c>
      <c r="L1554" s="1">
        <f>IFERROR(SUM(L1555:L1556),0)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[2]Transport!F$25/SUM([2]Transport!F$21,[2]Transport!F$25)*J1552*(J$35+J$600)/(J$35+J$600+J$39)</f>
        <v>5.4216892848822598E-2</v>
      </c>
      <c r="K1555" s="1">
        <f>[2]Transport!G$25/SUM([2]Transport!G$21,[2]Transport!G$25)*K1552*(K$35+K$600)/(K$35+K$600+K$39)</f>
        <v>2.5088898022018732E-2</v>
      </c>
      <c r="L1555" s="1">
        <f>IFERROR([2]Transport!H$25/SUM([2]Transport!H$21,[2]Transport!H$25)*L1552*(L$35+L$600)/(L$35+L$600+L$39),0)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IFERROR((L$39+L$719)/([2]Transport!H$21+[2]Transport!H$25)*L1552,0)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0.81227115735040911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0.11342187185283122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15.689053906828384</v>
      </c>
      <c r="G1559" s="1">
        <f t="shared" ref="G1559:K1559" si="1653">SUM(G1564:G1566)</f>
        <v>13.05752995934365</v>
      </c>
      <c r="H1559" s="1">
        <f t="shared" si="1653"/>
        <v>12.430666865444881</v>
      </c>
      <c r="I1559" s="1">
        <f t="shared" si="1653"/>
        <v>7.9644641767507718</v>
      </c>
      <c r="J1559" s="1">
        <f t="shared" si="1653"/>
        <v>5.6040431621855067</v>
      </c>
      <c r="K1559" s="1">
        <f t="shared" si="1653"/>
        <v>6.8588408714597513</v>
      </c>
      <c r="L1559" s="1">
        <f t="shared" ref="L1559" si="1654">SUM(L1564:L1566)</f>
        <v>1.8237380400050334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15.310832361617841</v>
      </c>
      <c r="G1560" s="1">
        <f t="shared" ref="G1560:L1560" si="1655">IF(G1559-G1561&lt;0,0,G1559-G1561)</f>
        <v>12.717241565072836</v>
      </c>
      <c r="H1560" s="1">
        <f t="shared" si="1655"/>
        <v>12.039350409104582</v>
      </c>
      <c r="I1560" s="1">
        <f t="shared" si="1655"/>
        <v>7.6529900349526718</v>
      </c>
      <c r="J1560" s="1">
        <f t="shared" si="1655"/>
        <v>5.3727456021372264</v>
      </c>
      <c r="K1560" s="1">
        <f t="shared" si="1655"/>
        <v>6.6417285757703288</v>
      </c>
      <c r="L1560" s="1">
        <f t="shared" si="1655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0.37822154521054385</v>
      </c>
      <c r="G1561" s="1">
        <f t="shared" ref="G1561:K1561" si="1656">SUM(G1562:G1563)</f>
        <v>0.34028839427081387</v>
      </c>
      <c r="H1561" s="1">
        <f t="shared" si="1656"/>
        <v>0.39131645634029921</v>
      </c>
      <c r="I1561" s="1">
        <f t="shared" si="1656"/>
        <v>0.3114741417980999</v>
      </c>
      <c r="J1561" s="1">
        <f t="shared" si="1656"/>
        <v>0.23129756004828003</v>
      </c>
      <c r="K1561" s="1">
        <f t="shared" si="1656"/>
        <v>0.21711229568942211</v>
      </c>
      <c r="L1561" s="1">
        <f t="shared" ref="L1561" si="1657">SUM(L1562:L1563)</f>
        <v>2.0976422252950209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[2]Transport!F$26/SUM([2]Transport!F$22,[2]Transport!F$26)*J1559*(J$34+J$582)/(J$34+J$582+J$38)</f>
        <v>0.23129756004828003</v>
      </c>
      <c r="K1562" s="1">
        <f>[2]Transport!G$26/SUM([2]Transport!G$22,[2]Transport!G$26)*K1559*(K$34+K$582)/(K$34+K$582+K$38)</f>
        <v>0.21711229568942211</v>
      </c>
      <c r="L1562" s="1">
        <f>[2]Transport!H$26/SUM([2]Transport!H$22,[2]Transport!H$26)*L1559*(L$34+L$582)/(L$34+L$582+L$38)</f>
        <v>0.81668990741836334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1.2809523178766575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3.7946286896722988E-3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2.1283178041528587E-3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6.8618018925961427E-4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5.6002485334958347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6.8567125536555986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1.8230518598157737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8.9440922735219263E-3</v>
      </c>
      <c r="G1567" s="1">
        <f t="shared" ref="G1567:K1567" si="1658">G1572</f>
        <v>1.1717135235494041E-3</v>
      </c>
      <c r="H1567" s="1">
        <f t="shared" si="1658"/>
        <v>1.5563509098594959E-3</v>
      </c>
      <c r="I1567" s="1">
        <f t="shared" si="1658"/>
        <v>1.9430699545948729E-4</v>
      </c>
      <c r="J1567" s="1">
        <f t="shared" si="1658"/>
        <v>1.5370159570369456E-2</v>
      </c>
      <c r="K1567" s="1">
        <f t="shared" si="1658"/>
        <v>2.1434583814535828E-2</v>
      </c>
      <c r="L1567" s="1">
        <f t="shared" ref="L1567" si="1659">L1572</f>
        <v>3.9294126831050918E-3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8.262433053460326E-3</v>
      </c>
      <c r="G1568" s="1">
        <f t="shared" ref="G1568:L1568" si="1660">IF(G1567-G1569&lt;0,0,G1567-G1569)</f>
        <v>1.0571662560843696E-3</v>
      </c>
      <c r="H1568" s="1">
        <f t="shared" si="1660"/>
        <v>1.4091198130674475E-3</v>
      </c>
      <c r="I1568" s="1">
        <f t="shared" si="1660"/>
        <v>1.6215626233453839E-4</v>
      </c>
      <c r="J1568" s="1">
        <f t="shared" si="1660"/>
        <v>0</v>
      </c>
      <c r="K1568" s="1">
        <f t="shared" si="1660"/>
        <v>2.142347582477765E-2</v>
      </c>
      <c r="L1568" s="1">
        <f t="shared" si="1660"/>
        <v>3.9161433492540037E-3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6.816592200616006E-4</v>
      </c>
      <c r="G1569" s="1">
        <f t="shared" ref="G1569:K1569" si="1661">SUM(G1570:G1571)</f>
        <v>1.1454726746503451E-4</v>
      </c>
      <c r="H1569" s="1">
        <f t="shared" si="1661"/>
        <v>1.4723109679204834E-4</v>
      </c>
      <c r="I1569" s="1">
        <f t="shared" si="1661"/>
        <v>3.2150733124948894E-5</v>
      </c>
      <c r="J1569" s="1">
        <f t="shared" si="1661"/>
        <v>6.957729779010674E-2</v>
      </c>
      <c r="K1569" s="1">
        <f t="shared" si="1661"/>
        <v>1.1107989758178955E-5</v>
      </c>
      <c r="L1569" s="1">
        <f t="shared" ref="L1569" si="1662">SUM(L1570:L1571)</f>
        <v>1.3269333851087947E-5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[2]Transport!F$27/SUM([2]Transport!F$24,[2]Transport!F$27)*J1567*(J$47+J$614)/(J$47+J$614+J$49)</f>
        <v>2.8881736187686777E-3</v>
      </c>
      <c r="K1570" s="1">
        <f>[2]Transport!G$27/SUM([2]Transport!G$24,[2]Transport!G$27)*K1567*(K$47+K$614)/(K$47+K$614+K$49)</f>
        <v>1.1107989758178955E-5</v>
      </c>
      <c r="L1570" s="1">
        <f>[2]Transport!H$27/SUM([2]Transport!H$24,[2]Transport!H$27)*L1567*(L$47+L$614)/(L$47+L$614+L$49)</f>
        <v>1.3269333851087947E-5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6.6689124171338057E-2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1.5370159570369456E-2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2.1434583814535828E-2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3.9294126831050918E-3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63">SUM(G1574:G1582)</f>
        <v>4.7701022989645603</v>
      </c>
      <c r="H1573" s="3">
        <f t="shared" si="1663"/>
        <v>4.7102619830831394</v>
      </c>
      <c r="I1573" s="3">
        <f t="shared" si="1663"/>
        <v>4.6517060826355641</v>
      </c>
      <c r="J1573" s="3">
        <f t="shared" si="1663"/>
        <v>4.8932494731600515</v>
      </c>
      <c r="K1573" s="3">
        <f t="shared" si="1663"/>
        <v>5.0500145747530105</v>
      </c>
      <c r="L1573" s="3">
        <f t="shared" ref="L1573" si="1664">SUM(L1574:L1582)</f>
        <v>5.4958977964269726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2.0213172385200937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1.8432226795748483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4.6543963126140779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4.2768701677640444E-6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3.8358496925985745E-6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0.28529368356186879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3.9837120060902648E-2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1.2981975478205711E-3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7.2812840999542333E-4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2.3475220157490975E-4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2.5804130350010115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3.1593509368169803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0.84000321671705269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4.9273185292574634E-3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6.8714330201157378E-3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1.2596790445746542E-3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65">IFERROR(G1574/G1548,"-")</f>
        <v>0.69564643130450543</v>
      </c>
      <c r="H1584" s="1">
        <f t="shared" si="1665"/>
        <v>0.70528179819816927</v>
      </c>
      <c r="I1584" s="1">
        <f t="shared" si="1665"/>
        <v>0.70528179819817005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67">IFERROR(G1575/G1549,"-")</f>
        <v>0.68135756995377272</v>
      </c>
      <c r="H1585" s="1">
        <f t="shared" si="1667"/>
        <v>0.68135756995377217</v>
      </c>
      <c r="I1585" s="1">
        <f t="shared" si="1667"/>
        <v>0.68135756995377272</v>
      </c>
      <c r="J1585" s="1">
        <f t="shared" si="1667"/>
        <v>0.6813575699537725</v>
      </c>
      <c r="K1585" s="1">
        <f t="shared" si="1667"/>
        <v>0.68135756995377306</v>
      </c>
      <c r="L1585" s="1">
        <f t="shared" ref="L1585" si="1668">IFERROR(L1575/L1549,"-")</f>
        <v>0.68135756995377283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0.46510343171505436</v>
      </c>
      <c r="H1586" s="1">
        <f t="shared" si="1669"/>
        <v>0.47340725029320385</v>
      </c>
      <c r="I1586" s="1" t="str">
        <f t="shared" si="1669"/>
        <v>-</v>
      </c>
      <c r="J1586" s="1" t="str">
        <f t="shared" si="1669"/>
        <v>-</v>
      </c>
      <c r="K1586" s="1">
        <f t="shared" si="1669"/>
        <v>0.55893430161609592</v>
      </c>
      <c r="L1586" s="1">
        <f t="shared" ref="L1586" si="1670">IFERROR(L1576/L1551,"-")</f>
        <v>0.59729455554262201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71">IFERROR(G1577/G1557,"-")</f>
        <v>0.28017034051580092</v>
      </c>
      <c r="H1587" s="1">
        <f t="shared" si="1671"/>
        <v>0.28405096708428712</v>
      </c>
      <c r="I1587" s="1">
        <f t="shared" si="1671"/>
        <v>0.28405096708428718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73">IFERROR(G1578/G1558,"-")</f>
        <v>0.35122961215622134</v>
      </c>
      <c r="H1588" s="1">
        <f t="shared" si="1673"/>
        <v>0.35122961215622117</v>
      </c>
      <c r="I1588" s="1">
        <f t="shared" si="1673"/>
        <v>0.35122961215622112</v>
      </c>
      <c r="J1588" s="1">
        <f t="shared" si="1673"/>
        <v>0.35122961215622078</v>
      </c>
      <c r="K1588" s="1">
        <f t="shared" si="1673"/>
        <v>0.35122961215622223</v>
      </c>
      <c r="L1588" s="1" t="str">
        <f t="shared" ref="L1588" si="1674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75">IFERROR(G1579/G1564,"-")</f>
        <v>0.26793746277611247</v>
      </c>
      <c r="H1589" s="1">
        <f t="shared" si="1675"/>
        <v>0.28128870255134991</v>
      </c>
      <c r="I1589" s="1">
        <f t="shared" si="1675"/>
        <v>0.28128870255134997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77">IFERROR(G1580/G1565,"-")</f>
        <v>0.3421145134315316</v>
      </c>
      <c r="H1590" s="1">
        <f t="shared" si="1677"/>
        <v>0.34211451343153265</v>
      </c>
      <c r="I1590" s="1">
        <f t="shared" si="1677"/>
        <v>0.34211451343153176</v>
      </c>
      <c r="J1590" s="1">
        <f t="shared" si="1677"/>
        <v>0.34211451343153221</v>
      </c>
      <c r="K1590" s="1">
        <f t="shared" si="1677"/>
        <v>0.34211451343153271</v>
      </c>
      <c r="L1590" s="1">
        <f t="shared" ref="L1590" si="1678">IFERROR(L1580/L1565,"-")</f>
        <v>0.34211451343153237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0.46076759264650785</v>
      </c>
      <c r="H1591" s="1">
        <f t="shared" si="1679"/>
        <v>0.46076759264650829</v>
      </c>
      <c r="I1591" s="1">
        <f t="shared" si="1679"/>
        <v>0.46076759264650791</v>
      </c>
      <c r="J1591" s="1">
        <f t="shared" si="1679"/>
        <v>0.4607675926465078</v>
      </c>
      <c r="K1591" s="1">
        <f t="shared" si="1679"/>
        <v>0.46076759264650796</v>
      </c>
      <c r="L1591" s="1">
        <f t="shared" ref="L1591" si="1680">IFERROR(L1581/L1566,"-")</f>
        <v>0.46076759264650774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81">IFERROR(G1582/G1572,"-")</f>
        <v>0.32057692743517996</v>
      </c>
      <c r="H1592" s="1">
        <f t="shared" si="1681"/>
        <v>0.32057692743517996</v>
      </c>
      <c r="I1592" s="1">
        <f t="shared" si="1681"/>
        <v>0.32057692743517957</v>
      </c>
      <c r="J1592" s="1">
        <f t="shared" si="1681"/>
        <v>0.32057692743517979</v>
      </c>
      <c r="K1592" s="1">
        <f t="shared" si="1681"/>
        <v>0.32057692743518007</v>
      </c>
      <c r="L1592" s="1">
        <f t="shared" ref="L1592" si="1682">IFERROR(L1582/L1572,"-")</f>
        <v>0.32057692743517929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83">G1594+G1597+G1599+G1606+G1614</f>
        <v>23.05603664057988</v>
      </c>
      <c r="H1593" s="3">
        <f t="shared" ref="H1593" si="1684">H1594+H1597+H1599+H1606+H1614</f>
        <v>20.482101254236863</v>
      </c>
      <c r="I1593" s="3">
        <f t="shared" ref="I1593" si="1685">I1594+I1597+I1599+I1606+I1614</f>
        <v>16.577839898656695</v>
      </c>
      <c r="J1593" s="3">
        <f t="shared" ref="J1593" si="1686">J1594+J1597+J1599+J1606+J1614</f>
        <v>14.962770070426503</v>
      </c>
      <c r="K1593" s="3">
        <f t="shared" ref="K1593:L1593" si="1687">K1594+K1597+K1599+K1606+K1614</f>
        <v>15.535662660425597</v>
      </c>
      <c r="L1593" s="3">
        <f t="shared" si="1687"/>
        <v>9.3636337026807013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90">SUM(G1595:G1596)</f>
        <v>2.581968591233819E-2</v>
      </c>
      <c r="H1594" s="1">
        <f t="shared" ref="H1594" si="1691">SUM(H1595:H1596)</f>
        <v>2.6258711119645114E-2</v>
      </c>
      <c r="I1594" s="1">
        <f t="shared" ref="I1594" si="1692">SUM(I1595:I1596)</f>
        <v>9.0617746439104439E-3</v>
      </c>
      <c r="J1594" s="1">
        <f t="shared" ref="J1594" si="1693">SUM(J1595:J1596)</f>
        <v>2.1312711547773391E-3</v>
      </c>
      <c r="K1594" s="1">
        <f t="shared" ref="K1594:L1594" si="1694">SUM(K1595:K1596)</f>
        <v>1.9057241142987355E-3</v>
      </c>
      <c r="L1594" s="1">
        <f t="shared" si="1694"/>
        <v>6.9769085779854212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2.1312711547773391E-3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1.9057241142987355E-3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6.9769085779854212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2.8163699150701486E-3</v>
      </c>
      <c r="G1597" s="1">
        <f t="shared" ref="G1597" si="1696">G1598</f>
        <v>1.7988905817688885E-3</v>
      </c>
      <c r="H1597" s="1">
        <f t="shared" ref="H1597" si="1697">H1598</f>
        <v>1.738111547309625E-3</v>
      </c>
      <c r="I1597" s="1">
        <f t="shared" ref="I1597" si="1698">I1598</f>
        <v>0</v>
      </c>
      <c r="J1597" s="1">
        <f t="shared" ref="J1597" si="1699">J1598</f>
        <v>0</v>
      </c>
      <c r="K1597" s="1">
        <f t="shared" ref="K1597:L1597" si="1700">K1598</f>
        <v>1.3865761828847707E-4</v>
      </c>
      <c r="L1597" s="1">
        <f t="shared" si="1700"/>
        <v>1.5770814060818664E-4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1.3865761828847707E-4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1.5770814060818664E-4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>IFERROR(L1599-L1601,0)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4">SUM(G1602:G1603)</f>
        <v>0</v>
      </c>
      <c r="H1601" s="1">
        <f t="shared" si="1704"/>
        <v>0</v>
      </c>
      <c r="I1601" s="1">
        <f t="shared" si="1704"/>
        <v>0</v>
      </c>
      <c r="J1601" s="1">
        <f t="shared" si="1704"/>
        <v>0</v>
      </c>
      <c r="K1601" s="1">
        <f t="shared" si="1704"/>
        <v>0</v>
      </c>
      <c r="L1601" s="1">
        <f>IFERROR(SUM(L1602:L1603),0)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IFERROR([2]Transport!H$25/SUM([2]Transport!H$21,[2]Transport!H$25)*L1599*(L$35+L$600)/(L$35+L$600+L$39),0)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IFERROR((L$39+L$719)/([2]Transport!H$21+[2]Transport!H$25)*L1599,0)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24.403594051809215</v>
      </c>
      <c r="G1606" s="1">
        <f t="shared" ref="G1606:K1606" si="1705">SUM(G1611:G1613)</f>
        <v>23.026968572075003</v>
      </c>
      <c r="H1606" s="1">
        <f t="shared" si="1705"/>
        <v>20.452312832104649</v>
      </c>
      <c r="I1606" s="1">
        <f t="shared" si="1705"/>
        <v>16.56700374885466</v>
      </c>
      <c r="J1606" s="1">
        <f t="shared" si="1705"/>
        <v>14.94187270906937</v>
      </c>
      <c r="K1606" s="1">
        <f t="shared" si="1705"/>
        <v>15.509626913152603</v>
      </c>
      <c r="L1606" s="1">
        <f t="shared" ref="L1606" si="1706">SUM(L1611:L1613)</f>
        <v>2.3642673976801452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23.815288019732357</v>
      </c>
      <c r="G1607" s="1">
        <f t="shared" ref="G1607:L1607" si="1707">IF(G1606-G1608&lt;0,0,G1606-G1608)</f>
        <v>22.426869611190845</v>
      </c>
      <c r="H1607" s="1">
        <f t="shared" si="1707"/>
        <v>19.808475565121789</v>
      </c>
      <c r="I1607" s="1">
        <f t="shared" si="1707"/>
        <v>15.919101622569299</v>
      </c>
      <c r="J1607" s="1">
        <f t="shared" si="1707"/>
        <v>14.325171766528463</v>
      </c>
      <c r="K1607" s="1">
        <f t="shared" si="1707"/>
        <v>15.018679423991166</v>
      </c>
      <c r="L1607" s="1">
        <f t="shared" si="1707"/>
        <v>0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0.58830603207685694</v>
      </c>
      <c r="G1608" s="1">
        <f t="shared" ref="G1608:K1608" si="1708">SUM(G1609:G1610)</f>
        <v>0.60009896088415893</v>
      </c>
      <c r="H1608" s="1">
        <f t="shared" si="1708"/>
        <v>0.64383726698285937</v>
      </c>
      <c r="I1608" s="1">
        <f t="shared" si="1708"/>
        <v>0.64790212628536059</v>
      </c>
      <c r="J1608" s="1">
        <f t="shared" si="1708"/>
        <v>0.61670094254090746</v>
      </c>
      <c r="K1608" s="1">
        <f t="shared" si="1708"/>
        <v>0.49094748916143699</v>
      </c>
      <c r="L1608" s="1">
        <f t="shared" ref="L1608" si="1709">SUM(L1609:L1610)</f>
        <v>2.7193527888734286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[2]Transport!F$26/SUM([2]Transport!F$22,[2]Transport!F$26)*J1606*(J$34+J$582)/(J$34+J$582+J$38)</f>
        <v>0.61670094254090746</v>
      </c>
      <c r="K1609" s="1">
        <f>[2]Transport!G$26/SUM([2]Transport!G$22,[2]Transport!G$26)*K1606*(K$34+K$582)/(K$34+K$582+K$38)</f>
        <v>0.49094748916143699</v>
      </c>
      <c r="L1609" s="1">
        <f>[2]Transport!H$26/SUM([2]Transport!H$22,[2]Transport!H$26)*L1606*(L$34+L$582)/(L$34+L$582+L$38)</f>
        <v>1.0587448853774653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1.6606079034959631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8.4236588420980474E-4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1.3275039759154175E-3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2.9651115034076898E-4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14.94103034318516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15.508299409176688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2.3639708865298044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6.2027344010887428E-2</v>
      </c>
      <c r="G1614" s="1">
        <f t="shared" ref="G1614:K1614" si="1710">G1619</f>
        <v>1.449492010771665E-3</v>
      </c>
      <c r="H1614" s="1">
        <f t="shared" si="1710"/>
        <v>1.791599465260748E-3</v>
      </c>
      <c r="I1614" s="1">
        <f t="shared" si="1710"/>
        <v>1.774375158124107E-3</v>
      </c>
      <c r="J1614" s="1">
        <f t="shared" si="1710"/>
        <v>1.8766090202355874E-2</v>
      </c>
      <c r="K1614" s="1">
        <f t="shared" si="1710"/>
        <v>2.3991365540407195E-2</v>
      </c>
      <c r="L1614" s="1">
        <f t="shared" ref="L1614" si="1711">L1619</f>
        <v>2.2300018874526928E-2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5.7300032434940897E-2</v>
      </c>
      <c r="G1615" s="1">
        <f t="shared" ref="G1615:L1615" si="1712">IF(G1614-G1616&lt;0,0,G1614-G1616)</f>
        <v>1.3077889872003987E-3</v>
      </c>
      <c r="H1615" s="1">
        <f t="shared" si="1712"/>
        <v>1.6221138096728313E-3</v>
      </c>
      <c r="I1615" s="1">
        <f t="shared" si="1712"/>
        <v>1.480780673594694E-3</v>
      </c>
      <c r="J1615" s="1">
        <f t="shared" si="1712"/>
        <v>0</v>
      </c>
      <c r="K1615" s="1">
        <f t="shared" si="1712"/>
        <v>2.3978932556169504E-2</v>
      </c>
      <c r="L1615" s="1">
        <f t="shared" si="1712"/>
        <v>2.2224713372357624E-2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4.7273115759465297E-3</v>
      </c>
      <c r="G1616" s="1">
        <f t="shared" ref="G1616:K1616" si="1713">SUM(G1617:G1618)</f>
        <v>1.4170302357126619E-4</v>
      </c>
      <c r="H1616" s="1">
        <f t="shared" si="1713"/>
        <v>1.6948565558791664E-4</v>
      </c>
      <c r="I1616" s="1">
        <f t="shared" si="1713"/>
        <v>2.9359448452941295E-4</v>
      </c>
      <c r="J1616" s="1">
        <f t="shared" si="1713"/>
        <v>2.2292385840454756E-2</v>
      </c>
      <c r="K1616" s="1">
        <f t="shared" si="1713"/>
        <v>1.243298423769007E-5</v>
      </c>
      <c r="L1616" s="1">
        <f t="shared" ref="L1616" si="1714">SUM(L1617:L1618)</f>
        <v>7.5305502169303792E-5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[2]Transport!F$27/SUM([2]Transport!F$24,[2]Transport!F$27)*J1614*(J$47+J$614)/(J$47+J$614+J$49)</f>
        <v>3.5262956380988815E-3</v>
      </c>
      <c r="K1617" s="1">
        <f>[2]Transport!G$27/SUM([2]Transport!G$24,[2]Transport!G$27)*K1614*(K$47+K$614)/(K$47+K$614+K$49)</f>
        <v>1.243298423769007E-5</v>
      </c>
      <c r="L1617" s="1">
        <f>[2]Transport!H$27/SUM([2]Transport!H$24,[2]Transport!H$27)*L1614*(L$47+L$614)/(L$47+L$614+L$49)</f>
        <v>7.5305502169303792E-5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1.8766090202355874E-2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1.8766090202355874E-2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2.3991365540407195E-2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2.2300018874526928E-2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15">SUM(G1621:G1629)</f>
        <v>2.2263529020260253</v>
      </c>
      <c r="H1620" s="3">
        <f t="shared" ref="H1620" si="1716">SUM(H1621:H1629)</f>
        <v>2.2581758997861683</v>
      </c>
      <c r="I1620" s="3">
        <f t="shared" ref="I1620" si="1717">SUM(I1621:I1629)</f>
        <v>2.3129270923402481</v>
      </c>
      <c r="J1620" s="3">
        <f t="shared" ref="J1620" si="1718">SUM(J1621:J1629)</f>
        <v>2.445272025854182</v>
      </c>
      <c r="K1620" s="3">
        <f t="shared" ref="K1620:L1620" si="1719">SUM(K1621:K1629)</f>
        <v>2.5387109104920307</v>
      </c>
      <c r="L1620" s="3">
        <f t="shared" si="1719"/>
        <v>2.7574292749482985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6.4560562259602296E-4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5.9180769585120128E-4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2.3680591155434447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2.7915882887455378E-5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3.421011660434351E-5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9.9991791338542856E-5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1.5757938806524558E-4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3.5196915770440917E-5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2.4423631972826239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2.5350928857921251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0.3864308792694095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2.1632311576234588E-3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2.8407217331018648E-3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2.8698731030695592E-3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0">IFERROR(G1621/G1595,"-")</f>
        <v>-</v>
      </c>
      <c r="H1631" s="1" t="str">
        <f t="shared" si="1720"/>
        <v>-</v>
      </c>
      <c r="I1631" s="1" t="str">
        <f t="shared" si="1720"/>
        <v>-</v>
      </c>
      <c r="J1631" s="1" t="str">
        <f t="shared" si="1720"/>
        <v>-</v>
      </c>
      <c r="K1631" s="1" t="str">
        <f t="shared" si="1720"/>
        <v>-</v>
      </c>
      <c r="L1631" s="1" t="str">
        <f t="shared" ref="L1631" si="1721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2">E1631</f>
        <v>km/MJ</v>
      </c>
      <c r="F1632" s="1">
        <f>IFERROR(F1622/F1596,"-")</f>
        <v>0.26872776416540911</v>
      </c>
      <c r="G1632" s="1">
        <f t="shared" ref="G1632:K1632" si="1723">IFERROR(G1622/G1596,"-")</f>
        <v>0.27052991548024863</v>
      </c>
      <c r="H1632" s="1">
        <f t="shared" si="1723"/>
        <v>0.27151517222034321</v>
      </c>
      <c r="I1632" s="1">
        <f t="shared" si="1723"/>
        <v>0.27761766325020637</v>
      </c>
      <c r="J1632" s="1">
        <f t="shared" si="1723"/>
        <v>0.30292045249562416</v>
      </c>
      <c r="K1632" s="1">
        <f t="shared" si="1723"/>
        <v>0.31054216683875752</v>
      </c>
      <c r="L1632" s="1">
        <f t="shared" ref="L1632" si="1724">IFERROR(L1622/L1596,"-")</f>
        <v>0.33941380900639817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2"/>
        <v>km/MJ</v>
      </c>
      <c r="F1633" s="1">
        <f>IFERROR(F1623/F1598,"-")</f>
        <v>0.17445873125089906</v>
      </c>
      <c r="G1633" s="1">
        <f t="shared" ref="G1633:K1633" si="1725">IFERROR(G1623/G1598,"-")</f>
        <v>0.17509827910182418</v>
      </c>
      <c r="H1633" s="1">
        <f t="shared" si="1725"/>
        <v>0.17524384336575891</v>
      </c>
      <c r="I1633" s="1" t="str">
        <f t="shared" si="1725"/>
        <v>-</v>
      </c>
      <c r="J1633" s="1" t="str">
        <f t="shared" si="1725"/>
        <v>-</v>
      </c>
      <c r="K1633" s="1">
        <f t="shared" si="1725"/>
        <v>0.20132960043620832</v>
      </c>
      <c r="L1633" s="1">
        <f t="shared" ref="L1633" si="1726">IFERROR(L1623/L1598,"-")</f>
        <v>0.216920423209705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2"/>
        <v>km/MJ</v>
      </c>
      <c r="F1634" s="1" t="str">
        <f>IFERROR(F1624/F1604,"-")</f>
        <v>-</v>
      </c>
      <c r="G1634" s="1" t="str">
        <f t="shared" ref="G1634:K1634" si="1727">IFERROR(G1624/G1604,"-")</f>
        <v>-</v>
      </c>
      <c r="H1634" s="1" t="str">
        <f t="shared" si="1727"/>
        <v>-</v>
      </c>
      <c r="I1634" s="1" t="str">
        <f t="shared" si="1727"/>
        <v>-</v>
      </c>
      <c r="J1634" s="1" t="str">
        <f t="shared" si="1727"/>
        <v>-</v>
      </c>
      <c r="K1634" s="1" t="str">
        <f t="shared" si="1727"/>
        <v>-</v>
      </c>
      <c r="L1634" s="1" t="str">
        <f t="shared" ref="L1634" si="1728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2"/>
        <v>km/MJ</v>
      </c>
      <c r="F1635" s="1" t="str">
        <f>IFERROR(F1625/F1605,"-")</f>
        <v>-</v>
      </c>
      <c r="G1635" s="1" t="str">
        <f t="shared" ref="G1635:K1635" si="1729">IFERROR(G1625/G1605,"-")</f>
        <v>-</v>
      </c>
      <c r="H1635" s="1" t="str">
        <f t="shared" si="1729"/>
        <v>-</v>
      </c>
      <c r="I1635" s="1" t="str">
        <f t="shared" si="1729"/>
        <v>-</v>
      </c>
      <c r="J1635" s="1" t="str">
        <f t="shared" si="1729"/>
        <v>-</v>
      </c>
      <c r="K1635" s="1" t="str">
        <f t="shared" si="1729"/>
        <v>-</v>
      </c>
      <c r="L1635" s="1" t="str">
        <f t="shared" ref="L1635" si="1730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2"/>
        <v>km/MJ</v>
      </c>
      <c r="F1636" s="1">
        <f>IFERROR(F1626/F1611,"-")</f>
        <v>8.1953661871669789E-2</v>
      </c>
      <c r="G1636" s="1">
        <f t="shared" ref="G1636:K1636" si="1731">IFERROR(G1626/G1611,"-")</f>
        <v>8.3996210615660274E-2</v>
      </c>
      <c r="H1636" s="1">
        <f t="shared" si="1731"/>
        <v>8.7060033731646072E-2</v>
      </c>
      <c r="I1636" s="1">
        <f t="shared" si="1731"/>
        <v>8.7060033731645989E-2</v>
      </c>
      <c r="J1636" s="1" t="str">
        <f t="shared" si="1731"/>
        <v>-</v>
      </c>
      <c r="K1636" s="1" t="str">
        <f t="shared" si="1731"/>
        <v>-</v>
      </c>
      <c r="L1636" s="1" t="str">
        <f t="shared" ref="L1636" si="1732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2"/>
        <v>km/MJ</v>
      </c>
      <c r="F1637" s="1">
        <f>IFERROR(F1627/F1612,"-")</f>
        <v>0.11870351496053498</v>
      </c>
      <c r="G1637" s="1">
        <f t="shared" ref="G1637:K1637" si="1733">IFERROR(G1627/G1612,"-")</f>
        <v>0.11870351496053502</v>
      </c>
      <c r="H1637" s="1">
        <f t="shared" si="1733"/>
        <v>0.1187035149605352</v>
      </c>
      <c r="I1637" s="1">
        <f t="shared" si="1733"/>
        <v>0.11870351496053494</v>
      </c>
      <c r="J1637" s="1">
        <f t="shared" si="1733"/>
        <v>0.11870351496053501</v>
      </c>
      <c r="K1637" s="1">
        <f t="shared" si="1733"/>
        <v>0.11870351496053509</v>
      </c>
      <c r="L1637" s="1">
        <f t="shared" ref="L1637" si="1734">IFERROR(L1627/L1612,"-")</f>
        <v>0.11870351496053502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2"/>
        <v>km/MJ</v>
      </c>
      <c r="F1638" s="1" t="str">
        <f>IFERROR(F1628/F1613,"-")</f>
        <v>-</v>
      </c>
      <c r="G1638" s="1">
        <f t="shared" ref="G1638:K1638" si="1735">IFERROR(G1628/G1613,"-")</f>
        <v>0.16346685209675799</v>
      </c>
      <c r="H1638" s="1">
        <f t="shared" si="1735"/>
        <v>0.1634668520967581</v>
      </c>
      <c r="I1638" s="1">
        <f t="shared" si="1735"/>
        <v>0.16346685209675801</v>
      </c>
      <c r="J1638" s="1">
        <f t="shared" si="1735"/>
        <v>0.16346685209675813</v>
      </c>
      <c r="K1638" s="1">
        <f t="shared" si="1735"/>
        <v>0.16346685209675799</v>
      </c>
      <c r="L1638" s="1">
        <f t="shared" ref="L1638" si="1736">IFERROR(L1628/L1613,"-")</f>
        <v>0.16346685209675804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2"/>
        <v>km/MJ</v>
      </c>
      <c r="F1639" s="1">
        <f>IFERROR(F1629/F1619,"-")</f>
        <v>0.10322365358776006</v>
      </c>
      <c r="G1639" s="1">
        <f t="shared" ref="G1639:K1639" si="1737">IFERROR(G1629/G1619,"-")</f>
        <v>0.10361478161089266</v>
      </c>
      <c r="H1639" s="1">
        <f t="shared" si="1737"/>
        <v>0.10425834681625702</v>
      </c>
      <c r="I1639" s="1">
        <f t="shared" si="1737"/>
        <v>0.10997646759712902</v>
      </c>
      <c r="J1639" s="1">
        <f t="shared" si="1737"/>
        <v>0.11527340720934449</v>
      </c>
      <c r="K1639" s="1">
        <f t="shared" si="1737"/>
        <v>0.11840600437342386</v>
      </c>
      <c r="L1639" s="1">
        <f t="shared" ref="L1639" si="1738">IFERROR(L1629/L1619,"-")</f>
        <v>0.12869375219891785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39">G1641+G1645+G1649+G1655</f>
        <v>27.900941042116301</v>
      </c>
      <c r="H1640" s="1">
        <f t="shared" si="1739"/>
        <v>27.101762674109466</v>
      </c>
      <c r="I1640" s="1">
        <f t="shared" si="1739"/>
        <v>25.175304127937533</v>
      </c>
      <c r="J1640" s="1">
        <f t="shared" si="1739"/>
        <v>24.708989970743332</v>
      </c>
      <c r="K1640" s="1">
        <f t="shared" si="1739"/>
        <v>23.69473124934925</v>
      </c>
      <c r="L1640" s="1">
        <f t="shared" ref="L1640" si="1740">L1641+L1645+L1649+L1655</f>
        <v>21.748113315480772</v>
      </c>
      <c r="N1640" s="1"/>
    </row>
    <row r="1641" spans="2:14" x14ac:dyDescent="0.35">
      <c r="B1641" t="str">
        <f t="shared" ref="B1641:B1662" si="1741">B1640</f>
        <v>SPS1</v>
      </c>
      <c r="C1641" t="str">
        <f t="shared" ref="C1641:C1687" si="1742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43">SUM(G1642:G1644)</f>
        <v>9.5324495953200401</v>
      </c>
      <c r="H1641" s="1">
        <f t="shared" si="1743"/>
        <v>10.022968313936273</v>
      </c>
      <c r="I1641" s="1">
        <f t="shared" si="1743"/>
        <v>11.803838657773326</v>
      </c>
      <c r="J1641" s="1">
        <f t="shared" si="1743"/>
        <v>14.183907782669149</v>
      </c>
      <c r="K1641" s="1">
        <f t="shared" si="1743"/>
        <v>15.983986316675526</v>
      </c>
      <c r="L1641" s="1">
        <f t="shared" ref="L1641" si="1744">SUM(L1642:L1644)</f>
        <v>19.705531840188428</v>
      </c>
      <c r="N1641" s="1"/>
    </row>
    <row r="1642" spans="2:14" x14ac:dyDescent="0.35">
      <c r="B1642" t="str">
        <f t="shared" si="1741"/>
        <v>SPS1</v>
      </c>
      <c r="C1642" t="str">
        <f t="shared" si="1742"/>
        <v>CH</v>
      </c>
      <c r="D1642" t="s">
        <v>1653</v>
      </c>
      <c r="E1642" t="str">
        <f t="shared" ref="E1642:E1644" si="174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9.8719623621199712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10.472825316303267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11.43887760769892</v>
      </c>
      <c r="N1642" s="1"/>
    </row>
    <row r="1643" spans="2:14" x14ac:dyDescent="0.35">
      <c r="B1643" t="str">
        <f t="shared" si="1741"/>
        <v>SPS1</v>
      </c>
      <c r="C1643" t="str">
        <f t="shared" si="1742"/>
        <v>CH</v>
      </c>
      <c r="D1643" t="s">
        <v>1654</v>
      </c>
      <c r="E1643" t="str">
        <f t="shared" si="174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1.9814442198661759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2.0282665689876755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2.1805284947195247</v>
      </c>
      <c r="N1643" s="1"/>
    </row>
    <row r="1644" spans="2:14" x14ac:dyDescent="0.35">
      <c r="B1644" t="str">
        <f t="shared" si="1741"/>
        <v>SPS1</v>
      </c>
      <c r="C1644" t="str">
        <f t="shared" si="1742"/>
        <v>CH</v>
      </c>
      <c r="D1644" t="s">
        <v>1655</v>
      </c>
      <c r="E1644" t="str">
        <f t="shared" si="174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2.3305012006830004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3.4828944313845849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6.0861257377699838</v>
      </c>
      <c r="N1644" s="1"/>
    </row>
    <row r="1645" spans="2:14" x14ac:dyDescent="0.35">
      <c r="B1645" t="str">
        <f t="shared" si="1741"/>
        <v>SPS1</v>
      </c>
      <c r="C1645" t="str">
        <f t="shared" si="174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6">SUM(G1646:G1648)</f>
        <v>0</v>
      </c>
      <c r="H1645" s="1">
        <f t="shared" si="1746"/>
        <v>0</v>
      </c>
      <c r="I1645" s="1">
        <f t="shared" si="1746"/>
        <v>0</v>
      </c>
      <c r="J1645" s="1">
        <f t="shared" si="1746"/>
        <v>0</v>
      </c>
      <c r="K1645" s="1">
        <f t="shared" si="1746"/>
        <v>1.3247550614546186E-5</v>
      </c>
      <c r="L1645" s="1">
        <f t="shared" ref="L1645" si="1747">SUM(L1646:L1648)</f>
        <v>2.3494925314216402E-5</v>
      </c>
      <c r="N1645" s="1"/>
    </row>
    <row r="1646" spans="2:14" x14ac:dyDescent="0.35">
      <c r="B1646" t="str">
        <f t="shared" si="1741"/>
        <v>SPS1</v>
      </c>
      <c r="C1646" t="str">
        <f t="shared" si="1742"/>
        <v>CH</v>
      </c>
      <c r="D1646" t="s">
        <v>1657</v>
      </c>
      <c r="E1646" t="str">
        <f t="shared" ref="E1646:E1648" si="174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0</v>
      </c>
      <c r="N1646" s="1"/>
    </row>
    <row r="1647" spans="2:14" x14ac:dyDescent="0.35">
      <c r="B1647" t="str">
        <f t="shared" si="1741"/>
        <v>SPS1</v>
      </c>
      <c r="C1647" t="str">
        <f t="shared" si="1742"/>
        <v>CH</v>
      </c>
      <c r="D1647" t="s">
        <v>1658</v>
      </c>
      <c r="E1647" t="str">
        <f t="shared" si="174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1"/>
        <v>SPS1</v>
      </c>
      <c r="C1648" t="str">
        <f t="shared" si="1742"/>
        <v>CH</v>
      </c>
      <c r="D1648" t="s">
        <v>1659</v>
      </c>
      <c r="E1648" t="str">
        <f t="shared" si="174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0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1.3247550614546186E-5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2.3494925314216402E-5</v>
      </c>
      <c r="N1648" s="1"/>
    </row>
    <row r="1649" spans="2:14" x14ac:dyDescent="0.35">
      <c r="B1649" t="str">
        <f t="shared" si="1741"/>
        <v>SPS1</v>
      </c>
      <c r="C1649" t="str">
        <f t="shared" si="174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49">G1654</f>
        <v>0.85637739221372011</v>
      </c>
      <c r="H1649" s="1">
        <f t="shared" si="1749"/>
        <v>0.27940381756229921</v>
      </c>
      <c r="I1649" s="1">
        <f t="shared" si="1749"/>
        <v>0.23975328315757954</v>
      </c>
      <c r="J1649" s="1">
        <f t="shared" si="1749"/>
        <v>7.1975248398677879E-6</v>
      </c>
      <c r="K1649" s="1">
        <f t="shared" si="1749"/>
        <v>1.2851936724791289E-2</v>
      </c>
      <c r="L1649" s="1">
        <f t="shared" ref="L1649" si="1750">L1654</f>
        <v>0</v>
      </c>
      <c r="N1649" s="1"/>
    </row>
    <row r="1650" spans="2:14" x14ac:dyDescent="0.35">
      <c r="B1650" t="str">
        <f t="shared" si="1741"/>
        <v>SPS1</v>
      </c>
      <c r="C1650" t="str">
        <f t="shared" si="1742"/>
        <v>CH</v>
      </c>
      <c r="D1650" t="s">
        <v>1661</v>
      </c>
      <c r="E1650" t="str">
        <f t="shared" ref="E1650:E1662" si="1751">E1649</f>
        <v>PJ/yr.</v>
      </c>
      <c r="F1650" s="1">
        <f>F1649-F1651</f>
        <v>1.6634758259491111</v>
      </c>
      <c r="G1650" s="1">
        <f t="shared" ref="G1650:K1650" si="1752">G1649-G1651</f>
        <v>0.80949917245250202</v>
      </c>
      <c r="H1650" s="1">
        <f t="shared" si="1752"/>
        <v>0.26083886303913106</v>
      </c>
      <c r="I1650" s="1">
        <f t="shared" si="1752"/>
        <v>0.22662866692604888</v>
      </c>
      <c r="J1650" s="1">
        <f t="shared" si="1752"/>
        <v>6.7171096121589095E-6</v>
      </c>
      <c r="K1650" s="1">
        <f t="shared" si="1752"/>
        <v>1.0009090591092278E-2</v>
      </c>
      <c r="L1650" s="1">
        <f>IFERROR(L1649-L1651,0)</f>
        <v>0</v>
      </c>
      <c r="N1650" s="1"/>
    </row>
    <row r="1651" spans="2:14" x14ac:dyDescent="0.35">
      <c r="B1651" t="str">
        <f t="shared" si="1741"/>
        <v>SPS1</v>
      </c>
      <c r="C1651" t="str">
        <f t="shared" si="1742"/>
        <v>CH</v>
      </c>
      <c r="D1651" t="s">
        <v>1662</v>
      </c>
      <c r="E1651" t="str">
        <f t="shared" si="1751"/>
        <v>PJ/yr.</v>
      </c>
      <c r="F1651" s="1">
        <f>SUM(F1652:F1653)</f>
        <v>9.6331937779246785E-2</v>
      </c>
      <c r="G1651" s="1">
        <f t="shared" ref="G1651:K1651" si="1753">SUM(G1652:G1653)</f>
        <v>4.6878219761218032E-2</v>
      </c>
      <c r="H1651" s="1">
        <f t="shared" si="1753"/>
        <v>1.8564954523168156E-2</v>
      </c>
      <c r="I1651" s="1">
        <f t="shared" si="1753"/>
        <v>1.3124616231530668E-2</v>
      </c>
      <c r="J1651" s="1">
        <f t="shared" si="1753"/>
        <v>4.8041522770887823E-7</v>
      </c>
      <c r="K1651" s="1">
        <f t="shared" si="1753"/>
        <v>2.8428461336990124E-3</v>
      </c>
      <c r="L1651" s="1">
        <f>IFERROR(SUM(L1652:L1653),0)</f>
        <v>0</v>
      </c>
      <c r="N1651" s="1"/>
    </row>
    <row r="1652" spans="2:14" x14ac:dyDescent="0.35">
      <c r="B1652" t="str">
        <f t="shared" si="1741"/>
        <v>SPS1</v>
      </c>
      <c r="C1652" t="str">
        <f t="shared" si="1742"/>
        <v>CH</v>
      </c>
      <c r="D1652" t="s">
        <v>1663</v>
      </c>
      <c r="E1652" t="str">
        <f t="shared" si="1751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[2]Transport!F$25/SUM([2]Transport!F$21,[2]Transport!F$25)*J1649*(J$35+J$600)/(J$35+J$600+J$39)</f>
        <v>4.8041522770887823E-7</v>
      </c>
      <c r="K1652" s="1">
        <f>[2]Transport!G$25/SUM([2]Transport!G$21,[2]Transport!G$25)*K1649*(K$35+K$600)/(K$35+K$600+K$39)</f>
        <v>2.8428461336990124E-3</v>
      </c>
      <c r="L1652" s="1">
        <f>IFERROR([2]Transport!H$25/SUM([2]Transport!H$21,[2]Transport!H$25)*L1649*(L$35+L$600)/(L$35+L$600+L$39),0)</f>
        <v>0</v>
      </c>
      <c r="N1652" s="1"/>
    </row>
    <row r="1653" spans="2:14" x14ac:dyDescent="0.35">
      <c r="B1653" t="str">
        <f t="shared" si="1741"/>
        <v>SPS1</v>
      </c>
      <c r="C1653" t="str">
        <f t="shared" si="1742"/>
        <v>CH</v>
      </c>
      <c r="D1653" t="s">
        <v>1664</v>
      </c>
      <c r="E1653" t="str">
        <f t="shared" si="175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IFERROR((L$39+L$719)/([2]Transport!H$21+[2]Transport!H$25)*L1649,0)</f>
        <v>0</v>
      </c>
      <c r="N1653" s="1"/>
    </row>
    <row r="1654" spans="2:14" x14ac:dyDescent="0.35">
      <c r="B1654" t="str">
        <f t="shared" si="1741"/>
        <v>SPS1</v>
      </c>
      <c r="C1654" t="str">
        <f t="shared" si="1742"/>
        <v>CH</v>
      </c>
      <c r="D1654" t="s">
        <v>1665</v>
      </c>
      <c r="E1654" t="str">
        <f t="shared" si="175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7.1975248398677879E-6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1.2851936724791289E-2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1"/>
        <v>SPS1</v>
      </c>
      <c r="C1655" t="str">
        <f t="shared" si="1742"/>
        <v>CH</v>
      </c>
      <c r="D1655" t="s">
        <v>1666</v>
      </c>
      <c r="E1655" t="str">
        <f t="shared" si="1751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[2]TRA_FuelByFleet!J$99</f>
        <v>10.525074990549346</v>
      </c>
      <c r="K1655" s="1">
        <f>[2]TRA_FuelByFleet!K$99</f>
        <v>7.6978797483983179</v>
      </c>
      <c r="L1655" s="1">
        <f>[2]TRA_FuelByFleet!L$99</f>
        <v>2.0425579803670293</v>
      </c>
      <c r="N1655" s="1"/>
    </row>
    <row r="1656" spans="2:14" x14ac:dyDescent="0.35">
      <c r="B1656" t="str">
        <f t="shared" si="1741"/>
        <v>SPS1</v>
      </c>
      <c r="C1656" t="str">
        <f t="shared" si="1742"/>
        <v>CH</v>
      </c>
      <c r="D1656" t="s">
        <v>1667</v>
      </c>
      <c r="E1656" t="str">
        <f t="shared" si="1751"/>
        <v>PJ/yr.</v>
      </c>
      <c r="F1656" s="1">
        <f>F1655-F1657</f>
        <v>17.347943590737984</v>
      </c>
      <c r="G1656" s="1">
        <f t="shared" ref="G1656:K1656" si="1754">G1655-G1657</f>
        <v>17.055736072645995</v>
      </c>
      <c r="H1656" s="1">
        <f t="shared" si="1754"/>
        <v>16.270546994073246</v>
      </c>
      <c r="I1656" s="1">
        <f t="shared" si="1754"/>
        <v>12.618157389971154</v>
      </c>
      <c r="J1656" s="1">
        <f t="shared" si="1754"/>
        <v>10.090670027171111</v>
      </c>
      <c r="K1656" s="1">
        <f t="shared" si="1754"/>
        <v>7.4542082045562212</v>
      </c>
      <c r="L1656" s="1">
        <f t="shared" ref="L1656" si="1755">L1655-L1657</f>
        <v>0</v>
      </c>
      <c r="N1656" s="1"/>
    </row>
    <row r="1657" spans="2:14" x14ac:dyDescent="0.35">
      <c r="B1657" t="str">
        <f t="shared" si="1741"/>
        <v>SPS1</v>
      </c>
      <c r="C1657" t="str">
        <f t="shared" si="1742"/>
        <v>CH</v>
      </c>
      <c r="D1657" t="s">
        <v>1668</v>
      </c>
      <c r="E1657" t="str">
        <f t="shared" si="1751"/>
        <v>PJ/yr.</v>
      </c>
      <c r="F1657" s="1">
        <f>SUM(F1658:F1659)</f>
        <v>0.42854404490527348</v>
      </c>
      <c r="G1657" s="1">
        <f t="shared" ref="G1657:K1657" si="1756">SUM(G1658:G1659)</f>
        <v>0.45637798193654594</v>
      </c>
      <c r="H1657" s="1">
        <f t="shared" si="1756"/>
        <v>0.52884354853764792</v>
      </c>
      <c r="I1657" s="1">
        <f t="shared" si="1756"/>
        <v>0.51355479703547302</v>
      </c>
      <c r="J1657" s="1">
        <f t="shared" si="1756"/>
        <v>0.43440496337823398</v>
      </c>
      <c r="K1657" s="1">
        <f t="shared" si="1756"/>
        <v>0.24367154384209674</v>
      </c>
      <c r="L1657" s="1">
        <f t="shared" ref="L1657" si="1757">SUM(L1658:L1659)</f>
        <v>2.0425579803670293</v>
      </c>
      <c r="N1657" s="1"/>
    </row>
    <row r="1658" spans="2:14" x14ac:dyDescent="0.35">
      <c r="B1658" t="str">
        <f t="shared" si="1741"/>
        <v>SPS1</v>
      </c>
      <c r="C1658" t="str">
        <f t="shared" si="1742"/>
        <v>CH</v>
      </c>
      <c r="D1658" t="s">
        <v>1669</v>
      </c>
      <c r="E1658" t="str">
        <f t="shared" si="1751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[2]Transport!F$26/SUM([2]Transport!F$22,[2]Transport!F$26)*J1655*(J$34+J$582)/(J$34+J$582+J$38)</f>
        <v>0.43440496337823398</v>
      </c>
      <c r="K1658" s="1">
        <f>[2]Transport!G$26/SUM([2]Transport!G$22,[2]Transport!G$26)*K1655*(K$34+K$582)/(K$34+K$582+K$38)</f>
        <v>0.24367154384209674</v>
      </c>
      <c r="L1658" s="1">
        <f>[2]Transport!H$26/SUM([2]Transport!H$22,[2]Transport!H$26)*L1655*(L$34+L$582)/(L$34+L$582+L$38)</f>
        <v>0.91467987797084305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1.1278781023961861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1"/>
        <v>SPS1</v>
      </c>
      <c r="C1661" t="str">
        <f t="shared" si="1742"/>
        <v>CH</v>
      </c>
      <c r="D1661" t="s">
        <v>1672</v>
      </c>
      <c r="E1661" t="str">
        <f t="shared" si="175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8.8259127889172461E-5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1.0699799105839855E-4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1"/>
        <v>SPS1</v>
      </c>
      <c r="C1662" t="str">
        <f t="shared" si="1742"/>
        <v>CH</v>
      </c>
      <c r="D1662" t="s">
        <v>1673</v>
      </c>
      <c r="E1662" t="str">
        <f t="shared" si="175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10.524986731421457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7.6977727504072595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2.0425579803670293</v>
      </c>
      <c r="N1662" s="1"/>
    </row>
    <row r="1663" spans="2:14" x14ac:dyDescent="0.35">
      <c r="B1663" t="str">
        <f t="shared" ref="B1663:C1665" si="1758">B1657</f>
        <v>SPS1</v>
      </c>
      <c r="C1663" t="str">
        <f t="shared" si="175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IF([2]Transport!F$23+[2]Transport_Aviation_Intl!F$11&lt;0,0,[2]Transport!F$23+[2]Transport_Aviation_Intl!F$11)</f>
        <v>70.464240175049738</v>
      </c>
      <c r="K1663" s="1">
        <f>IF([2]Transport!G$23+[2]Transport_Aviation_Intl!G$11&lt;0,0,[2]Transport!G$23+[2]Transport_Aviation_Intl!G$11)</f>
        <v>56.898611137608349</v>
      </c>
      <c r="L1663" s="1">
        <f>IF([2]Transport!H$23+[2]Transport_Aviation_Intl!H$11&lt;0,0,[2]Transport!H$23+[2]Transport_Aviation_Intl!H$11)</f>
        <v>24.83940935743296</v>
      </c>
      <c r="N1663" s="1"/>
    </row>
    <row r="1664" spans="2:14" x14ac:dyDescent="0.35">
      <c r="B1664" t="str">
        <f t="shared" si="1758"/>
        <v>SPS1</v>
      </c>
      <c r="C1664" t="str">
        <f t="shared" si="1758"/>
        <v>CH</v>
      </c>
      <c r="D1664" t="s">
        <v>2480</v>
      </c>
      <c r="E1664" t="str">
        <f>E1658</f>
        <v>PJ/yr.</v>
      </c>
      <c r="F1664" s="1">
        <f t="shared" ref="F1664:K1664" si="1759">F36</f>
        <v>2.4842702656880998E-3</v>
      </c>
      <c r="G1664" s="1">
        <f t="shared" si="1759"/>
        <v>1.4769009814737101E-5</v>
      </c>
      <c r="H1664" s="1">
        <f t="shared" si="1759"/>
        <v>3.7230011209845102E-4</v>
      </c>
      <c r="I1664" s="1">
        <f t="shared" si="1759"/>
        <v>5.2467075825699236</v>
      </c>
      <c r="J1664" s="1">
        <f t="shared" si="1759"/>
        <v>5.2467075825699236</v>
      </c>
      <c r="K1664" s="1">
        <f t="shared" si="1759"/>
        <v>18.466946258628766</v>
      </c>
      <c r="L1664" s="1">
        <f t="shared" ref="L1664" si="1760">L36</f>
        <v>30.923409938323125</v>
      </c>
      <c r="N1664" s="1"/>
    </row>
    <row r="1665" spans="2:14" x14ac:dyDescent="0.35">
      <c r="B1665" t="str">
        <f t="shared" si="1758"/>
        <v>SPS1</v>
      </c>
      <c r="C1665" t="str">
        <f t="shared" si="1758"/>
        <v>CH</v>
      </c>
      <c r="D1665" t="s">
        <v>2481</v>
      </c>
      <c r="E1665" t="str">
        <f>E1659</f>
        <v>PJ/yr.</v>
      </c>
      <c r="F1665" s="1">
        <f t="shared" ref="F1665:K1665" si="1761">F40</f>
        <v>0</v>
      </c>
      <c r="G1665" s="1">
        <f t="shared" si="1761"/>
        <v>0</v>
      </c>
      <c r="H1665" s="1">
        <f t="shared" si="1761"/>
        <v>0</v>
      </c>
      <c r="I1665" s="1">
        <f t="shared" si="1761"/>
        <v>0</v>
      </c>
      <c r="J1665" s="1">
        <f t="shared" si="1761"/>
        <v>13.220238676058843</v>
      </c>
      <c r="K1665" s="1">
        <f t="shared" si="1761"/>
        <v>12.456463679694359</v>
      </c>
      <c r="L1665" s="1">
        <f t="shared" ref="L1665" si="1762">L40</f>
        <v>28.72599741043264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3">B1666</f>
        <v>SPS1</v>
      </c>
      <c r="C1667" t="str">
        <f t="shared" si="174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0.24931030862351192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0.26429350058564927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0.2882551734928312</v>
      </c>
      <c r="N1667" s="1"/>
    </row>
    <row r="1668" spans="2:14" x14ac:dyDescent="0.35">
      <c r="B1668" t="str">
        <f t="shared" si="1763"/>
        <v>SPS1</v>
      </c>
      <c r="C1668" t="str">
        <f t="shared" si="1742"/>
        <v>CH</v>
      </c>
      <c r="D1668" t="s">
        <v>1676</v>
      </c>
      <c r="E1668" t="str">
        <f t="shared" ref="E1668:E1671" si="176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3.3098108089591086E-2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3.3880230117904683E-2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3.6423618231117581E-2</v>
      </c>
      <c r="N1668" s="1"/>
    </row>
    <row r="1669" spans="2:14" x14ac:dyDescent="0.35">
      <c r="B1669" t="str">
        <f t="shared" si="1763"/>
        <v>SPS1</v>
      </c>
      <c r="C1669" t="str">
        <f t="shared" si="174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5.7499162338554299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8.5309211864150001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14.1301774547872</v>
      </c>
      <c r="N1669" s="1"/>
    </row>
    <row r="1670" spans="2:14" x14ac:dyDescent="0.35">
      <c r="B1670" t="str">
        <f t="shared" si="1763"/>
        <v>SPS1</v>
      </c>
      <c r="C1670" t="str">
        <f t="shared" si="174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0</v>
      </c>
      <c r="N1670" s="1"/>
    </row>
    <row r="1671" spans="2:14" x14ac:dyDescent="0.35">
      <c r="B1671" t="str">
        <f t="shared" si="1763"/>
        <v>SPS1</v>
      </c>
      <c r="C1671" t="str">
        <f t="shared" si="1742"/>
        <v>CH</v>
      </c>
      <c r="D1671" t="s">
        <v>1679</v>
      </c>
      <c r="E1671" t="str">
        <f t="shared" si="176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3"/>
        <v>SPS1</v>
      </c>
      <c r="C1672" t="str">
        <f t="shared" si="174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0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2.3759194036957899E-5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4.2137637791801299E-5</v>
      </c>
      <c r="N1672" s="1"/>
    </row>
    <row r="1673" spans="2:14" x14ac:dyDescent="0.35">
      <c r="B1673" t="str">
        <f t="shared" si="1763"/>
        <v>SPS1</v>
      </c>
      <c r="C1673" t="str">
        <f t="shared" si="174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6.5239248216661597E-6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1.1649153128437E-2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3"/>
        <v>SPS1</v>
      </c>
      <c r="C1674" t="str">
        <f t="shared" si="174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3"/>
        <v>SPS1</v>
      </c>
      <c r="C1675" t="str">
        <f t="shared" si="1742"/>
        <v>CH</v>
      </c>
      <c r="D1675" t="s">
        <v>1683</v>
      </c>
      <c r="E1675" t="str">
        <f t="shared" ref="E1675" si="176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3.577207665180673E-7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4.3367076349730464E-7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3"/>
        <v>SPS1</v>
      </c>
      <c r="C1676" t="str">
        <f t="shared" si="174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10.4015263231567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7.6074761836992604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2.0185983262035099</v>
      </c>
      <c r="N1676" s="1"/>
    </row>
    <row r="1677" spans="2:14" x14ac:dyDescent="0.35">
      <c r="B1677" s="2" t="str">
        <f t="shared" si="1763"/>
        <v>SPS1</v>
      </c>
      <c r="C1677" s="2" t="str">
        <f t="shared" si="174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3"/>
        <v>SPS1</v>
      </c>
      <c r="C1678" t="str">
        <f t="shared" si="1742"/>
        <v>CH</v>
      </c>
      <c r="D1678" t="s">
        <v>1686</v>
      </c>
      <c r="E1678" t="s">
        <v>1229</v>
      </c>
      <c r="F1678" s="7">
        <f t="shared" ref="F1678:K1680" si="1766">IFERROR(F1667/F1642,"-")</f>
        <v>2.5309161094553195E-2</v>
      </c>
      <c r="G1678" s="7">
        <f t="shared" si="1766"/>
        <v>2.5301857215832019E-2</v>
      </c>
      <c r="H1678" s="7">
        <f t="shared" si="1766"/>
        <v>2.5290901397750198E-2</v>
      </c>
      <c r="I1678" s="7">
        <f t="shared" si="1766"/>
        <v>2.5272641700947188E-2</v>
      </c>
      <c r="J1678" s="7">
        <f t="shared" si="1766"/>
        <v>2.5254382004144246E-2</v>
      </c>
      <c r="K1678" s="7">
        <f t="shared" si="1766"/>
        <v>2.523612230734127E-2</v>
      </c>
      <c r="L1678" s="7">
        <f t="shared" ref="L1678" si="1767">IFERROR(L1667/L1642,"-")</f>
        <v>2.5199602913735301E-2</v>
      </c>
      <c r="N1678" s="1"/>
    </row>
    <row r="1679" spans="2:14" x14ac:dyDescent="0.35">
      <c r="B1679" t="str">
        <f t="shared" si="1763"/>
        <v>SPS1</v>
      </c>
      <c r="C1679" t="str">
        <f t="shared" si="1742"/>
        <v>CH</v>
      </c>
      <c r="D1679" t="s">
        <v>1687</v>
      </c>
      <c r="E1679" t="s">
        <v>1229</v>
      </c>
      <c r="F1679" s="7">
        <f t="shared" si="1766"/>
        <v>1.6704032219401307E-2</v>
      </c>
      <c r="G1679" s="7">
        <f t="shared" si="1766"/>
        <v>1.6704032219401289E-2</v>
      </c>
      <c r="H1679" s="7">
        <f t="shared" si="1766"/>
        <v>1.6704032219401293E-2</v>
      </c>
      <c r="I1679" s="7">
        <f t="shared" si="1766"/>
        <v>1.6704032219401303E-2</v>
      </c>
      <c r="J1679" s="7">
        <f t="shared" si="1766"/>
        <v>1.6704032219401303E-2</v>
      </c>
      <c r="K1679" s="7">
        <f t="shared" si="1766"/>
        <v>1.670403221940131E-2</v>
      </c>
      <c r="L1679" s="7">
        <f t="shared" ref="L1679" si="1768">IFERROR(L1668/L1643,"-")</f>
        <v>1.670403221940131E-2</v>
      </c>
      <c r="N1679" s="1"/>
    </row>
    <row r="1680" spans="2:14" x14ac:dyDescent="0.35">
      <c r="B1680" t="str">
        <f t="shared" si="1763"/>
        <v>SPS1</v>
      </c>
      <c r="C1680" t="str">
        <f t="shared" si="1742"/>
        <v>CH</v>
      </c>
      <c r="D1680" t="s">
        <v>1688</v>
      </c>
      <c r="E1680" t="s">
        <v>240</v>
      </c>
      <c r="F1680" t="str">
        <f t="shared" si="1766"/>
        <v>-</v>
      </c>
      <c r="G1680">
        <f t="shared" si="1766"/>
        <v>2.4673913043478413</v>
      </c>
      <c r="H1680">
        <f t="shared" si="1766"/>
        <v>2.4673913043478239</v>
      </c>
      <c r="I1680">
        <f t="shared" si="1766"/>
        <v>2.4673913043478359</v>
      </c>
      <c r="J1680">
        <f t="shared" si="1766"/>
        <v>2.4672444846500405</v>
      </c>
      <c r="K1680">
        <f t="shared" si="1766"/>
        <v>2.4493769060418034</v>
      </c>
      <c r="L1680">
        <f t="shared" ref="L1680" si="1769">IFERROR(L1669/L1644,"-")</f>
        <v>2.3217031759788509</v>
      </c>
      <c r="N1680" s="1"/>
    </row>
    <row r="1681" spans="2:14" x14ac:dyDescent="0.35">
      <c r="B1681" t="str">
        <f t="shared" si="1763"/>
        <v>SPS1</v>
      </c>
      <c r="C1681" t="str">
        <f t="shared" si="1742"/>
        <v>CH</v>
      </c>
      <c r="D1681" t="s">
        <v>1689</v>
      </c>
      <c r="E1681" t="s">
        <v>1229</v>
      </c>
      <c r="F1681" t="str">
        <f t="shared" ref="F1681:K1683" si="1770">IFERROR(F1670/F1646,"-")</f>
        <v>-</v>
      </c>
      <c r="G1681" t="str">
        <f t="shared" si="1770"/>
        <v>-</v>
      </c>
      <c r="H1681" t="str">
        <f t="shared" si="1770"/>
        <v>-</v>
      </c>
      <c r="I1681" t="str">
        <f t="shared" si="1770"/>
        <v>-</v>
      </c>
      <c r="J1681" t="str">
        <f t="shared" si="1770"/>
        <v>-</v>
      </c>
      <c r="K1681" t="str">
        <f t="shared" si="1770"/>
        <v>-</v>
      </c>
      <c r="L1681" t="str">
        <f t="shared" ref="L1681" si="1771">IFERROR(L1670/L1646,"-")</f>
        <v>-</v>
      </c>
      <c r="N1681" s="1"/>
    </row>
    <row r="1682" spans="2:14" x14ac:dyDescent="0.35">
      <c r="B1682" t="str">
        <f t="shared" si="1763"/>
        <v>SPS1</v>
      </c>
      <c r="C1682" t="str">
        <f t="shared" si="1742"/>
        <v>CH</v>
      </c>
      <c r="D1682" t="s">
        <v>1690</v>
      </c>
      <c r="E1682" t="s">
        <v>1229</v>
      </c>
      <c r="F1682" t="str">
        <f t="shared" si="1770"/>
        <v>-</v>
      </c>
      <c r="G1682" t="str">
        <f t="shared" si="1770"/>
        <v>-</v>
      </c>
      <c r="H1682" t="str">
        <f t="shared" si="1770"/>
        <v>-</v>
      </c>
      <c r="I1682" t="str">
        <f t="shared" si="1770"/>
        <v>-</v>
      </c>
      <c r="J1682" t="str">
        <f t="shared" si="1770"/>
        <v>-</v>
      </c>
      <c r="K1682" t="str">
        <f t="shared" si="1770"/>
        <v>-</v>
      </c>
      <c r="L1682" t="str">
        <f t="shared" ref="L1682" si="1772">IFERROR(L1671/L1647,"-")</f>
        <v>-</v>
      </c>
      <c r="N1682" s="1"/>
    </row>
    <row r="1683" spans="2:14" x14ac:dyDescent="0.35">
      <c r="B1683" t="str">
        <f t="shared" si="1763"/>
        <v>SPS1</v>
      </c>
      <c r="C1683" t="str">
        <f t="shared" si="1742"/>
        <v>CH</v>
      </c>
      <c r="D1683" t="s">
        <v>1691</v>
      </c>
      <c r="E1683" t="s">
        <v>240</v>
      </c>
      <c r="F1683" t="str">
        <f t="shared" si="1770"/>
        <v>-</v>
      </c>
      <c r="G1683" t="str">
        <f t="shared" si="1770"/>
        <v>-</v>
      </c>
      <c r="H1683" t="str">
        <f t="shared" si="1770"/>
        <v>-</v>
      </c>
      <c r="I1683" t="str">
        <f t="shared" si="1770"/>
        <v>-</v>
      </c>
      <c r="J1683" t="str">
        <f t="shared" si="1770"/>
        <v>-</v>
      </c>
      <c r="K1683">
        <f t="shared" si="1770"/>
        <v>1.7934782608695701</v>
      </c>
      <c r="L1683">
        <f t="shared" ref="L1683" si="1773">IFERROR(L1672/L1648,"-")</f>
        <v>1.7934782608695714</v>
      </c>
      <c r="N1683" s="1"/>
    </row>
    <row r="1684" spans="2:14" x14ac:dyDescent="0.35">
      <c r="B1684" t="str">
        <f t="shared" si="1763"/>
        <v>SPS1</v>
      </c>
      <c r="C1684" t="str">
        <f t="shared" si="1742"/>
        <v>CH</v>
      </c>
      <c r="D1684" t="s">
        <v>1692</v>
      </c>
      <c r="E1684" t="s">
        <v>240</v>
      </c>
      <c r="F1684" s="4">
        <f t="shared" ref="F1684:K1684" si="1774">IFERROR(F1673/F1654,"-")</f>
        <v>0.90641226905247907</v>
      </c>
      <c r="G1684" s="4">
        <f t="shared" si="1774"/>
        <v>0.90641226905247696</v>
      </c>
      <c r="H1684" s="4">
        <f t="shared" si="1774"/>
        <v>0.90641226905247718</v>
      </c>
      <c r="I1684" s="4">
        <f t="shared" si="1774"/>
        <v>0.90641226905247407</v>
      </c>
      <c r="J1684" s="4">
        <f t="shared" si="1774"/>
        <v>0.9064122690524814</v>
      </c>
      <c r="K1684" s="4">
        <f t="shared" si="1774"/>
        <v>0.90641226905248229</v>
      </c>
      <c r="L1684" s="4" t="str">
        <f t="shared" ref="L1684" si="1775">IFERROR(L1673/L1654,"-")</f>
        <v>-</v>
      </c>
      <c r="N1684" s="1"/>
    </row>
    <row r="1685" spans="2:14" x14ac:dyDescent="0.35">
      <c r="B1685" t="str">
        <f t="shared" si="1763"/>
        <v>SPS1</v>
      </c>
      <c r="C1685" t="str">
        <f t="shared" si="1742"/>
        <v>CH</v>
      </c>
      <c r="D1685" t="s">
        <v>1693</v>
      </c>
      <c r="E1685" t="s">
        <v>1229</v>
      </c>
      <c r="F1685" t="str">
        <f t="shared" ref="F1685:K1687" si="1776">IFERROR(F1674/F1660,"-")</f>
        <v>-</v>
      </c>
      <c r="G1685" t="str">
        <f t="shared" si="1776"/>
        <v>-</v>
      </c>
      <c r="H1685" t="str">
        <f t="shared" si="1776"/>
        <v>-</v>
      </c>
      <c r="I1685" t="str">
        <f t="shared" si="1776"/>
        <v>-</v>
      </c>
      <c r="J1685" t="str">
        <f t="shared" si="1776"/>
        <v>-</v>
      </c>
      <c r="K1685" t="str">
        <f t="shared" si="1776"/>
        <v>-</v>
      </c>
      <c r="L1685" t="str">
        <f t="shared" ref="L1685" si="1777">IFERROR(L1674/L1660,"-")</f>
        <v>-</v>
      </c>
      <c r="N1685" s="1"/>
    </row>
    <row r="1686" spans="2:14" x14ac:dyDescent="0.35">
      <c r="B1686" t="str">
        <f t="shared" si="1763"/>
        <v>SPS1</v>
      </c>
      <c r="C1686" t="str">
        <f t="shared" si="1742"/>
        <v>CH</v>
      </c>
      <c r="D1686" t="s">
        <v>1694</v>
      </c>
      <c r="E1686" t="s">
        <v>1229</v>
      </c>
      <c r="F1686" s="1">
        <f t="shared" si="1776"/>
        <v>4.0530738867855113E-3</v>
      </c>
      <c r="G1686" s="1">
        <f t="shared" si="1776"/>
        <v>4.0530738867855061E-3</v>
      </c>
      <c r="H1686">
        <f t="shared" si="1776"/>
        <v>4.0530738867855095E-3</v>
      </c>
      <c r="I1686">
        <f t="shared" si="1776"/>
        <v>4.0530738867855078E-3</v>
      </c>
      <c r="J1686">
        <f t="shared" si="1776"/>
        <v>4.0530738867855061E-3</v>
      </c>
      <c r="K1686">
        <f t="shared" si="1776"/>
        <v>4.0530738867855104E-3</v>
      </c>
      <c r="L1686" t="str">
        <f t="shared" ref="L1686" si="1778">IFERROR(L1675/L1661,"-")</f>
        <v>-</v>
      </c>
      <c r="N1686" s="1"/>
    </row>
    <row r="1687" spans="2:14" x14ac:dyDescent="0.35">
      <c r="B1687" t="str">
        <f t="shared" si="1763"/>
        <v>SPS1</v>
      </c>
      <c r="C1687" t="str">
        <f t="shared" si="1742"/>
        <v>CH</v>
      </c>
      <c r="D1687" t="s">
        <v>1695</v>
      </c>
      <c r="E1687" t="s">
        <v>240</v>
      </c>
      <c r="F1687" s="4">
        <f t="shared" si="1776"/>
        <v>0.98826978015125178</v>
      </c>
      <c r="G1687" s="4">
        <f t="shared" si="1776"/>
        <v>0.98826978015125033</v>
      </c>
      <c r="H1687" s="4">
        <f t="shared" si="1776"/>
        <v>0.98826978015124811</v>
      </c>
      <c r="I1687" s="4">
        <f t="shared" si="1776"/>
        <v>0.988269780151249</v>
      </c>
      <c r="J1687" s="4">
        <f t="shared" si="1776"/>
        <v>0.98826978015124944</v>
      </c>
      <c r="K1687" s="4">
        <f t="shared" si="1776"/>
        <v>0.98826978015124933</v>
      </c>
      <c r="L1687" s="4">
        <f t="shared" ref="L1687" si="1779">IFERROR(L1676/L1662,"-")</f>
        <v>0.98826978015125222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80">SUM(G1689:G1691,G1694:G1696,-G1701)</f>
        <v>32.478226523999972</v>
      </c>
      <c r="H1688" s="3">
        <f t="shared" si="1780"/>
        <v>30.104374609990408</v>
      </c>
      <c r="I1688" s="3">
        <f t="shared" si="1780"/>
        <v>22.53155244443494</v>
      </c>
      <c r="J1688" s="3">
        <f t="shared" si="1780"/>
        <v>15.62413037925157</v>
      </c>
      <c r="K1688" s="3">
        <f t="shared" si="1780"/>
        <v>11.240441281859203</v>
      </c>
      <c r="L1688" s="3">
        <f t="shared" ref="L1688" si="1781">SUM(L1689:L1691,L1694:L1696,-L1701)</f>
        <v>1.1441381682284258E-5</v>
      </c>
      <c r="N1688" s="1"/>
    </row>
    <row r="1689" spans="2:14" x14ac:dyDescent="0.35">
      <c r="B1689" t="str">
        <f>B1688</f>
        <v>SPS1</v>
      </c>
      <c r="C1689" t="str">
        <f t="shared" ref="C1689" si="1782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[2]Summary!F53+[2]Summary!F59</f>
        <v>2.4637515888944717</v>
      </c>
      <c r="K1689" s="1">
        <f>[2]Summary!G53+[2]Summary!G59</f>
        <v>2.4029200420273322</v>
      </c>
      <c r="L1689" s="1">
        <f>[2]Summary!H53+[2]Summary!H59</f>
        <v>-3.3823953544183181</v>
      </c>
      <c r="N1689" s="1"/>
    </row>
    <row r="1690" spans="2:14" x14ac:dyDescent="0.35">
      <c r="B1690" t="str">
        <f t="shared" ref="B1690:B1701" si="1783">B1689</f>
        <v>SPS1</v>
      </c>
      <c r="C1690" t="str">
        <f t="shared" ref="C1690:C1701" si="1784">C1689</f>
        <v>CH</v>
      </c>
      <c r="D1690" t="s">
        <v>1703</v>
      </c>
      <c r="E1690" t="str">
        <f t="shared" ref="E1690:E1701" si="178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3"/>
        <v>SPS1</v>
      </c>
      <c r="C1691" t="str">
        <f t="shared" si="1784"/>
        <v>CH</v>
      </c>
      <c r="D1691" t="s">
        <v>1704</v>
      </c>
      <c r="E1691" t="str">
        <f t="shared" si="1785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[2]Summary!F55+[2]Summary!F60</f>
        <v>4.0669012930635384</v>
      </c>
      <c r="K1691" s="1">
        <f>[2]Summary!G55+[2]Summary!G60</f>
        <v>3.3073191153041939</v>
      </c>
      <c r="L1691" s="1">
        <f>[2]Summary!H55+[2]Summary!H60</f>
        <v>2.3467446676982355</v>
      </c>
      <c r="N1691" s="1"/>
    </row>
    <row r="1692" spans="2:14" x14ac:dyDescent="0.35">
      <c r="B1692" t="str">
        <f t="shared" si="1783"/>
        <v>SPS1</v>
      </c>
      <c r="C1692" t="str">
        <f t="shared" si="1784"/>
        <v>CH</v>
      </c>
      <c r="D1692" t="s">
        <v>1714</v>
      </c>
      <c r="E1692" t="str">
        <f t="shared" si="1785"/>
        <v>Mt/yr.</v>
      </c>
      <c r="F1692" s="1">
        <f>F1691-F1693</f>
        <v>4.4044284316229625</v>
      </c>
      <c r="G1692" s="1">
        <f t="shared" ref="G1692:K1692" si="1786">G1691-G1693</f>
        <v>4.0161248502696623</v>
      </c>
      <c r="H1692" s="1">
        <f t="shared" si="1786"/>
        <v>3.6431191384215138</v>
      </c>
      <c r="I1692" s="1">
        <f t="shared" si="1786"/>
        <v>2.7781959579784492</v>
      </c>
      <c r="J1692" s="1">
        <f t="shared" si="1786"/>
        <v>1.9813657034041685</v>
      </c>
      <c r="K1692" s="1">
        <f t="shared" si="1786"/>
        <v>1.229905011356784</v>
      </c>
      <c r="L1692" s="1">
        <f t="shared" ref="L1692" si="1787">L1691-L1693</f>
        <v>1.3148618984489158</v>
      </c>
      <c r="N1692" s="1"/>
    </row>
    <row r="1693" spans="2:14" x14ac:dyDescent="0.35">
      <c r="B1693" t="str">
        <f t="shared" si="1783"/>
        <v>SPS1</v>
      </c>
      <c r="C1693" t="str">
        <f t="shared" si="1784"/>
        <v>CH</v>
      </c>
      <c r="D1693" t="s">
        <v>1713</v>
      </c>
      <c r="E1693" t="str">
        <f t="shared" si="178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2.0855355896593699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2.0774141039474099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1.0318827692493198</v>
      </c>
      <c r="N1693" s="1"/>
    </row>
    <row r="1694" spans="2:14" x14ac:dyDescent="0.35">
      <c r="B1694" t="str">
        <f t="shared" si="1783"/>
        <v>SPS1</v>
      </c>
      <c r="C1694" t="str">
        <f t="shared" si="1784"/>
        <v>CH</v>
      </c>
      <c r="D1694" t="s">
        <v>1705</v>
      </c>
      <c r="E1694" t="str">
        <f t="shared" si="1785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[2]Summary!F56</f>
        <v>1.1624627808901651</v>
      </c>
      <c r="K1694" s="1">
        <f>[2]Summary!G56</f>
        <v>0.49579580217046099</v>
      </c>
      <c r="L1694" s="1">
        <f>[2]Summary!H56</f>
        <v>0.33327037091397715</v>
      </c>
      <c r="N1694" s="1"/>
    </row>
    <row r="1695" spans="2:14" x14ac:dyDescent="0.35">
      <c r="B1695" t="str">
        <f t="shared" si="1783"/>
        <v>SPS1</v>
      </c>
      <c r="C1695" t="str">
        <f t="shared" si="1784"/>
        <v>CH</v>
      </c>
      <c r="D1695" t="s">
        <v>1706</v>
      </c>
      <c r="E1695" t="str">
        <f t="shared" si="1785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[2]Summary!F57</f>
        <v>2.5125811984728204</v>
      </c>
      <c r="K1695" s="1">
        <f>[2]Summary!G57</f>
        <v>1.166482989536336</v>
      </c>
      <c r="L1695" s="1">
        <f>[2]Summary!H57</f>
        <v>0.69954329252173597</v>
      </c>
      <c r="N1695" s="1"/>
    </row>
    <row r="1696" spans="2:14" x14ac:dyDescent="0.35">
      <c r="B1696" t="str">
        <f t="shared" si="1783"/>
        <v>SPS1</v>
      </c>
      <c r="C1696" t="str">
        <f t="shared" si="1784"/>
        <v>CH</v>
      </c>
      <c r="D1696" t="s">
        <v>1707</v>
      </c>
      <c r="E1696" t="str">
        <f t="shared" si="1785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[2]Summary!F58</f>
        <v>5.4184335179305751</v>
      </c>
      <c r="K1696" s="1">
        <f>[2]Summary!G58</f>
        <v>3.8679233328208809</v>
      </c>
      <c r="L1696" s="1">
        <f>[2]Summary!H58</f>
        <v>2.8575622624631299E-3</v>
      </c>
      <c r="N1696" s="1"/>
    </row>
    <row r="1697" spans="2:14" x14ac:dyDescent="0.35">
      <c r="B1697" t="str">
        <f t="shared" si="1783"/>
        <v>SPS1</v>
      </c>
      <c r="C1697" t="str">
        <f t="shared" si="1784"/>
        <v>CH</v>
      </c>
      <c r="D1697" t="s">
        <v>1708</v>
      </c>
      <c r="E1697" t="str">
        <f t="shared" si="178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5.8093232069708174</v>
      </c>
      <c r="N1697" s="1"/>
    </row>
    <row r="1698" spans="2:14" x14ac:dyDescent="0.35">
      <c r="B1698" t="str">
        <f t="shared" si="1783"/>
        <v>SPS1</v>
      </c>
      <c r="C1698" t="str">
        <f t="shared" si="1784"/>
        <v>CH</v>
      </c>
      <c r="D1698" t="s">
        <v>1709</v>
      </c>
      <c r="E1698" t="str">
        <f t="shared" si="178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1.7708778307555233</v>
      </c>
      <c r="N1698" s="1"/>
    </row>
    <row r="1699" spans="2:14" x14ac:dyDescent="0.35">
      <c r="B1699" t="str">
        <f t="shared" si="1783"/>
        <v>SPS1</v>
      </c>
      <c r="C1699" t="str">
        <f t="shared" si="1784"/>
        <v>CH</v>
      </c>
      <c r="D1699" t="s">
        <v>1710</v>
      </c>
      <c r="E1699" t="str">
        <f t="shared" si="178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3"/>
        <v>SPS1</v>
      </c>
      <c r="C1700" t="str">
        <f t="shared" si="1784"/>
        <v>CH</v>
      </c>
      <c r="D1700" t="s">
        <v>1711</v>
      </c>
      <c r="E1700" t="str">
        <f t="shared" si="178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3"/>
        <v>SPS1</v>
      </c>
      <c r="C1701" t="str">
        <f t="shared" si="1784"/>
        <v>CH</v>
      </c>
      <c r="D1701" t="s">
        <v>1712</v>
      </c>
      <c r="E1701" t="str">
        <f t="shared" si="178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9.0975964114346733E-6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8">SUM(G1703:G1705)</f>
        <v>0</v>
      </c>
      <c r="H1702" s="3">
        <f t="shared" si="1788"/>
        <v>0</v>
      </c>
      <c r="I1702" s="3">
        <f t="shared" si="1788"/>
        <v>0</v>
      </c>
      <c r="J1702" s="3">
        <f t="shared" si="1788"/>
        <v>0</v>
      </c>
      <c r="K1702" s="3">
        <f t="shared" si="1788"/>
        <v>0</v>
      </c>
      <c r="L1702" s="3">
        <f t="shared" ref="L1702" si="178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0">B1703</f>
        <v>SPS1</v>
      </c>
      <c r="C1704" t="str">
        <f t="shared" ref="C1704:C1705" si="179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0"/>
        <v>SPS1</v>
      </c>
      <c r="C1705" t="str">
        <f t="shared" si="179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2">B1705</f>
        <v>SPS1</v>
      </c>
      <c r="C1706" s="2" t="str">
        <f t="shared" si="179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2"/>
        <v>SPS1</v>
      </c>
      <c r="C1707" t="str">
        <f t="shared" si="179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3">SUM(G1708:G1709)</f>
        <v>0</v>
      </c>
      <c r="H1707" s="1">
        <f t="shared" si="1793"/>
        <v>0</v>
      </c>
      <c r="I1707" s="1">
        <f t="shared" si="1793"/>
        <v>0</v>
      </c>
      <c r="J1707" s="1">
        <f t="shared" si="1793"/>
        <v>0</v>
      </c>
      <c r="K1707" s="1">
        <f t="shared" si="1793"/>
        <v>0</v>
      </c>
      <c r="L1707" s="1">
        <f t="shared" ref="L1707" si="1794">SUM(L1708:L1709)</f>
        <v>6.6264804287943389E-5</v>
      </c>
      <c r="N1707" s="1"/>
    </row>
    <row r="1708" spans="2:14" x14ac:dyDescent="0.35">
      <c r="B1708" t="str">
        <f t="shared" si="1792"/>
        <v>SPS1</v>
      </c>
      <c r="C1708" t="str">
        <f t="shared" si="179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8.2788127344055569E-6</v>
      </c>
      <c r="N1708" s="1"/>
    </row>
    <row r="1709" spans="2:14" x14ac:dyDescent="0.35">
      <c r="B1709" t="str">
        <f t="shared" si="1792"/>
        <v>SPS1</v>
      </c>
      <c r="C1709" t="str">
        <f t="shared" si="179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5.7985991553537826E-5</v>
      </c>
      <c r="N1709" s="1"/>
    </row>
    <row r="1710" spans="2:14" x14ac:dyDescent="0.35">
      <c r="B1710" t="str">
        <f t="shared" si="1792"/>
        <v>SPS1</v>
      </c>
      <c r="C1710" t="str">
        <f t="shared" si="179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5">G1701</f>
        <v>0</v>
      </c>
      <c r="H1710" s="1">
        <f t="shared" si="1795"/>
        <v>0</v>
      </c>
      <c r="I1710" s="1">
        <f t="shared" si="1795"/>
        <v>0</v>
      </c>
      <c r="J1710" s="1">
        <f t="shared" si="1795"/>
        <v>0</v>
      </c>
      <c r="K1710" s="1">
        <f t="shared" si="1795"/>
        <v>0</v>
      </c>
      <c r="L1710" s="1">
        <f t="shared" ref="L1710" si="1796">L1701</f>
        <v>9.0975964114346733E-6</v>
      </c>
      <c r="N1710" s="1"/>
    </row>
    <row r="1711" spans="2:14" x14ac:dyDescent="0.35">
      <c r="B1711" s="2" t="str">
        <f t="shared" si="1792"/>
        <v>SPS1</v>
      </c>
      <c r="C1711" s="2" t="str">
        <f t="shared" si="179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97">SUM(G1712:G1713,G1730,G1739:G1740,G1741,G1742,G1747,G1750,,G1755:G1758,G1751)</f>
        <v>961.7925757747754</v>
      </c>
      <c r="H1711" s="3">
        <f t="shared" si="1797"/>
        <v>908.27532365117918</v>
      </c>
      <c r="I1711" s="3">
        <f t="shared" si="1797"/>
        <v>858.90533272457401</v>
      </c>
      <c r="J1711" s="3">
        <f t="shared" si="1797"/>
        <v>765.62420514633607</v>
      </c>
      <c r="K1711" s="3">
        <f t="shared" si="1797"/>
        <v>703.5493081829236</v>
      </c>
      <c r="L1711" s="3">
        <f t="shared" ref="L1711" si="1798">SUM(L1712:L1713,L1730,L1739:L1740,L1741,L1742,L1747,L1750,,L1755:L1758,L1751)</f>
        <v>609.55554090630471</v>
      </c>
      <c r="N1711" s="1"/>
    </row>
    <row r="1712" spans="2:14" x14ac:dyDescent="0.35">
      <c r="B1712" t="str">
        <f>B1711</f>
        <v>SPS1</v>
      </c>
      <c r="C1712" t="str">
        <f t="shared" ref="C1712" si="1799">C1711</f>
        <v>CH</v>
      </c>
      <c r="D1712" t="s">
        <v>1738</v>
      </c>
      <c r="E1712" t="str">
        <f>E1711</f>
        <v>PJ/yr.</v>
      </c>
      <c r="F1712" s="1">
        <f t="shared" ref="F1712:K1722" si="1800">F21</f>
        <v>3.6600301925056655</v>
      </c>
      <c r="G1712" s="1">
        <f t="shared" si="1800"/>
        <v>3.5647245036537694</v>
      </c>
      <c r="H1712" s="1">
        <f t="shared" si="1800"/>
        <v>1.015348537801664</v>
      </c>
      <c r="I1712" s="1">
        <f t="shared" si="1800"/>
        <v>4.4505442796075246E-4</v>
      </c>
      <c r="J1712" s="1">
        <f t="shared" si="1800"/>
        <v>3.2816316256354506E-4</v>
      </c>
      <c r="K1712" s="1">
        <f t="shared" si="1800"/>
        <v>5.6609530104344958E-6</v>
      </c>
      <c r="L1712" s="1">
        <f t="shared" ref="L1712" si="1801">L21</f>
        <v>1.6809361199672176E-4</v>
      </c>
      <c r="N1712" s="1"/>
    </row>
    <row r="1713" spans="2:14" x14ac:dyDescent="0.35">
      <c r="B1713" t="str">
        <f t="shared" ref="B1713:B1765" si="1802">B1712</f>
        <v>SPS1</v>
      </c>
      <c r="C1713" t="str">
        <f t="shared" ref="C1713:C1765" si="1803">C1712</f>
        <v>CH</v>
      </c>
      <c r="D1713" t="s">
        <v>1739</v>
      </c>
      <c r="E1713" t="str">
        <f t="shared" ref="E1713:E1741" si="1804">E1712</f>
        <v>PJ/yr.</v>
      </c>
      <c r="F1713" s="1">
        <f t="shared" si="1800"/>
        <v>311.9251512066121</v>
      </c>
      <c r="G1713" s="1">
        <f t="shared" si="1800"/>
        <v>288.66006589881744</v>
      </c>
      <c r="H1713" s="1">
        <f t="shared" si="1800"/>
        <v>261.49557346238208</v>
      </c>
      <c r="I1713" s="1">
        <f t="shared" si="1800"/>
        <v>184.10766878344154</v>
      </c>
      <c r="J1713" s="1">
        <f t="shared" si="1800"/>
        <v>123.27965155805751</v>
      </c>
      <c r="K1713" s="1">
        <f t="shared" si="1800"/>
        <v>98.495832958603529</v>
      </c>
      <c r="L1713" s="1">
        <f t="shared" ref="L1713" si="1805">L22</f>
        <v>68.247134697559687</v>
      </c>
      <c r="N1713" s="1"/>
    </row>
    <row r="1714" spans="2:14" x14ac:dyDescent="0.35">
      <c r="B1714" t="str">
        <f t="shared" si="1802"/>
        <v>SPS1</v>
      </c>
      <c r="C1714" t="str">
        <f t="shared" si="1803"/>
        <v>CH</v>
      </c>
      <c r="D1714" t="s">
        <v>1740</v>
      </c>
      <c r="E1714" t="str">
        <f t="shared" si="1804"/>
        <v>PJ/yr.</v>
      </c>
      <c r="F1714" s="1">
        <f t="shared" si="1800"/>
        <v>305.33184798729502</v>
      </c>
      <c r="G1714" s="1">
        <f t="shared" si="1800"/>
        <v>281.88343700152564</v>
      </c>
      <c r="H1714" s="1">
        <f t="shared" si="1800"/>
        <v>254.58843199973015</v>
      </c>
      <c r="I1714" s="1">
        <f t="shared" si="1800"/>
        <v>171.65599130129391</v>
      </c>
      <c r="J1714" s="1">
        <f t="shared" si="1800"/>
        <v>99.776762210894319</v>
      </c>
      <c r="K1714" s="1">
        <f t="shared" si="1800"/>
        <v>60.945593095952312</v>
      </c>
      <c r="L1714" s="1">
        <f t="shared" ref="L1714" si="1806">L23</f>
        <v>0</v>
      </c>
      <c r="N1714" s="1"/>
    </row>
    <row r="1715" spans="2:14" x14ac:dyDescent="0.35">
      <c r="B1715" t="str">
        <f t="shared" si="1802"/>
        <v>SPS1</v>
      </c>
      <c r="C1715" t="str">
        <f t="shared" si="1803"/>
        <v>CH</v>
      </c>
      <c r="D1715" t="s">
        <v>1741</v>
      </c>
      <c r="E1715" t="str">
        <f t="shared" si="1804"/>
        <v>PJ/yr.</v>
      </c>
      <c r="F1715" s="1">
        <f t="shared" si="1800"/>
        <v>101.77479041962813</v>
      </c>
      <c r="G1715" s="1">
        <f t="shared" si="1800"/>
        <v>88.214731466403308</v>
      </c>
      <c r="H1715" s="1">
        <f t="shared" si="1800"/>
        <v>85.424661713999356</v>
      </c>
      <c r="I1715" s="1">
        <f t="shared" si="1800"/>
        <v>41.482708882093839</v>
      </c>
      <c r="J1715" s="1">
        <f t="shared" si="1800"/>
        <v>26.164424246746503</v>
      </c>
      <c r="K1715" s="1">
        <f t="shared" si="1800"/>
        <v>8.40524175790196</v>
      </c>
      <c r="L1715" s="1">
        <f t="shared" ref="L1715" si="1807">L24</f>
        <v>0</v>
      </c>
      <c r="N1715" s="1"/>
    </row>
    <row r="1716" spans="2:14" x14ac:dyDescent="0.35">
      <c r="B1716" t="str">
        <f t="shared" si="1802"/>
        <v>SPS1</v>
      </c>
      <c r="C1716" t="str">
        <f t="shared" si="1803"/>
        <v>CH</v>
      </c>
      <c r="D1716" t="s">
        <v>1742</v>
      </c>
      <c r="E1716" t="str">
        <f t="shared" si="1804"/>
        <v>PJ/yr.</v>
      </c>
      <c r="F1716" s="1">
        <f t="shared" si="1800"/>
        <v>2.7763812609812386</v>
      </c>
      <c r="G1716" s="1">
        <f t="shared" si="1800"/>
        <v>2.7644141004072029</v>
      </c>
      <c r="H1716" s="1">
        <f t="shared" si="1800"/>
        <v>6.1040016997173426E-3</v>
      </c>
      <c r="I1716" s="1">
        <f t="shared" si="1800"/>
        <v>5.7215508914488719E-4</v>
      </c>
      <c r="J1716" s="1">
        <f t="shared" si="1800"/>
        <v>4.4808844323133583E-4</v>
      </c>
      <c r="K1716" s="1">
        <f t="shared" si="1800"/>
        <v>5.7955359337383286E-6</v>
      </c>
      <c r="L1716" s="1">
        <f t="shared" ref="L1716" si="1808">L25</f>
        <v>0</v>
      </c>
      <c r="N1716" s="1"/>
    </row>
    <row r="1717" spans="2:14" x14ac:dyDescent="0.35">
      <c r="B1717" t="str">
        <f t="shared" si="1802"/>
        <v>SPS1</v>
      </c>
      <c r="C1717" t="str">
        <f t="shared" si="1803"/>
        <v>CH</v>
      </c>
      <c r="D1717" t="s">
        <v>1743</v>
      </c>
      <c r="E1717" t="str">
        <f t="shared" si="1804"/>
        <v>PJ/yr.</v>
      </c>
      <c r="F1717" s="1">
        <f t="shared" si="1800"/>
        <v>122.16104762033362</v>
      </c>
      <c r="G1717" s="1">
        <f t="shared" si="1800"/>
        <v>112.68604527998711</v>
      </c>
      <c r="H1717" s="1">
        <f t="shared" si="1800"/>
        <v>97.37049135531646</v>
      </c>
      <c r="I1717" s="1">
        <f t="shared" si="1800"/>
        <v>69.421194260625285</v>
      </c>
      <c r="J1717" s="1">
        <f t="shared" si="1800"/>
        <v>42.032106987007346</v>
      </c>
      <c r="K1717" s="1">
        <f t="shared" si="1800"/>
        <v>36.899794837375303</v>
      </c>
      <c r="L1717" s="1">
        <f t="shared" ref="L1717" si="1809">L26</f>
        <v>0</v>
      </c>
      <c r="N1717" s="1"/>
    </row>
    <row r="1718" spans="2:14" x14ac:dyDescent="0.35">
      <c r="B1718" t="str">
        <f t="shared" si="1802"/>
        <v>SPS1</v>
      </c>
      <c r="C1718" t="str">
        <f t="shared" si="1803"/>
        <v>CH</v>
      </c>
      <c r="D1718" t="s">
        <v>1744</v>
      </c>
      <c r="E1718" t="str">
        <f t="shared" si="1804"/>
        <v>PJ/yr.</v>
      </c>
      <c r="F1718" s="1">
        <f t="shared" si="1800"/>
        <v>77.512763226318825</v>
      </c>
      <c r="G1718" s="1">
        <f t="shared" si="1800"/>
        <v>76.813041715937189</v>
      </c>
      <c r="H1718" s="1">
        <f t="shared" si="1800"/>
        <v>69.938593008278062</v>
      </c>
      <c r="I1718" s="1">
        <f t="shared" si="1800"/>
        <v>58.353187665012669</v>
      </c>
      <c r="J1718" s="1">
        <f t="shared" si="1800"/>
        <v>30.199817153214806</v>
      </c>
      <c r="K1718" s="1">
        <f t="shared" si="1800"/>
        <v>15.299848238358303</v>
      </c>
      <c r="L1718" s="1">
        <f t="shared" ref="L1718" si="1810">L27</f>
        <v>0</v>
      </c>
      <c r="N1718" s="1"/>
    </row>
    <row r="1719" spans="2:14" x14ac:dyDescent="0.35">
      <c r="B1719" t="str">
        <f t="shared" si="1802"/>
        <v>SPS1</v>
      </c>
      <c r="C1719" t="str">
        <f t="shared" si="1803"/>
        <v>CH</v>
      </c>
      <c r="D1719" t="s">
        <v>1745</v>
      </c>
      <c r="E1719" t="str">
        <f t="shared" si="1804"/>
        <v>PJ/yr.</v>
      </c>
      <c r="F1719" s="1">
        <f t="shared" si="1800"/>
        <v>1.1068654600332086</v>
      </c>
      <c r="G1719" s="1">
        <f t="shared" si="1800"/>
        <v>1.4052044387908236</v>
      </c>
      <c r="H1719" s="1">
        <f t="shared" si="1800"/>
        <v>1.8485819204365332</v>
      </c>
      <c r="I1719" s="1">
        <f t="shared" si="1800"/>
        <v>2.3983283384729965</v>
      </c>
      <c r="J1719" s="1">
        <f t="shared" si="1800"/>
        <v>1.3799657354824304</v>
      </c>
      <c r="K1719" s="1">
        <f t="shared" si="1800"/>
        <v>0.34070246678081367</v>
      </c>
      <c r="L1719" s="1">
        <f t="shared" ref="L1719" si="1811">L28</f>
        <v>0</v>
      </c>
      <c r="N1719" s="1"/>
    </row>
    <row r="1720" spans="2:14" x14ac:dyDescent="0.35">
      <c r="B1720" t="str">
        <f t="shared" si="1802"/>
        <v>SPS1</v>
      </c>
      <c r="C1720" t="str">
        <f t="shared" si="1803"/>
        <v>CH</v>
      </c>
      <c r="D1720" t="s">
        <v>1746</v>
      </c>
      <c r="E1720" t="str">
        <f t="shared" si="1804"/>
        <v>PJ/yr.</v>
      </c>
      <c r="F1720" s="1">
        <f t="shared" si="1800"/>
        <v>6.5933032193170895</v>
      </c>
      <c r="G1720" s="1">
        <f t="shared" si="1800"/>
        <v>6.7766288972917819</v>
      </c>
      <c r="H1720" s="1">
        <f t="shared" si="1800"/>
        <v>6.9071414626519552</v>
      </c>
      <c r="I1720" s="1">
        <f t="shared" si="1800"/>
        <v>12.45167748214763</v>
      </c>
      <c r="J1720" s="1">
        <f t="shared" si="1800"/>
        <v>23.502889347163183</v>
      </c>
      <c r="K1720" s="1">
        <f t="shared" si="1800"/>
        <v>37.550239862651225</v>
      </c>
      <c r="L1720" s="1">
        <f t="shared" ref="L1720" si="1812">L29</f>
        <v>68.247134697559687</v>
      </c>
      <c r="N1720" s="1"/>
    </row>
    <row r="1721" spans="2:14" x14ac:dyDescent="0.35">
      <c r="B1721" t="str">
        <f t="shared" si="1802"/>
        <v>SPS1</v>
      </c>
      <c r="C1721" t="str">
        <f t="shared" si="1803"/>
        <v>CH</v>
      </c>
      <c r="D1721" t="s">
        <v>1747</v>
      </c>
      <c r="E1721" t="str">
        <f t="shared" si="1804"/>
        <v>PJ/yr.</v>
      </c>
      <c r="F1721" s="1">
        <f t="shared" si="1800"/>
        <v>2.1566668421127706</v>
      </c>
      <c r="G1721" s="1">
        <f t="shared" si="1800"/>
        <v>2.3779981698109096</v>
      </c>
      <c r="H1721" s="1">
        <f t="shared" si="1800"/>
        <v>1.9625688087491817</v>
      </c>
      <c r="I1721" s="1">
        <f t="shared" si="1800"/>
        <v>3.8501566554391911</v>
      </c>
      <c r="J1721" s="1">
        <f t="shared" si="1800"/>
        <v>2.8760182291624865</v>
      </c>
      <c r="K1721" s="1">
        <f t="shared" si="1800"/>
        <v>2.2812688551428906</v>
      </c>
      <c r="L1721" s="1">
        <f t="shared" ref="L1721" si="1813">L30</f>
        <v>8.5977273488039216</v>
      </c>
      <c r="N1721" s="1"/>
    </row>
    <row r="1722" spans="2:14" x14ac:dyDescent="0.35">
      <c r="B1722" t="str">
        <f t="shared" si="1802"/>
        <v>SPS1</v>
      </c>
      <c r="C1722" t="str">
        <f t="shared" si="1803"/>
        <v>CH</v>
      </c>
      <c r="D1722" t="s">
        <v>1748</v>
      </c>
      <c r="E1722" t="str">
        <f t="shared" si="1804"/>
        <v>PJ/yr.</v>
      </c>
      <c r="F1722" s="1">
        <f t="shared" si="1800"/>
        <v>4.4341521069386314</v>
      </c>
      <c r="G1722" s="1">
        <f t="shared" si="1800"/>
        <v>4.3986159584710576</v>
      </c>
      <c r="H1722" s="1">
        <f t="shared" si="1800"/>
        <v>4.9442003537906754</v>
      </c>
      <c r="I1722" s="1">
        <f t="shared" si="1800"/>
        <v>3.3548132441385157</v>
      </c>
      <c r="J1722" s="1">
        <f t="shared" si="1800"/>
        <v>2.1599248593719307</v>
      </c>
      <c r="K1722" s="1">
        <f t="shared" si="1800"/>
        <v>4.3455610691852078</v>
      </c>
      <c r="L1722" s="1">
        <f t="shared" ref="L1722" si="1814">L31</f>
        <v>0</v>
      </c>
      <c r="N1722" s="1"/>
    </row>
    <row r="1723" spans="2:14" x14ac:dyDescent="0.35">
      <c r="B1723" t="str">
        <f t="shared" si="1802"/>
        <v>SPS1</v>
      </c>
      <c r="C1723" t="str">
        <f t="shared" si="1803"/>
        <v>CH</v>
      </c>
      <c r="D1723" t="s">
        <v>1749</v>
      </c>
      <c r="E1723" t="str">
        <f t="shared" si="1804"/>
        <v>PJ/yr.</v>
      </c>
      <c r="F1723" s="1">
        <f t="shared" ref="F1723:K1725" si="1815">F33</f>
        <v>6.5933032193170895</v>
      </c>
      <c r="G1723" s="1">
        <f t="shared" si="1815"/>
        <v>6.7766288972917819</v>
      </c>
      <c r="H1723" s="1">
        <f t="shared" si="1815"/>
        <v>6.9071414626519552</v>
      </c>
      <c r="I1723" s="1">
        <f t="shared" si="1815"/>
        <v>12.45167748214763</v>
      </c>
      <c r="J1723" s="1">
        <f t="shared" si="1815"/>
        <v>10.28265067110434</v>
      </c>
      <c r="K1723" s="1">
        <f t="shared" si="1815"/>
        <v>25.093776182956866</v>
      </c>
      <c r="L1723" s="1">
        <f t="shared" ref="L1723" si="1816">L33</f>
        <v>34.773566593762318</v>
      </c>
      <c r="N1723" s="1"/>
    </row>
    <row r="1724" spans="2:14" x14ac:dyDescent="0.35">
      <c r="B1724" t="str">
        <f t="shared" si="1802"/>
        <v>SPS1</v>
      </c>
      <c r="C1724" t="str">
        <f t="shared" si="1803"/>
        <v>CH</v>
      </c>
      <c r="D1724" t="s">
        <v>1750</v>
      </c>
      <c r="E1724" t="str">
        <f t="shared" si="1804"/>
        <v>PJ/yr.</v>
      </c>
      <c r="F1724" s="1">
        <f t="shared" si="1815"/>
        <v>2.1566668421127706</v>
      </c>
      <c r="G1724" s="1">
        <f t="shared" si="1815"/>
        <v>2.3779981698109096</v>
      </c>
      <c r="H1724" s="1">
        <f t="shared" si="1815"/>
        <v>1.9625688087491817</v>
      </c>
      <c r="I1724" s="1">
        <f t="shared" si="1815"/>
        <v>3.8501566554391911</v>
      </c>
      <c r="J1724" s="1">
        <f t="shared" si="1815"/>
        <v>2.8760182291624865</v>
      </c>
      <c r="K1724" s="1">
        <f t="shared" si="1815"/>
        <v>2.2812688551428906</v>
      </c>
      <c r="L1724" s="1">
        <f t="shared" ref="L1724" si="1817">L34</f>
        <v>3.8501566554391911</v>
      </c>
      <c r="N1724" s="1"/>
    </row>
    <row r="1725" spans="2:14" x14ac:dyDescent="0.35">
      <c r="B1725" t="str">
        <f t="shared" si="1802"/>
        <v>SPS1</v>
      </c>
      <c r="C1725" t="str">
        <f t="shared" si="1803"/>
        <v>CH</v>
      </c>
      <c r="D1725" t="s">
        <v>1751</v>
      </c>
      <c r="E1725" t="str">
        <f t="shared" si="1804"/>
        <v>PJ/yr.</v>
      </c>
      <c r="F1725" s="1">
        <f t="shared" si="1815"/>
        <v>4.4341521069386314</v>
      </c>
      <c r="G1725" s="1">
        <f t="shared" si="1815"/>
        <v>4.3986159584710576</v>
      </c>
      <c r="H1725" s="1">
        <f t="shared" si="1815"/>
        <v>4.9442003537906754</v>
      </c>
      <c r="I1725" s="1">
        <f t="shared" si="1815"/>
        <v>3.3548132441385157</v>
      </c>
      <c r="J1725" s="1">
        <f t="shared" si="1815"/>
        <v>2.1599248593719307</v>
      </c>
      <c r="K1725" s="1">
        <f t="shared" si="1815"/>
        <v>4.3455610691852078</v>
      </c>
      <c r="L1725" s="1">
        <f t="shared" ref="L1725" si="1818">L35</f>
        <v>0</v>
      </c>
      <c r="N1725" s="1"/>
    </row>
    <row r="1726" spans="2:14" x14ac:dyDescent="0.35">
      <c r="B1726" t="str">
        <f t="shared" si="1802"/>
        <v>SPS1</v>
      </c>
      <c r="C1726" t="str">
        <f t="shared" si="1803"/>
        <v>CH</v>
      </c>
      <c r="D1726" t="s">
        <v>1752</v>
      </c>
      <c r="E1726" t="str">
        <f t="shared" si="1804"/>
        <v>PJ/yr.</v>
      </c>
      <c r="F1726" s="1">
        <f t="shared" ref="F1726:K1739" si="1819">F37</f>
        <v>0</v>
      </c>
      <c r="G1726" s="1">
        <f t="shared" si="1819"/>
        <v>0</v>
      </c>
      <c r="H1726" s="1">
        <f t="shared" si="1819"/>
        <v>0</v>
      </c>
      <c r="I1726" s="1">
        <f t="shared" si="1819"/>
        <v>0</v>
      </c>
      <c r="J1726" s="1">
        <f t="shared" si="1819"/>
        <v>13.220238676058843</v>
      </c>
      <c r="K1726" s="1">
        <f t="shared" si="1819"/>
        <v>12.456463679694359</v>
      </c>
      <c r="L1726" s="1">
        <f t="shared" ref="L1726" si="1820">L37</f>
        <v>33.473568103797369</v>
      </c>
      <c r="N1726" s="1"/>
    </row>
    <row r="1727" spans="2:14" x14ac:dyDescent="0.35">
      <c r="B1727" t="str">
        <f t="shared" si="1802"/>
        <v>SPS1</v>
      </c>
      <c r="C1727" t="str">
        <f t="shared" si="1803"/>
        <v>CH</v>
      </c>
      <c r="D1727" t="s">
        <v>1753</v>
      </c>
      <c r="E1727" t="str">
        <f t="shared" si="1804"/>
        <v>PJ/yr.</v>
      </c>
      <c r="F1727" s="1">
        <f t="shared" si="1819"/>
        <v>0</v>
      </c>
      <c r="G1727" s="1">
        <f t="shared" si="1819"/>
        <v>0</v>
      </c>
      <c r="H1727" s="1">
        <f t="shared" si="1819"/>
        <v>0</v>
      </c>
      <c r="I1727" s="1">
        <f t="shared" si="1819"/>
        <v>0</v>
      </c>
      <c r="J1727" s="1">
        <f t="shared" si="1819"/>
        <v>0</v>
      </c>
      <c r="K1727" s="1">
        <f t="shared" si="1819"/>
        <v>0</v>
      </c>
      <c r="L1727" s="1">
        <f t="shared" ref="L1727" si="1821">L38</f>
        <v>4.7475706933647306</v>
      </c>
      <c r="N1727" s="1"/>
    </row>
    <row r="1728" spans="2:14" x14ac:dyDescent="0.35">
      <c r="B1728" t="str">
        <f t="shared" si="1802"/>
        <v>SPS1</v>
      </c>
      <c r="C1728" t="str">
        <f t="shared" si="1803"/>
        <v>CH</v>
      </c>
      <c r="D1728" t="s">
        <v>1754</v>
      </c>
      <c r="E1728" t="str">
        <f t="shared" si="1804"/>
        <v>PJ/yr.</v>
      </c>
      <c r="F1728" s="1">
        <f t="shared" si="1819"/>
        <v>0</v>
      </c>
      <c r="G1728" s="1">
        <f t="shared" si="1819"/>
        <v>0</v>
      </c>
      <c r="H1728" s="1">
        <f t="shared" si="1819"/>
        <v>0</v>
      </c>
      <c r="I1728" s="1">
        <f t="shared" si="1819"/>
        <v>0</v>
      </c>
      <c r="J1728" s="1">
        <f t="shared" si="1819"/>
        <v>0</v>
      </c>
      <c r="K1728" s="1">
        <f t="shared" si="1819"/>
        <v>0</v>
      </c>
      <c r="L1728" s="1">
        <f t="shared" ref="L1728" si="1822">L39</f>
        <v>0</v>
      </c>
      <c r="N1728" s="1"/>
    </row>
    <row r="1729" spans="2:14" x14ac:dyDescent="0.35">
      <c r="B1729" t="str">
        <f t="shared" si="1802"/>
        <v>SPS1</v>
      </c>
      <c r="C1729" t="str">
        <f t="shared" si="1803"/>
        <v>CH</v>
      </c>
      <c r="D1729" t="s">
        <v>1755</v>
      </c>
      <c r="E1729" t="str">
        <f t="shared" si="1804"/>
        <v>PJ/yr.</v>
      </c>
      <c r="F1729" s="1">
        <f t="shared" si="1819"/>
        <v>0</v>
      </c>
      <c r="G1729" s="1">
        <f t="shared" si="1819"/>
        <v>0</v>
      </c>
      <c r="H1729" s="1">
        <f t="shared" si="1819"/>
        <v>0</v>
      </c>
      <c r="I1729" s="1">
        <f t="shared" si="1819"/>
        <v>0</v>
      </c>
      <c r="J1729" s="1">
        <f t="shared" si="1819"/>
        <v>13.220238676058843</v>
      </c>
      <c r="K1729" s="1">
        <f t="shared" si="1819"/>
        <v>12.456463679694359</v>
      </c>
      <c r="L1729" s="1">
        <f t="shared" ref="L1729" si="1823">L40</f>
        <v>28.72599741043264</v>
      </c>
      <c r="N1729" s="1"/>
    </row>
    <row r="1730" spans="2:14" x14ac:dyDescent="0.35">
      <c r="B1730" t="str">
        <f t="shared" si="1802"/>
        <v>SPS1</v>
      </c>
      <c r="C1730" t="str">
        <f t="shared" si="1803"/>
        <v>CH</v>
      </c>
      <c r="D1730" t="s">
        <v>1756</v>
      </c>
      <c r="E1730" t="str">
        <f t="shared" si="1804"/>
        <v>PJ/yr.</v>
      </c>
      <c r="F1730" s="1">
        <f t="shared" si="1819"/>
        <v>117.19647199814379</v>
      </c>
      <c r="G1730" s="1">
        <f t="shared" si="1819"/>
        <v>107.23650955336298</v>
      </c>
      <c r="H1730" s="1">
        <f t="shared" si="1819"/>
        <v>105.06956777504824</v>
      </c>
      <c r="I1730" s="1">
        <f t="shared" si="1819"/>
        <v>84.076814439714809</v>
      </c>
      <c r="J1730" s="1">
        <f t="shared" si="1819"/>
        <v>55.882320460019123</v>
      </c>
      <c r="K1730" s="1">
        <f t="shared" si="1819"/>
        <v>27.361213197454397</v>
      </c>
      <c r="L1730" s="1">
        <f t="shared" ref="L1730" si="1824">L41</f>
        <v>41.377546483244672</v>
      </c>
      <c r="N1730" s="1"/>
    </row>
    <row r="1731" spans="2:14" x14ac:dyDescent="0.35">
      <c r="B1731" t="str">
        <f t="shared" si="1802"/>
        <v>SPS1</v>
      </c>
      <c r="C1731" t="str">
        <f t="shared" si="1803"/>
        <v>CH</v>
      </c>
      <c r="D1731" t="s">
        <v>1757</v>
      </c>
      <c r="E1731" t="str">
        <f t="shared" si="1804"/>
        <v>PJ/yr.</v>
      </c>
      <c r="F1731" s="1">
        <f t="shared" si="1819"/>
        <v>117.19647199814379</v>
      </c>
      <c r="G1731" s="1">
        <f t="shared" si="1819"/>
        <v>106.72000712196059</v>
      </c>
      <c r="H1731" s="1">
        <f t="shared" si="1819"/>
        <v>104.68092671429676</v>
      </c>
      <c r="I1731" s="1">
        <f t="shared" si="1819"/>
        <v>80.854602441500703</v>
      </c>
      <c r="J1731" s="1">
        <f t="shared" si="1819"/>
        <v>51.8698552164999</v>
      </c>
      <c r="K1731" s="1">
        <f t="shared" si="1819"/>
        <v>25.225551655251063</v>
      </c>
      <c r="L1731" s="1">
        <f t="shared" ref="L1731" si="1825">L42</f>
        <v>39.24208333801257</v>
      </c>
      <c r="N1731" s="1"/>
    </row>
    <row r="1732" spans="2:14" x14ac:dyDescent="0.35">
      <c r="B1732" t="str">
        <f t="shared" si="1802"/>
        <v>SPS1</v>
      </c>
      <c r="C1732" t="str">
        <f t="shared" si="1803"/>
        <v>CH</v>
      </c>
      <c r="D1732" t="s">
        <v>1758</v>
      </c>
      <c r="E1732" t="str">
        <f t="shared" si="1804"/>
        <v>PJ/yr.</v>
      </c>
      <c r="F1732" s="1">
        <f t="shared" si="1819"/>
        <v>117.19647199814379</v>
      </c>
      <c r="G1732" s="1">
        <f t="shared" si="1819"/>
        <v>106.72000712196059</v>
      </c>
      <c r="H1732" s="1">
        <f t="shared" si="1819"/>
        <v>104.68092671429676</v>
      </c>
      <c r="I1732" s="1">
        <f t="shared" si="1819"/>
        <v>80.85366590750165</v>
      </c>
      <c r="J1732" s="1">
        <f t="shared" si="1819"/>
        <v>51.867783075700828</v>
      </c>
      <c r="K1732" s="1">
        <f t="shared" si="1819"/>
        <v>25.22517261170367</v>
      </c>
      <c r="L1732" s="1">
        <f t="shared" ref="L1732" si="1826">L43</f>
        <v>39.241819453005206</v>
      </c>
      <c r="N1732" s="1"/>
    </row>
    <row r="1733" spans="2:14" x14ac:dyDescent="0.35">
      <c r="B1733" t="str">
        <f t="shared" si="1802"/>
        <v>SPS1</v>
      </c>
      <c r="C1733" t="str">
        <f t="shared" si="1803"/>
        <v>CH</v>
      </c>
      <c r="D1733" t="s">
        <v>1759</v>
      </c>
      <c r="E1733" t="str">
        <f t="shared" si="1804"/>
        <v>PJ/yr.</v>
      </c>
      <c r="F1733" s="1">
        <f t="shared" si="1819"/>
        <v>0</v>
      </c>
      <c r="G1733" s="1">
        <f t="shared" si="1819"/>
        <v>0</v>
      </c>
      <c r="H1733" s="1">
        <f t="shared" si="1819"/>
        <v>0</v>
      </c>
      <c r="I1733" s="1">
        <f t="shared" si="1819"/>
        <v>9.3653399905918903E-4</v>
      </c>
      <c r="J1733" s="1">
        <f t="shared" si="1819"/>
        <v>2.0721407990711201E-3</v>
      </c>
      <c r="K1733" s="1">
        <f t="shared" si="1819"/>
        <v>3.7904354739208139E-4</v>
      </c>
      <c r="L1733" s="1">
        <f t="shared" ref="L1733" si="1827">L44</f>
        <v>2.6388500736200624E-4</v>
      </c>
      <c r="N1733" s="1"/>
    </row>
    <row r="1734" spans="2:14" x14ac:dyDescent="0.35">
      <c r="B1734" t="str">
        <f t="shared" si="1802"/>
        <v>SPS1</v>
      </c>
      <c r="C1734" t="str">
        <f t="shared" si="1803"/>
        <v>CH</v>
      </c>
      <c r="D1734" t="s">
        <v>1760</v>
      </c>
      <c r="E1734" t="str">
        <f t="shared" si="1804"/>
        <v>PJ/yr.</v>
      </c>
      <c r="F1734" s="1">
        <f t="shared" si="1819"/>
        <v>0</v>
      </c>
      <c r="G1734" s="1">
        <f t="shared" si="1819"/>
        <v>0.51650243140238616</v>
      </c>
      <c r="H1734" s="1">
        <f t="shared" si="1819"/>
        <v>0.38864106075147814</v>
      </c>
      <c r="I1734" s="1">
        <f t="shared" si="1819"/>
        <v>3.2222119982141058</v>
      </c>
      <c r="J1734" s="1">
        <f t="shared" si="1819"/>
        <v>4.0124652435192232</v>
      </c>
      <c r="K1734" s="1">
        <f t="shared" si="1819"/>
        <v>2.1356615422033354</v>
      </c>
      <c r="L1734" s="1">
        <f t="shared" ref="L1734" si="1828">L45</f>
        <v>2.1354631452321011</v>
      </c>
      <c r="N1734" s="1"/>
    </row>
    <row r="1735" spans="2:14" x14ac:dyDescent="0.35">
      <c r="B1735" t="str">
        <f t="shared" si="1802"/>
        <v>SPS1</v>
      </c>
      <c r="C1735" t="str">
        <f t="shared" si="1803"/>
        <v>CH</v>
      </c>
      <c r="D1735" t="s">
        <v>1761</v>
      </c>
      <c r="E1735" t="str">
        <f t="shared" si="1804"/>
        <v>PJ/yr.</v>
      </c>
      <c r="F1735" s="1">
        <f t="shared" si="1819"/>
        <v>0</v>
      </c>
      <c r="G1735" s="1">
        <f t="shared" si="1819"/>
        <v>0.51650243140238616</v>
      </c>
      <c r="H1735" s="1">
        <f t="shared" si="1819"/>
        <v>0.38864106075147814</v>
      </c>
      <c r="I1735" s="1">
        <f t="shared" si="1819"/>
        <v>3.2222119982141058</v>
      </c>
      <c r="J1735" s="1">
        <f t="shared" si="1819"/>
        <v>3.2222119982141058</v>
      </c>
      <c r="K1735" s="1">
        <f t="shared" si="1819"/>
        <v>2.1356615422033354</v>
      </c>
      <c r="L1735" s="1">
        <f t="shared" ref="L1735" si="1829">L46</f>
        <v>2.1354631452321011</v>
      </c>
      <c r="N1735" s="1"/>
    </row>
    <row r="1736" spans="2:14" x14ac:dyDescent="0.35">
      <c r="B1736" t="str">
        <f t="shared" si="1802"/>
        <v>SPS1</v>
      </c>
      <c r="C1736" t="str">
        <f t="shared" si="1803"/>
        <v>CH</v>
      </c>
      <c r="D1736" t="s">
        <v>1762</v>
      </c>
      <c r="E1736" t="str">
        <f t="shared" si="1804"/>
        <v>PJ/yr.</v>
      </c>
      <c r="F1736" s="1">
        <f t="shared" si="1819"/>
        <v>0</v>
      </c>
      <c r="G1736" s="1">
        <f t="shared" si="1819"/>
        <v>0.51650243140238616</v>
      </c>
      <c r="H1736" s="1">
        <f t="shared" si="1819"/>
        <v>0.38864106075147814</v>
      </c>
      <c r="I1736" s="1">
        <f t="shared" si="1819"/>
        <v>3.2222119982141058</v>
      </c>
      <c r="J1736" s="1">
        <f t="shared" si="1819"/>
        <v>3.2222119982141058</v>
      </c>
      <c r="K1736" s="1">
        <f t="shared" si="1819"/>
        <v>2.1356615422033354</v>
      </c>
      <c r="L1736" s="1">
        <f t="shared" ref="L1736" si="1830">L47</f>
        <v>2.1354631452321011</v>
      </c>
      <c r="N1736" s="1"/>
    </row>
    <row r="1737" spans="2:14" x14ac:dyDescent="0.35">
      <c r="B1737" t="str">
        <f t="shared" si="1802"/>
        <v>SPS1</v>
      </c>
      <c r="C1737" t="str">
        <f t="shared" si="1803"/>
        <v>CH</v>
      </c>
      <c r="D1737" t="s">
        <v>1763</v>
      </c>
      <c r="E1737" t="str">
        <f t="shared" si="1804"/>
        <v>PJ/yr.</v>
      </c>
      <c r="F1737" s="1">
        <f t="shared" si="1819"/>
        <v>0</v>
      </c>
      <c r="G1737" s="1">
        <f t="shared" si="1819"/>
        <v>0</v>
      </c>
      <c r="H1737" s="1">
        <f t="shared" si="1819"/>
        <v>0</v>
      </c>
      <c r="I1737" s="1">
        <f t="shared" si="1819"/>
        <v>0</v>
      </c>
      <c r="J1737" s="1">
        <f t="shared" si="1819"/>
        <v>0.79025324530511742</v>
      </c>
      <c r="K1737" s="1">
        <f t="shared" si="1819"/>
        <v>0</v>
      </c>
      <c r="L1737" s="1">
        <f t="shared" ref="L1737" si="1831">L48</f>
        <v>0</v>
      </c>
      <c r="N1737" s="1"/>
    </row>
    <row r="1738" spans="2:14" x14ac:dyDescent="0.35">
      <c r="B1738" t="str">
        <f t="shared" si="1802"/>
        <v>SPS1</v>
      </c>
      <c r="C1738" t="str">
        <f t="shared" si="1803"/>
        <v>CH</v>
      </c>
      <c r="D1738" t="s">
        <v>1764</v>
      </c>
      <c r="E1738" t="str">
        <f t="shared" si="1804"/>
        <v>PJ/yr.</v>
      </c>
      <c r="F1738" s="1">
        <f t="shared" si="1819"/>
        <v>0</v>
      </c>
      <c r="G1738" s="1">
        <f t="shared" si="1819"/>
        <v>0</v>
      </c>
      <c r="H1738" s="1">
        <f t="shared" si="1819"/>
        <v>0</v>
      </c>
      <c r="I1738" s="1">
        <f t="shared" si="1819"/>
        <v>0</v>
      </c>
      <c r="J1738" s="1">
        <f t="shared" si="1819"/>
        <v>0.79025324530511742</v>
      </c>
      <c r="K1738" s="1">
        <f t="shared" si="1819"/>
        <v>0</v>
      </c>
      <c r="L1738" s="1">
        <f t="shared" ref="L1738" si="1832">L49</f>
        <v>0</v>
      </c>
      <c r="N1738" s="1"/>
    </row>
    <row r="1739" spans="2:14" x14ac:dyDescent="0.35">
      <c r="B1739" t="str">
        <f t="shared" si="1802"/>
        <v>SPS1</v>
      </c>
      <c r="C1739" t="str">
        <f t="shared" si="1803"/>
        <v>CH</v>
      </c>
      <c r="D1739" t="s">
        <v>1765</v>
      </c>
      <c r="E1739" t="str">
        <f t="shared" si="1804"/>
        <v>PJ/yr.</v>
      </c>
      <c r="F1739" s="1">
        <f t="shared" si="1819"/>
        <v>250.94820421254295</v>
      </c>
      <c r="G1739" s="1">
        <f t="shared" si="1819"/>
        <v>253.29988923882391</v>
      </c>
      <c r="H1739" s="1">
        <f t="shared" si="1819"/>
        <v>233.1760463712923</v>
      </c>
      <c r="I1739" s="1">
        <f t="shared" si="1819"/>
        <v>187.17906433080435</v>
      </c>
      <c r="J1739" s="1">
        <f t="shared" si="1819"/>
        <v>167.60369274845081</v>
      </c>
      <c r="K1739" s="1">
        <f t="shared" si="1819"/>
        <v>98.945500114542966</v>
      </c>
      <c r="L1739" s="1">
        <f t="shared" ref="L1739" si="1833">L50</f>
        <v>0</v>
      </c>
      <c r="N1739" s="1"/>
    </row>
    <row r="1740" spans="2:14" x14ac:dyDescent="0.35">
      <c r="B1740" t="str">
        <f t="shared" si="1802"/>
        <v>SPS1</v>
      </c>
      <c r="C1740" t="str">
        <f t="shared" si="1803"/>
        <v>CH</v>
      </c>
      <c r="D1740" t="s">
        <v>1766</v>
      </c>
      <c r="E1740" t="str">
        <f t="shared" si="1804"/>
        <v>PJ/yr.</v>
      </c>
      <c r="F1740" s="1">
        <f t="shared" ref="F1740:K1740" si="1834">-F58+F51</f>
        <v>-20.009996295823484</v>
      </c>
      <c r="G1740" s="1">
        <f t="shared" si="1834"/>
        <v>13.630024181984503</v>
      </c>
      <c r="H1740" s="1">
        <f t="shared" si="1834"/>
        <v>-25.271158294909448</v>
      </c>
      <c r="I1740" s="1">
        <f t="shared" si="1834"/>
        <v>2.711623849904754E-7</v>
      </c>
      <c r="J1740" s="1">
        <f t="shared" si="1834"/>
        <v>7.5919160583737266E-4</v>
      </c>
      <c r="K1740" s="1">
        <f t="shared" si="1834"/>
        <v>24.857698463137893</v>
      </c>
      <c r="L1740" s="1">
        <f t="shared" ref="L1740" si="1835">-L58+L51</f>
        <v>12.755064561393866</v>
      </c>
      <c r="N1740" s="1"/>
    </row>
    <row r="1741" spans="2:14" x14ac:dyDescent="0.35">
      <c r="B1741" t="str">
        <f t="shared" si="1802"/>
        <v>SPS1</v>
      </c>
      <c r="C1741" t="str">
        <f t="shared" si="1803"/>
        <v>CH</v>
      </c>
      <c r="D1741" t="s">
        <v>1767</v>
      </c>
      <c r="E1741" t="str">
        <f t="shared" si="1804"/>
        <v>PJ/yr.</v>
      </c>
      <c r="F1741" s="1">
        <f t="shared" ref="F1741:K1741" si="1836">F56</f>
        <v>0</v>
      </c>
      <c r="G1741" s="1">
        <f t="shared" si="1836"/>
        <v>0</v>
      </c>
      <c r="H1741" s="1">
        <f t="shared" si="1836"/>
        <v>0</v>
      </c>
      <c r="I1741" s="1">
        <f t="shared" si="1836"/>
        <v>0</v>
      </c>
      <c r="J1741" s="1">
        <f t="shared" si="1836"/>
        <v>0</v>
      </c>
      <c r="K1741" s="1">
        <f t="shared" si="1836"/>
        <v>0</v>
      </c>
      <c r="L1741" s="1">
        <f t="shared" ref="L1741" si="1837">L56</f>
        <v>0</v>
      </c>
      <c r="N1741" s="1"/>
    </row>
    <row r="1742" spans="2:14" x14ac:dyDescent="0.35">
      <c r="B1742" t="str">
        <f t="shared" si="1802"/>
        <v>SPS1</v>
      </c>
      <c r="C1742" t="str">
        <f t="shared" si="1803"/>
        <v>CH</v>
      </c>
      <c r="D1742" t="s">
        <v>1769</v>
      </c>
      <c r="E1742" t="str">
        <f t="shared" ref="E1742:K1751" si="1838">E3</f>
        <v>PJ/yr.</v>
      </c>
      <c r="F1742" s="1">
        <f t="shared" si="1838"/>
        <v>44.972461591864374</v>
      </c>
      <c r="G1742" s="1">
        <f t="shared" si="1838"/>
        <v>47.710014930490367</v>
      </c>
      <c r="H1742" s="1">
        <f t="shared" si="1838"/>
        <v>47.710008604701798</v>
      </c>
      <c r="I1742" s="1">
        <f t="shared" si="1838"/>
        <v>47.710006574565298</v>
      </c>
      <c r="J1742" s="1">
        <f t="shared" si="1838"/>
        <v>47.710007881211624</v>
      </c>
      <c r="K1742" s="1">
        <f t="shared" si="1838"/>
        <v>47.710007014283569</v>
      </c>
      <c r="L1742" s="1">
        <f t="shared" ref="L1742" si="1839">L3</f>
        <v>47.710008200197308</v>
      </c>
      <c r="N1742" s="1"/>
    </row>
    <row r="1743" spans="2:14" x14ac:dyDescent="0.35">
      <c r="B1743" t="str">
        <f t="shared" si="1802"/>
        <v>SPS1</v>
      </c>
      <c r="C1743" t="str">
        <f t="shared" si="1803"/>
        <v>CH</v>
      </c>
      <c r="D1743" t="s">
        <v>1770</v>
      </c>
      <c r="E1743" t="str">
        <f t="shared" si="1838"/>
        <v>PJ/yr.</v>
      </c>
      <c r="F1743" s="1">
        <f t="shared" si="1838"/>
        <v>11.111883612464171</v>
      </c>
      <c r="G1743" s="1">
        <f t="shared" si="1838"/>
        <v>11.952883870571489</v>
      </c>
      <c r="H1743" s="1">
        <f t="shared" si="1838"/>
        <v>13.214391579020344</v>
      </c>
      <c r="I1743" s="1">
        <f t="shared" si="1838"/>
        <v>15.316909749719466</v>
      </c>
      <c r="J1743" s="1">
        <f t="shared" si="1838"/>
        <v>15.849138837977588</v>
      </c>
      <c r="K1743" s="1">
        <f t="shared" si="1838"/>
        <v>16.266396404803849</v>
      </c>
      <c r="L1743" s="1">
        <f t="shared" ref="L1743" si="1840">L4</f>
        <v>16.956995174839527</v>
      </c>
      <c r="N1743" s="1"/>
    </row>
    <row r="1744" spans="2:14" x14ac:dyDescent="0.35">
      <c r="B1744" t="str">
        <f t="shared" si="1802"/>
        <v>SPS1</v>
      </c>
      <c r="C1744" t="str">
        <f t="shared" si="1803"/>
        <v>CH</v>
      </c>
      <c r="D1744" t="s">
        <v>1771</v>
      </c>
      <c r="E1744" t="str">
        <f t="shared" si="1838"/>
        <v>PJ/yr.</v>
      </c>
      <c r="F1744" s="1">
        <f t="shared" si="1838"/>
        <v>7.5116767340058983</v>
      </c>
      <c r="G1744" s="1">
        <f t="shared" si="1838"/>
        <v>7.5431417483062084</v>
      </c>
      <c r="H1744" s="1">
        <f t="shared" si="1838"/>
        <v>7.5903467656905947</v>
      </c>
      <c r="I1744" s="1">
        <f t="shared" si="1838"/>
        <v>7.6690270709706336</v>
      </c>
      <c r="J1744" s="1">
        <f t="shared" si="1838"/>
        <v>7.6690265416233467</v>
      </c>
      <c r="K1744" s="1">
        <f t="shared" si="1838"/>
        <v>7.6690271326706316</v>
      </c>
      <c r="L1744" s="1">
        <f t="shared" ref="L1744" si="1841">L5</f>
        <v>7.6690281520076446</v>
      </c>
      <c r="N1744" s="1"/>
    </row>
    <row r="1745" spans="2:14" x14ac:dyDescent="0.35">
      <c r="B1745" t="str">
        <f t="shared" si="1802"/>
        <v>SPS1</v>
      </c>
      <c r="C1745" t="str">
        <f t="shared" si="1803"/>
        <v>CH</v>
      </c>
      <c r="D1745" t="s">
        <v>1772</v>
      </c>
      <c r="E1745" t="str">
        <f t="shared" si="1838"/>
        <v>PJ/yr.</v>
      </c>
      <c r="F1745" s="1">
        <f t="shared" si="1838"/>
        <v>3.1682506306825062</v>
      </c>
      <c r="G1745" s="1">
        <f t="shared" si="1838"/>
        <v>3.4956722364813468</v>
      </c>
      <c r="H1745" s="1">
        <f t="shared" si="1838"/>
        <v>3.9868128606010207</v>
      </c>
      <c r="I1745" s="1">
        <f t="shared" si="1838"/>
        <v>4.8053859017374396</v>
      </c>
      <c r="J1745" s="1">
        <f t="shared" si="1838"/>
        <v>4.8053852202669471</v>
      </c>
      <c r="K1745" s="1">
        <f t="shared" si="1838"/>
        <v>4.8053860167483036</v>
      </c>
      <c r="L1745" s="1">
        <f t="shared" ref="L1745" si="1842">L6</f>
        <v>4.8053872639745725</v>
      </c>
      <c r="N1745" s="1"/>
    </row>
    <row r="1746" spans="2:14" x14ac:dyDescent="0.35">
      <c r="B1746" t="str">
        <f t="shared" si="1802"/>
        <v>SPS1</v>
      </c>
      <c r="C1746" t="str">
        <f t="shared" si="1803"/>
        <v>CH</v>
      </c>
      <c r="D1746" t="s">
        <v>1773</v>
      </c>
      <c r="E1746" t="str">
        <f t="shared" si="1838"/>
        <v>PJ/yr.</v>
      </c>
      <c r="F1746" s="1">
        <f t="shared" si="1838"/>
        <v>23.180650614711801</v>
      </c>
      <c r="G1746" s="1">
        <f t="shared" si="1838"/>
        <v>24.718317075131324</v>
      </c>
      <c r="H1746" s="1">
        <f t="shared" si="1838"/>
        <v>22.918457399389837</v>
      </c>
      <c r="I1746" s="1">
        <f t="shared" si="1838"/>
        <v>19.918683852137761</v>
      </c>
      <c r="J1746" s="1">
        <f t="shared" si="1838"/>
        <v>19.386457281343745</v>
      </c>
      <c r="K1746" s="1">
        <f t="shared" si="1838"/>
        <v>18.969197460060784</v>
      </c>
      <c r="L1746" s="1">
        <f t="shared" ref="L1746" si="1843">L7</f>
        <v>18.278597609375563</v>
      </c>
      <c r="N1746" s="1"/>
    </row>
    <row r="1747" spans="2:14" x14ac:dyDescent="0.35">
      <c r="B1747" t="str">
        <f t="shared" si="1802"/>
        <v>SPS1</v>
      </c>
      <c r="C1747" t="str">
        <f t="shared" si="1803"/>
        <v>CH</v>
      </c>
      <c r="D1747" t="s">
        <v>1774</v>
      </c>
      <c r="E1747" t="str">
        <f t="shared" si="1838"/>
        <v>PJ/yr.</v>
      </c>
      <c r="F1747" s="1">
        <f t="shared" si="1838"/>
        <v>70.031550156482695</v>
      </c>
      <c r="G1747" s="1">
        <f t="shared" si="1838"/>
        <v>70.696993377344256</v>
      </c>
      <c r="H1747" s="1">
        <f t="shared" si="1838"/>
        <v>70.304051128228977</v>
      </c>
      <c r="I1747" s="1">
        <f t="shared" si="1838"/>
        <v>70.761667088324273</v>
      </c>
      <c r="J1747" s="1">
        <f t="shared" si="1838"/>
        <v>72.981741432203989</v>
      </c>
      <c r="K1747" s="1">
        <f t="shared" si="1838"/>
        <v>74.18014911394647</v>
      </c>
      <c r="L1747" s="1">
        <f t="shared" ref="L1747" si="1844">L8</f>
        <v>77.671574152007111</v>
      </c>
      <c r="N1747" s="1"/>
    </row>
    <row r="1748" spans="2:14" x14ac:dyDescent="0.35">
      <c r="B1748" t="str">
        <f t="shared" si="1802"/>
        <v>SPS1</v>
      </c>
      <c r="C1748" t="str">
        <f t="shared" si="1803"/>
        <v>CH</v>
      </c>
      <c r="D1748" t="s">
        <v>1775</v>
      </c>
      <c r="E1748" t="str">
        <f t="shared" si="1838"/>
        <v>PJ/yr.</v>
      </c>
      <c r="F1748" s="1">
        <f t="shared" si="1838"/>
        <v>35.931102390996308</v>
      </c>
      <c r="G1748" s="1">
        <f t="shared" si="1838"/>
        <v>35.882392031879647</v>
      </c>
      <c r="H1748" s="1">
        <f t="shared" si="1838"/>
        <v>35.489435266881891</v>
      </c>
      <c r="I1748" s="1">
        <f t="shared" si="1838"/>
        <v>35.039963709971552</v>
      </c>
      <c r="J1748" s="1">
        <f t="shared" si="1838"/>
        <v>35.286969489574339</v>
      </c>
      <c r="K1748" s="1">
        <f t="shared" si="1838"/>
        <v>35.15944883831785</v>
      </c>
      <c r="L1748" s="1">
        <f t="shared" ref="L1748" si="1845">L9</f>
        <v>35.603183359034006</v>
      </c>
      <c r="N1748" s="1"/>
    </row>
    <row r="1749" spans="2:14" x14ac:dyDescent="0.35">
      <c r="B1749" t="str">
        <f t="shared" si="1802"/>
        <v>SPS1</v>
      </c>
      <c r="C1749" t="str">
        <f t="shared" si="1803"/>
        <v>CH</v>
      </c>
      <c r="D1749" t="s">
        <v>1776</v>
      </c>
      <c r="E1749" t="str">
        <f t="shared" si="1838"/>
        <v>PJ/yr.</v>
      </c>
      <c r="F1749" s="1">
        <f t="shared" si="1838"/>
        <v>34.100447765486386</v>
      </c>
      <c r="G1749" s="1">
        <f t="shared" si="1838"/>
        <v>34.814601345464617</v>
      </c>
      <c r="H1749" s="1">
        <f t="shared" si="1838"/>
        <v>34.814615861347086</v>
      </c>
      <c r="I1749" s="1">
        <f t="shared" si="1838"/>
        <v>35.721703378352721</v>
      </c>
      <c r="J1749" s="1">
        <f t="shared" si="1838"/>
        <v>37.694771942629657</v>
      </c>
      <c r="K1749" s="1">
        <f t="shared" si="1838"/>
        <v>39.02070027562862</v>
      </c>
      <c r="L1749" s="1">
        <f t="shared" ref="L1749" si="1846">L10</f>
        <v>42.068390792973112</v>
      </c>
      <c r="N1749" s="1"/>
    </row>
    <row r="1750" spans="2:14" x14ac:dyDescent="0.35">
      <c r="B1750" t="str">
        <f t="shared" si="1802"/>
        <v>SPS1</v>
      </c>
      <c r="C1750" t="str">
        <f t="shared" si="1803"/>
        <v>CH</v>
      </c>
      <c r="D1750" t="s">
        <v>1777</v>
      </c>
      <c r="E1750" t="str">
        <f t="shared" si="1838"/>
        <v>PJ/yr.</v>
      </c>
      <c r="F1750" s="1">
        <f t="shared" si="1838"/>
        <v>3.7980976375255682</v>
      </c>
      <c r="G1750" s="1">
        <f t="shared" si="1838"/>
        <v>12.540437081035764</v>
      </c>
      <c r="H1750" s="1">
        <f t="shared" si="1838"/>
        <v>12.540437578469644</v>
      </c>
      <c r="I1750" s="1">
        <f t="shared" si="1838"/>
        <v>12.540432358427442</v>
      </c>
      <c r="J1750" s="1">
        <f t="shared" si="1838"/>
        <v>12.540438421620154</v>
      </c>
      <c r="K1750" s="1">
        <f t="shared" si="1838"/>
        <v>17.062376775203571</v>
      </c>
      <c r="L1750" s="1">
        <f t="shared" ref="L1750" si="1847">L11</f>
        <v>19.471158614175462</v>
      </c>
      <c r="N1750" s="1"/>
    </row>
    <row r="1751" spans="2:14" x14ac:dyDescent="0.35">
      <c r="B1751" t="str">
        <f t="shared" si="1802"/>
        <v>SPS1</v>
      </c>
      <c r="C1751" t="str">
        <f t="shared" si="1803"/>
        <v>CH</v>
      </c>
      <c r="D1751" t="s">
        <v>1778</v>
      </c>
      <c r="E1751" t="str">
        <f t="shared" si="1838"/>
        <v>PJ/yr.</v>
      </c>
      <c r="F1751" s="1">
        <f t="shared" si="1838"/>
        <v>149.43048821932658</v>
      </c>
      <c r="G1751" s="1">
        <f t="shared" si="1838"/>
        <v>125.60779835461643</v>
      </c>
      <c r="H1751" s="1">
        <f t="shared" si="1838"/>
        <v>137.24453937980664</v>
      </c>
      <c r="I1751" s="1">
        <f t="shared" si="1838"/>
        <v>178.65652776019766</v>
      </c>
      <c r="J1751" s="1">
        <f t="shared" si="1838"/>
        <v>151.94968059235796</v>
      </c>
      <c r="K1751" s="1">
        <f t="shared" si="1838"/>
        <v>152.15147341070684</v>
      </c>
      <c r="L1751" s="1">
        <f t="shared" ref="L1751" si="1848">L12</f>
        <v>152.52842659144432</v>
      </c>
      <c r="N1751" s="1"/>
    </row>
    <row r="1752" spans="2:14" x14ac:dyDescent="0.35">
      <c r="B1752" t="str">
        <f t="shared" si="1802"/>
        <v>SPS1</v>
      </c>
      <c r="C1752" t="str">
        <f t="shared" si="1803"/>
        <v>CH</v>
      </c>
      <c r="D1752" t="s">
        <v>1779</v>
      </c>
      <c r="E1752" t="str">
        <f t="shared" ref="E1752:K1758" si="1849">E13</f>
        <v>PJ/yr.</v>
      </c>
      <c r="F1752" s="1">
        <f t="shared" si="1849"/>
        <v>66.745680187895957</v>
      </c>
      <c r="G1752" s="1">
        <f t="shared" si="1849"/>
        <v>49.798797958533733</v>
      </c>
      <c r="H1752" s="1">
        <f t="shared" si="1849"/>
        <v>69.082959718964602</v>
      </c>
      <c r="I1752" s="1">
        <f t="shared" si="1849"/>
        <v>69.713682638439238</v>
      </c>
      <c r="J1752" s="1">
        <f t="shared" si="1849"/>
        <v>72.133327636568779</v>
      </c>
      <c r="K1752" s="1">
        <f t="shared" si="1849"/>
        <v>72.137146697699663</v>
      </c>
      <c r="L1752" s="1">
        <f t="shared" ref="L1752" si="1850">L13</f>
        <v>69.335162994495874</v>
      </c>
      <c r="N1752" s="1"/>
    </row>
    <row r="1753" spans="2:14" x14ac:dyDescent="0.35">
      <c r="B1753" t="str">
        <f t="shared" si="1802"/>
        <v>SPS1</v>
      </c>
      <c r="C1753" t="str">
        <f t="shared" si="1803"/>
        <v>CH</v>
      </c>
      <c r="D1753" t="s">
        <v>1780</v>
      </c>
      <c r="E1753" t="str">
        <f t="shared" si="1849"/>
        <v>PJ/yr.</v>
      </c>
      <c r="F1753" s="1">
        <f t="shared" si="1849"/>
        <v>66.632402849791305</v>
      </c>
      <c r="G1753" s="1">
        <f t="shared" si="1849"/>
        <v>55.763999829976299</v>
      </c>
      <c r="H1753" s="1">
        <f t="shared" si="1849"/>
        <v>65.56163759729597</v>
      </c>
      <c r="I1753" s="1">
        <f t="shared" si="1849"/>
        <v>64.930930936670293</v>
      </c>
      <c r="J1753" s="1">
        <f t="shared" si="1849"/>
        <v>63.853081835385076</v>
      </c>
      <c r="K1753" s="1">
        <f t="shared" si="1849"/>
        <v>63.849268259655723</v>
      </c>
      <c r="L1753" s="1">
        <f t="shared" ref="L1753" si="1851">L14</f>
        <v>66.651249292662499</v>
      </c>
      <c r="N1753" s="1"/>
    </row>
    <row r="1754" spans="2:14" x14ac:dyDescent="0.35">
      <c r="B1754" t="str">
        <f t="shared" si="1802"/>
        <v>SPS1</v>
      </c>
      <c r="C1754" t="str">
        <f t="shared" si="1803"/>
        <v>CH</v>
      </c>
      <c r="D1754" t="s">
        <v>1781</v>
      </c>
      <c r="E1754" t="str">
        <f t="shared" si="1849"/>
        <v>PJ/yr.</v>
      </c>
      <c r="F1754" s="1">
        <f t="shared" si="1849"/>
        <v>16.05240518163934</v>
      </c>
      <c r="G1754" s="1">
        <f t="shared" si="1849"/>
        <v>20.045000566106399</v>
      </c>
      <c r="H1754" s="1">
        <f t="shared" si="1849"/>
        <v>2.5999420635460826</v>
      </c>
      <c r="I1754" s="1">
        <f t="shared" si="1849"/>
        <v>44.011914185088131</v>
      </c>
      <c r="J1754" s="1">
        <f t="shared" si="1849"/>
        <v>15.963271120404102</v>
      </c>
      <c r="K1754" s="1">
        <f t="shared" si="1849"/>
        <v>16.165058453351453</v>
      </c>
      <c r="L1754" s="1">
        <f t="shared" ref="L1754" si="1852">L15</f>
        <v>16.542014304285935</v>
      </c>
      <c r="N1754" s="1"/>
    </row>
    <row r="1755" spans="2:14" x14ac:dyDescent="0.35">
      <c r="B1755" t="str">
        <f t="shared" si="1802"/>
        <v>SPS1</v>
      </c>
      <c r="C1755" t="str">
        <f t="shared" si="1803"/>
        <v>CH</v>
      </c>
      <c r="D1755" t="s">
        <v>1782</v>
      </c>
      <c r="E1755" t="str">
        <f t="shared" si="1849"/>
        <v>PJ/yr.</v>
      </c>
      <c r="F1755" s="1">
        <f t="shared" si="1849"/>
        <v>12.556480224862469</v>
      </c>
      <c r="G1755" s="1">
        <f t="shared" si="1849"/>
        <v>16.522288790907528</v>
      </c>
      <c r="H1755" s="1">
        <f t="shared" si="1849"/>
        <v>30.505487253586391</v>
      </c>
      <c r="I1755" s="1">
        <f t="shared" si="1849"/>
        <v>33.952978007595654</v>
      </c>
      <c r="J1755" s="1">
        <f t="shared" si="1849"/>
        <v>56.056720102803325</v>
      </c>
      <c r="K1755" s="1">
        <f t="shared" si="1849"/>
        <v>69.303068770737937</v>
      </c>
      <c r="L1755" s="1">
        <f t="shared" ref="L1755" si="1853">L16</f>
        <v>95.974439464300403</v>
      </c>
      <c r="N1755" s="1"/>
    </row>
    <row r="1756" spans="2:14" x14ac:dyDescent="0.35">
      <c r="B1756" t="str">
        <f t="shared" si="1802"/>
        <v>SPS1</v>
      </c>
      <c r="C1756" t="str">
        <f t="shared" si="1803"/>
        <v>CH</v>
      </c>
      <c r="D1756" t="s">
        <v>1783</v>
      </c>
      <c r="E1756" t="str">
        <f t="shared" si="1849"/>
        <v>PJ/yr.</v>
      </c>
      <c r="F1756" s="1">
        <f t="shared" si="1849"/>
        <v>0.52401835247362338</v>
      </c>
      <c r="G1756" s="1">
        <f t="shared" si="1849"/>
        <v>0.54529499845466467</v>
      </c>
      <c r="H1756" s="1">
        <f t="shared" si="1849"/>
        <v>0.50316759802165822</v>
      </c>
      <c r="I1756" s="1">
        <f t="shared" si="1849"/>
        <v>1.6453522125012729</v>
      </c>
      <c r="J1756" s="1">
        <f t="shared" si="1849"/>
        <v>3.6359125020779479</v>
      </c>
      <c r="K1756" s="1">
        <f t="shared" si="1849"/>
        <v>5.1006318789703533</v>
      </c>
      <c r="L1756" s="1">
        <f t="shared" ref="L1756" si="1854">L17</f>
        <v>6.1200132547651593</v>
      </c>
      <c r="N1756" s="1"/>
    </row>
    <row r="1757" spans="2:14" x14ac:dyDescent="0.35">
      <c r="B1757" t="str">
        <f t="shared" si="1802"/>
        <v>SPS1</v>
      </c>
      <c r="C1757" t="str">
        <f t="shared" si="1803"/>
        <v>CH</v>
      </c>
      <c r="D1757" t="s">
        <v>1784</v>
      </c>
      <c r="E1757" t="str">
        <f t="shared" si="1849"/>
        <v>PJ/yr.</v>
      </c>
      <c r="F1757" s="1">
        <f t="shared" si="1849"/>
        <v>18.873117222715901</v>
      </c>
      <c r="G1757" s="1">
        <f t="shared" si="1849"/>
        <v>21.778534865283806</v>
      </c>
      <c r="H1757" s="1">
        <f t="shared" si="1849"/>
        <v>33.982254256749307</v>
      </c>
      <c r="I1757" s="1">
        <f t="shared" si="1849"/>
        <v>58.274375843411519</v>
      </c>
      <c r="J1757" s="1">
        <f t="shared" si="1849"/>
        <v>73.982952092765231</v>
      </c>
      <c r="K1757" s="1">
        <f t="shared" si="1849"/>
        <v>88.381350824383063</v>
      </c>
      <c r="L1757" s="1">
        <f t="shared" ref="L1757" si="1855">L18</f>
        <v>87.7000067936047</v>
      </c>
      <c r="N1757" s="1"/>
    </row>
    <row r="1758" spans="2:14" x14ac:dyDescent="0.35">
      <c r="B1758" t="str">
        <f t="shared" si="1802"/>
        <v>SPS1</v>
      </c>
      <c r="C1758" t="str">
        <f t="shared" si="1803"/>
        <v>CH</v>
      </c>
      <c r="D1758" t="s">
        <v>1785</v>
      </c>
      <c r="E1758" t="str">
        <f t="shared" si="1849"/>
        <v>PJ/yr.</v>
      </c>
      <c r="F1758" s="1">
        <f t="shared" si="1849"/>
        <v>0</v>
      </c>
      <c r="G1758" s="1">
        <f t="shared" si="1849"/>
        <v>0</v>
      </c>
      <c r="H1758" s="1">
        <f t="shared" si="1849"/>
        <v>0</v>
      </c>
      <c r="I1758" s="1">
        <f t="shared" si="1849"/>
        <v>0</v>
      </c>
      <c r="J1758" s="1">
        <f t="shared" si="1849"/>
        <v>0</v>
      </c>
      <c r="K1758" s="1">
        <f t="shared" si="1849"/>
        <v>0</v>
      </c>
      <c r="L1758" s="1">
        <f t="shared" ref="L1758" si="1856">L19</f>
        <v>0</v>
      </c>
      <c r="N1758" s="1"/>
    </row>
    <row r="1759" spans="2:14" x14ac:dyDescent="0.35">
      <c r="B1759" s="9" t="str">
        <f t="shared" si="1802"/>
        <v>SPS1</v>
      </c>
      <c r="C1759" s="2" t="str">
        <f t="shared" si="1803"/>
        <v>CH</v>
      </c>
      <c r="D1759" s="2" t="s">
        <v>1788</v>
      </c>
      <c r="E1759" s="2" t="s">
        <v>1857</v>
      </c>
      <c r="F1759" s="3">
        <f t="shared" ref="F1759:K1759" si="1857">SUM(F1760,F1762,F1766,F1770,F1786,F1793,F1801,F1803,F1811,F1815,F1809)</f>
        <v>22.328110974233493</v>
      </c>
      <c r="G1759" s="3">
        <f t="shared" si="1857"/>
        <v>24.337636507632201</v>
      </c>
      <c r="H1759" s="3">
        <f t="shared" si="1857"/>
        <v>29.772414439004496</v>
      </c>
      <c r="I1759" s="3">
        <f t="shared" si="1857"/>
        <v>29.467083459883973</v>
      </c>
      <c r="J1759" s="3">
        <f t="shared" si="1857"/>
        <v>35.646166741754328</v>
      </c>
      <c r="K1759" s="3">
        <f t="shared" si="1857"/>
        <v>39.224305537146186</v>
      </c>
      <c r="L1759" s="3">
        <f t="shared" ref="L1759" si="1858">SUM(L1760,L1762,L1766,L1770,L1786,L1793,L1801,L1803,L1811,L1815,L1809)</f>
        <v>48.363186409598185</v>
      </c>
      <c r="N1759" s="1"/>
    </row>
    <row r="1760" spans="2:14" x14ac:dyDescent="0.35">
      <c r="B1760" s="5" t="str">
        <f t="shared" si="1802"/>
        <v>SPS1</v>
      </c>
      <c r="C1760" s="5" t="str">
        <f t="shared" si="1803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59">+G1761</f>
        <v>3.080557875959506</v>
      </c>
      <c r="H1760" s="1">
        <f t="shared" si="1859"/>
        <v>2.8402389634809211</v>
      </c>
      <c r="I1760" s="1">
        <f t="shared" si="1859"/>
        <v>2.3425161625536033</v>
      </c>
      <c r="J1760" s="1">
        <f t="shared" si="1859"/>
        <v>2.0753298562035809</v>
      </c>
      <c r="K1760" s="1">
        <f t="shared" si="1859"/>
        <v>1.2356851844506809</v>
      </c>
      <c r="L1760" s="1">
        <f t="shared" si="1859"/>
        <v>0</v>
      </c>
      <c r="N1760" s="1"/>
    </row>
    <row r="1761" spans="2:14" x14ac:dyDescent="0.35">
      <c r="B1761" s="5" t="str">
        <f t="shared" si="1802"/>
        <v>SPS1</v>
      </c>
      <c r="C1761" s="5" t="str">
        <f t="shared" si="1803"/>
        <v>CH</v>
      </c>
      <c r="D1761" t="s">
        <v>1791</v>
      </c>
      <c r="E1761" t="str">
        <f t="shared" ref="E1761:E1822" si="1860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'[2]Electricity and CHPs_CAP'!F$14</f>
        <v>2.0753298562035809</v>
      </c>
      <c r="K1761" s="1">
        <f>'[2]Electricity and CHPs_CAP'!G$14</f>
        <v>1.2356851844506809</v>
      </c>
      <c r="L1761" s="1">
        <f>'[2]Electricity and CHPs_CAP'!H$14</f>
        <v>0</v>
      </c>
      <c r="N1761" s="1"/>
    </row>
    <row r="1762" spans="2:14" x14ac:dyDescent="0.35">
      <c r="B1762" s="5" t="str">
        <f t="shared" si="1802"/>
        <v>SPS1</v>
      </c>
      <c r="C1762" s="5" t="str">
        <f t="shared" si="1803"/>
        <v>CH</v>
      </c>
      <c r="D1762" t="s">
        <v>1792</v>
      </c>
      <c r="E1762" t="str">
        <f t="shared" si="1860"/>
        <v>GWe/yr.</v>
      </c>
      <c r="F1762" s="1">
        <f>SUM(F1763:F1765)</f>
        <v>15.403610001059999</v>
      </c>
      <c r="G1762" s="1">
        <f t="shared" ref="G1762:K1762" si="1861">SUM(G1763:G1765)</f>
        <v>16.134038248824005</v>
      </c>
      <c r="H1762" s="1">
        <f t="shared" si="1861"/>
        <v>16.578941138072427</v>
      </c>
      <c r="I1762" s="1">
        <f t="shared" si="1861"/>
        <v>16.629967195373279</v>
      </c>
      <c r="J1762" s="1">
        <f t="shared" si="1861"/>
        <v>16.670340675726802</v>
      </c>
      <c r="K1762" s="1">
        <f t="shared" si="1861"/>
        <v>16.734122567463153</v>
      </c>
      <c r="L1762" s="1">
        <f t="shared" ref="L1762" si="1862">SUM(L1763:L1765)</f>
        <v>17.368132776217699</v>
      </c>
      <c r="N1762" s="1"/>
    </row>
    <row r="1763" spans="2:14" x14ac:dyDescent="0.35">
      <c r="B1763" s="5" t="str">
        <f t="shared" si="1802"/>
        <v>SPS1</v>
      </c>
      <c r="C1763" s="5" t="str">
        <f t="shared" si="1803"/>
        <v>CH</v>
      </c>
      <c r="D1763" t="s">
        <v>1793</v>
      </c>
      <c r="E1763" t="str">
        <f t="shared" si="1860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'[2]Electricity and CHPs_CAP'!F$15</f>
        <v>7.415598838906786</v>
      </c>
      <c r="K1763" s="1">
        <f>'[2]Electricity and CHPs_CAP'!G$15</f>
        <v>7.4157967984178983</v>
      </c>
      <c r="L1763" s="1">
        <f>'[2]Electricity and CHPs_CAP'!H$15</f>
        <v>7.7286713483045073</v>
      </c>
      <c r="N1763" s="1"/>
    </row>
    <row r="1764" spans="2:14" x14ac:dyDescent="0.35">
      <c r="B1764" s="5" t="str">
        <f t="shared" si="1802"/>
        <v>SPS1</v>
      </c>
      <c r="C1764" s="5" t="str">
        <f t="shared" si="1803"/>
        <v>CH</v>
      </c>
      <c r="D1764" t="s">
        <v>1794</v>
      </c>
      <c r="E1764" t="str">
        <f t="shared" si="1860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'[2]Electricity and CHPs_CAP'!F$16</f>
        <v>4.8951160227319006</v>
      </c>
      <c r="K1764" s="1">
        <f>'[2]Electricity and CHPs_CAP'!G$16</f>
        <v>4.9586999276418995</v>
      </c>
      <c r="L1764" s="1">
        <f>'[2]Electricity and CHPs_CAP'!H$16</f>
        <v>5.2798354534876317</v>
      </c>
      <c r="N1764" s="1"/>
    </row>
    <row r="1765" spans="2:14" x14ac:dyDescent="0.35">
      <c r="B1765" s="5" t="str">
        <f t="shared" si="1802"/>
        <v>SPS1</v>
      </c>
      <c r="C1765" s="5" t="str">
        <f t="shared" si="1803"/>
        <v>CH</v>
      </c>
      <c r="D1765" t="s">
        <v>1795</v>
      </c>
      <c r="E1765" t="str">
        <f t="shared" si="1860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'[2]Electricity and CHPs_CAP'!F$17</f>
        <v>4.3596258140881146</v>
      </c>
      <c r="K1765" s="1">
        <f>'[2]Electricity and CHPs_CAP'!G$17</f>
        <v>4.3596258414033571</v>
      </c>
      <c r="L1765" s="1">
        <f>'[2]Electricity and CHPs_CAP'!H$17</f>
        <v>4.3596259744255619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0"/>
        <v>GWe/yr.</v>
      </c>
      <c r="F1766" s="1">
        <f>SUM(F1767:F1769)</f>
        <v>3.5757835452997995E-2</v>
      </c>
      <c r="G1766" s="1">
        <f t="shared" ref="G1766:K1766" si="1863">SUM(G1767:G1769)</f>
        <v>3.6884767207229968E-2</v>
      </c>
      <c r="H1766" s="1">
        <f t="shared" si="1863"/>
        <v>2.924456616146591E-2</v>
      </c>
      <c r="I1766" s="1">
        <f t="shared" si="1863"/>
        <v>3.4863353590184526E-2</v>
      </c>
      <c r="J1766" s="1">
        <f t="shared" si="1863"/>
        <v>2.3210143961674347E-2</v>
      </c>
      <c r="K1766" s="1">
        <f t="shared" si="1863"/>
        <v>3.377305356933345E-3</v>
      </c>
      <c r="L1766" s="1">
        <f t="shared" ref="L1766" si="1864">SUM(L1767:L1769)</f>
        <v>4.5735844553272141E-2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0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'[2]Electricity and CHPs_CAP'!F$18</f>
        <v>7.9224493160378381E-3</v>
      </c>
      <c r="K1767" s="1">
        <f>'[2]Electricity and CHPs_CAP'!G$18</f>
        <v>3.0791604884009768E-3</v>
      </c>
      <c r="L1767" s="1">
        <f>'[2]Electricity and CHPs_CAP'!H$18</f>
        <v>8.9048764757288759E-4</v>
      </c>
      <c r="N1767" s="1"/>
    </row>
    <row r="1768" spans="2:14" x14ac:dyDescent="0.35">
      <c r="B1768" s="5" t="str">
        <f t="shared" ref="B1768:C1769" si="1865">B1767</f>
        <v>SPS1</v>
      </c>
      <c r="C1768" s="5" t="str">
        <f t="shared" si="1865"/>
        <v>CH</v>
      </c>
      <c r="D1768" t="s">
        <v>1798</v>
      </c>
      <c r="E1768" t="str">
        <f t="shared" si="1860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'[2]Electricity and CHPs_CAP'!F$28</f>
        <v>3.9164982734648732E-4</v>
      </c>
      <c r="K1768" s="1">
        <f>'[2]Electricity and CHPs_CAP'!G$28</f>
        <v>1.2723592059183818E-4</v>
      </c>
      <c r="L1768" s="1">
        <f>'[2]Electricity and CHPs_CAP'!H$28</f>
        <v>5.9170076646569616E-5</v>
      </c>
      <c r="N1768" s="1"/>
    </row>
    <row r="1769" spans="2:14" x14ac:dyDescent="0.35">
      <c r="B1769" s="5" t="str">
        <f t="shared" si="1865"/>
        <v>SPS1</v>
      </c>
      <c r="C1769" s="5" t="str">
        <f t="shared" si="1865"/>
        <v>CH</v>
      </c>
      <c r="D1769" t="s">
        <v>1799</v>
      </c>
      <c r="E1769" t="str">
        <f t="shared" si="1860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'[2]Electricity and CHPs_CAP'!F$41</f>
        <v>1.4896044818290021E-2</v>
      </c>
      <c r="K1769" s="1">
        <f>'[2]Electricity and CHPs_CAP'!G$41</f>
        <v>1.7090894794052989E-4</v>
      </c>
      <c r="L1769" s="1">
        <f>'[2]Electricity and CHPs_CAP'!H$41</f>
        <v>4.4786186829052686E-2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0"/>
        <v>GWe/yr.</v>
      </c>
      <c r="F1770" s="1">
        <f>SUM(F1771:F1785)</f>
        <v>0.23090410455871258</v>
      </c>
      <c r="G1770" s="1">
        <f t="shared" ref="G1770:K1770" si="1866">SUM(G1771:G1785)</f>
        <v>0.15704438870860102</v>
      </c>
      <c r="H1770" s="1">
        <f t="shared" si="1866"/>
        <v>0.14856280614139408</v>
      </c>
      <c r="I1770" s="1">
        <f t="shared" si="1866"/>
        <v>0.23923324325021883</v>
      </c>
      <c r="J1770" s="1">
        <f t="shared" si="1866"/>
        <v>0.27582377554587262</v>
      </c>
      <c r="K1770" s="1">
        <f t="shared" si="1866"/>
        <v>0.32048857829387228</v>
      </c>
      <c r="L1770" s="1">
        <f t="shared" ref="L1770" si="1867">SUM(L1771:L1785)</f>
        <v>0.95398923921591539</v>
      </c>
      <c r="N1770" s="1"/>
    </row>
    <row r="1771" spans="2:14" x14ac:dyDescent="0.35">
      <c r="B1771" s="5" t="str">
        <f t="shared" ref="B1771:C1784" si="1868">B1770</f>
        <v>SPS1</v>
      </c>
      <c r="C1771" s="5" t="str">
        <f t="shared" si="1868"/>
        <v>CH</v>
      </c>
      <c r="D1771" t="s">
        <v>1801</v>
      </c>
      <c r="E1771" t="str">
        <f t="shared" si="186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3.9622535501039502E-5</v>
      </c>
      <c r="L1771" s="1">
        <f>'[2]Electricity and CHPs_CAP'!H$21</f>
        <v>1.8848879631746002E-3</v>
      </c>
      <c r="N1771" s="1"/>
    </row>
    <row r="1772" spans="2:14" x14ac:dyDescent="0.35">
      <c r="B1772" s="5" t="str">
        <f t="shared" si="1868"/>
        <v>SPS1</v>
      </c>
      <c r="C1772" s="5" t="str">
        <f t="shared" si="1868"/>
        <v>CH</v>
      </c>
      <c r="D1772" t="s">
        <v>1802</v>
      </c>
      <c r="E1772" t="str">
        <f t="shared" si="186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'[2]Electricity and CHPs_CAP'!F$22</f>
        <v>1.2062828362198809E-2</v>
      </c>
      <c r="K1772" s="1">
        <f>'[2]Electricity and CHPs_CAP'!G$22</f>
        <v>1.2068291863102454E-2</v>
      </c>
      <c r="L1772" s="1">
        <f>'[2]Electricity and CHPs_CAP'!H$22</f>
        <v>1.0491429655118194E-2</v>
      </c>
      <c r="N1772" s="1"/>
    </row>
    <row r="1773" spans="2:14" x14ac:dyDescent="0.35">
      <c r="B1773" s="5" t="str">
        <f t="shared" si="1868"/>
        <v>SPS1</v>
      </c>
      <c r="C1773" s="5" t="str">
        <f t="shared" si="1868"/>
        <v>CH</v>
      </c>
      <c r="D1773" t="s">
        <v>1803</v>
      </c>
      <c r="E1773" t="str">
        <f t="shared" si="186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4.6047023227875901E-7</v>
      </c>
      <c r="L1773" s="1">
        <f>'[2]Electricity and CHPs_CAP'!H$23</f>
        <v>0.10803487664423819</v>
      </c>
      <c r="N1773" s="1"/>
    </row>
    <row r="1774" spans="2:14" x14ac:dyDescent="0.35">
      <c r="B1774" s="5" t="str">
        <f t="shared" si="1868"/>
        <v>SPS1</v>
      </c>
      <c r="C1774" s="5" t="str">
        <f t="shared" si="1868"/>
        <v>CH</v>
      </c>
      <c r="D1774" t="s">
        <v>1804</v>
      </c>
      <c r="E1774" t="str">
        <f t="shared" si="1860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IF('[2]Electricity and CHPs_CAP'!F$24&lt;0,0,'[2]Electricity and CHPs_CAP'!F$24)</f>
        <v>3.6471284666030751E-4</v>
      </c>
      <c r="K1774" s="1">
        <f>IF('[2]Electricity and CHPs_CAP'!G$24&lt;0,0,'[2]Electricity and CHPs_CAP'!G$24)</f>
        <v>2.5611022808201545E-5</v>
      </c>
      <c r="L1774" s="1">
        <f>IF('[2]Electricity and CHPs_CAP'!H$24&lt;0,0,'[2]Electricity and CHPs_CAP'!H$24)</f>
        <v>5.1476541669770188E-3</v>
      </c>
      <c r="N1774" s="1"/>
    </row>
    <row r="1775" spans="2:14" x14ac:dyDescent="0.35">
      <c r="B1775" s="5" t="str">
        <f t="shared" si="1868"/>
        <v>SPS1</v>
      </c>
      <c r="C1775" s="5" t="str">
        <f t="shared" si="1868"/>
        <v>CH</v>
      </c>
      <c r="D1775" t="s">
        <v>1805</v>
      </c>
      <c r="E1775" t="str">
        <f t="shared" si="186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1.1891811942984199E-5</v>
      </c>
      <c r="L1775" s="1">
        <f>'[2]Electricity and CHPs_CAP'!H$29</f>
        <v>3.9651090469843935E-2</v>
      </c>
      <c r="N1775" s="1"/>
    </row>
    <row r="1776" spans="2:14" x14ac:dyDescent="0.35">
      <c r="B1776" s="5" t="str">
        <f t="shared" si="1868"/>
        <v>SPS1</v>
      </c>
      <c r="C1776" s="5" t="str">
        <f t="shared" si="1868"/>
        <v>CH</v>
      </c>
      <c r="D1776" t="s">
        <v>1806</v>
      </c>
      <c r="E1776" t="str">
        <f t="shared" si="1860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'[2]Electricity and CHPs_CAP'!F$39</f>
        <v>2.8258479772388912E-3</v>
      </c>
      <c r="K1776" s="1">
        <f>'[2]Electricity and CHPs_CAP'!G$39</f>
        <v>1.3291595999143002E-3</v>
      </c>
      <c r="L1776" s="1">
        <f>'[2]Electricity and CHPs_CAP'!H$39</f>
        <v>4.4414004568625763E-3</v>
      </c>
      <c r="N1776" s="1"/>
    </row>
    <row r="1777" spans="2:14" x14ac:dyDescent="0.35">
      <c r="B1777" s="5" t="str">
        <f t="shared" si="1868"/>
        <v>SPS1</v>
      </c>
      <c r="C1777" s="5" t="str">
        <f t="shared" si="1868"/>
        <v>CH</v>
      </c>
      <c r="D1777" t="s">
        <v>1807</v>
      </c>
      <c r="E1777" t="str">
        <f t="shared" si="186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1.42624480174558E-3</v>
      </c>
      <c r="N1777" s="1"/>
    </row>
    <row r="1778" spans="2:14" x14ac:dyDescent="0.35">
      <c r="B1778" s="5" t="str">
        <f t="shared" si="1868"/>
        <v>SPS1</v>
      </c>
      <c r="C1778" s="5" t="str">
        <f t="shared" si="1868"/>
        <v>CH</v>
      </c>
      <c r="D1778" t="s">
        <v>1808</v>
      </c>
      <c r="E1778" t="str">
        <f t="shared" si="186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7.7162725609854405E-5</v>
      </c>
      <c r="K1778" s="1">
        <f>'[2]Electricity and CHPs_CAP'!G$47</f>
        <v>7.710336265951369E-5</v>
      </c>
      <c r="L1778" s="1">
        <f>'[2]Electricity and CHPs_CAP'!H$47</f>
        <v>0.39516750056095662</v>
      </c>
      <c r="N1778" s="1"/>
    </row>
    <row r="1779" spans="2:14" x14ac:dyDescent="0.35">
      <c r="B1779" s="5" t="str">
        <f t="shared" si="1868"/>
        <v>SPS1</v>
      </c>
      <c r="C1779" s="5" t="str">
        <f t="shared" si="1868"/>
        <v>CH</v>
      </c>
      <c r="D1779" t="s">
        <v>1809</v>
      </c>
      <c r="E1779" t="str">
        <f t="shared" si="1860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'[2]Electricity and CHPs_CAP'!F$48</f>
        <v>2.9795638210563711E-4</v>
      </c>
      <c r="K1779" s="1">
        <f>'[2]Electricity and CHPs_CAP'!G$48</f>
        <v>2.0633784070690271E-4</v>
      </c>
      <c r="L1779" s="1">
        <f>'[2]Electricity and CHPs_CAP'!H$48</f>
        <v>1.5798610491538369E-4</v>
      </c>
      <c r="N1779" s="1"/>
    </row>
    <row r="1780" spans="2:14" x14ac:dyDescent="0.35">
      <c r="B1780" s="5" t="str">
        <f t="shared" si="1868"/>
        <v>SPS1</v>
      </c>
      <c r="C1780" s="5" t="str">
        <f t="shared" si="1868"/>
        <v>CH</v>
      </c>
      <c r="D1780" t="s">
        <v>1810</v>
      </c>
      <c r="E1780" t="str">
        <f t="shared" si="186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'[2]Electricity and CHPs_CAP'!F$49</f>
        <v>8.1836148195505394E-5</v>
      </c>
      <c r="K1780" s="1">
        <f>'[2]Electricity and CHPs_CAP'!G$49</f>
        <v>8.2474474950581695E-5</v>
      </c>
      <c r="L1780" s="1">
        <f>'[2]Electricity and CHPs_CAP'!H$49</f>
        <v>6.597829289762652E-5</v>
      </c>
      <c r="N1780" s="1"/>
    </row>
    <row r="1781" spans="2:14" x14ac:dyDescent="0.35">
      <c r="B1781" s="5" t="str">
        <f t="shared" si="1868"/>
        <v>SPS1</v>
      </c>
      <c r="C1781" s="5" t="str">
        <f t="shared" si="1868"/>
        <v>CH</v>
      </c>
      <c r="D1781" t="s">
        <v>1811</v>
      </c>
      <c r="E1781" t="str">
        <f t="shared" si="1860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'[2]Electricity and CHPs_CAP'!F$51</f>
        <v>0.13219851848791778</v>
      </c>
      <c r="K1781" s="1">
        <f>'[2]Electricity and CHPs_CAP'!G$51</f>
        <v>8.5540940253746922E-2</v>
      </c>
      <c r="L1781" s="1">
        <f>'[2]Electricity and CHPs_CAP'!H$51</f>
        <v>2.2248374147144992E-2</v>
      </c>
      <c r="N1781" s="1"/>
    </row>
    <row r="1782" spans="2:14" x14ac:dyDescent="0.35">
      <c r="B1782" s="5" t="str">
        <f t="shared" si="1868"/>
        <v>SPS1</v>
      </c>
      <c r="C1782" s="5" t="str">
        <f t="shared" si="1868"/>
        <v>CH</v>
      </c>
      <c r="D1782" t="s">
        <v>1812</v>
      </c>
      <c r="E1782" t="str">
        <f t="shared" si="186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'[2]Electricity and CHPs_CAP'!F$52</f>
        <v>4.2882665580577017E-2</v>
      </c>
      <c r="K1782" s="1">
        <f>'[2]Electricity and CHPs_CAP'!G$52</f>
        <v>0.13619185819719543</v>
      </c>
      <c r="L1782" s="1">
        <f>'[2]Electricity and CHPs_CAP'!H$52</f>
        <v>0.17925710107909842</v>
      </c>
      <c r="N1782" s="1"/>
    </row>
    <row r="1783" spans="2:14" x14ac:dyDescent="0.35">
      <c r="B1783" s="5" t="str">
        <f t="shared" si="1868"/>
        <v>SPS1</v>
      </c>
      <c r="C1783" s="5" t="str">
        <f t="shared" si="1868"/>
        <v>CH</v>
      </c>
      <c r="D1783" t="s">
        <v>1813</v>
      </c>
      <c r="E1783" t="str">
        <f t="shared" si="1860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'[2]Electricity and CHPs_CAP'!F$54</f>
        <v>8.4744314491717265E-2</v>
      </c>
      <c r="K1783" s="1">
        <f>'[2]Electricity and CHPs_CAP'!G$54</f>
        <v>8.4743912670967439E-2</v>
      </c>
      <c r="L1783" s="1">
        <f>'[2]Electricity and CHPs_CAP'!H$54</f>
        <v>8.4743389311357997E-2</v>
      </c>
      <c r="N1783" s="1"/>
    </row>
    <row r="1784" spans="2:14" x14ac:dyDescent="0.35">
      <c r="B1784" s="5" t="str">
        <f t="shared" si="1868"/>
        <v>SPS1</v>
      </c>
      <c r="C1784" s="5" t="str">
        <f t="shared" si="1868"/>
        <v>CH</v>
      </c>
      <c r="D1784" t="s">
        <v>1814</v>
      </c>
      <c r="E1784" t="str">
        <f t="shared" si="1860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'[2]Electricity and CHPs_CAP'!F$55</f>
        <v>2.1321651389663923E-4</v>
      </c>
      <c r="K1784" s="1">
        <f>'[2]Electricity and CHPs_CAP'!G$55</f>
        <v>1.0613120092170004E-4</v>
      </c>
      <c r="L1784" s="1">
        <f>'[2]Electricity and CHPs_CAP'!H$55</f>
        <v>3.6485481806347478E-5</v>
      </c>
      <c r="N1784" s="1"/>
    </row>
    <row r="1785" spans="2:14" x14ac:dyDescent="0.35">
      <c r="B1785" s="5" t="str">
        <f t="shared" ref="B1785:C1785" si="1869">B1784</f>
        <v>SPS1</v>
      </c>
      <c r="C1785" s="5" t="str">
        <f t="shared" si="1869"/>
        <v>CH</v>
      </c>
      <c r="D1785" t="s">
        <v>1815</v>
      </c>
      <c r="E1785" t="str">
        <f t="shared" si="186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'[2]Electricity and CHPs_CAP'!F$58</f>
        <v>7.4716029754868743E-5</v>
      </c>
      <c r="K1785" s="1">
        <f>'[2]Electricity and CHPs_CAP'!G$58</f>
        <v>6.4782989222551059E-5</v>
      </c>
      <c r="L1785" s="1">
        <f>'[2]Electricity and CHPs_CAP'!H$58</f>
        <v>0.10123484007977777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0"/>
        <v>GWe/yr.</v>
      </c>
      <c r="F1786" s="1">
        <f>SUM(F1787:F1792)</f>
        <v>0.39563935257983052</v>
      </c>
      <c r="G1786" s="1">
        <f t="shared" ref="G1786:K1786" si="1870">SUM(G1787:G1792)</f>
        <v>0.35286656144322082</v>
      </c>
      <c r="H1786" s="1">
        <f t="shared" si="1870"/>
        <v>0.37804686664751547</v>
      </c>
      <c r="I1786" s="1">
        <f t="shared" si="1870"/>
        <v>0.3481696768981602</v>
      </c>
      <c r="J1786" s="1">
        <f t="shared" si="1870"/>
        <v>0.35894844111268165</v>
      </c>
      <c r="K1786" s="1">
        <f t="shared" si="1870"/>
        <v>0.3622201409286756</v>
      </c>
      <c r="L1786" s="1">
        <f t="shared" ref="L1786" si="1871">SUM(L1787:L1792)</f>
        <v>0.44164787313610138</v>
      </c>
      <c r="N1786" s="1"/>
    </row>
    <row r="1787" spans="2:14" x14ac:dyDescent="0.35">
      <c r="B1787" s="5" t="str">
        <f t="shared" ref="B1787:C1792" si="1872">B1786</f>
        <v>SPS1</v>
      </c>
      <c r="C1787" s="5" t="str">
        <f t="shared" si="1872"/>
        <v>CH</v>
      </c>
      <c r="D1787" t="s">
        <v>1817</v>
      </c>
      <c r="E1787" t="str">
        <f t="shared" si="1860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'[2]Electricity and CHPs_CAP'!F$19</f>
        <v>0.28228449614767109</v>
      </c>
      <c r="K1787" s="1">
        <f>'[2]Electricity and CHPs_CAP'!G$19</f>
        <v>0.28606062045215908</v>
      </c>
      <c r="L1787" s="1">
        <f>'[2]Electricity and CHPs_CAP'!H$19</f>
        <v>6.2362465896692587E-5</v>
      </c>
      <c r="N1787" s="1"/>
    </row>
    <row r="1788" spans="2:14" x14ac:dyDescent="0.35">
      <c r="B1788" s="5" t="str">
        <f t="shared" si="1872"/>
        <v>SPS1</v>
      </c>
      <c r="C1788" s="5" t="str">
        <f t="shared" si="1872"/>
        <v>CH</v>
      </c>
      <c r="D1788" t="s">
        <v>1818</v>
      </c>
      <c r="E1788" t="str">
        <f t="shared" si="186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0.34495556744675399</v>
      </c>
      <c r="N1788" s="1"/>
    </row>
    <row r="1789" spans="2:14" x14ac:dyDescent="0.35">
      <c r="B1789" s="5" t="str">
        <f t="shared" si="1872"/>
        <v>SPS1</v>
      </c>
      <c r="C1789" s="5" t="str">
        <f t="shared" si="1872"/>
        <v>CH</v>
      </c>
      <c r="D1789" t="s">
        <v>1819</v>
      </c>
      <c r="E1789" t="str">
        <f t="shared" si="1860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'[2]Electricity and CHPs_CAP'!F$26</f>
        <v>7.0625269159741502E-2</v>
      </c>
      <c r="K1789" s="1">
        <f>'[2]Electricity and CHPs_CAP'!G$26</f>
        <v>7.007905672381172E-2</v>
      </c>
      <c r="L1789" s="1">
        <f>'[2]Electricity and CHPs_CAP'!H$26</f>
        <v>1.9708875323896924E-5</v>
      </c>
      <c r="N1789" s="1"/>
    </row>
    <row r="1790" spans="2:14" x14ac:dyDescent="0.35">
      <c r="B1790" s="5" t="str">
        <f t="shared" si="1872"/>
        <v>SPS1</v>
      </c>
      <c r="C1790" s="5" t="str">
        <f t="shared" si="1872"/>
        <v>CH</v>
      </c>
      <c r="D1790" t="s">
        <v>1820</v>
      </c>
      <c r="E1790" t="str">
        <f t="shared" si="186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6.7430510013894898E-2</v>
      </c>
      <c r="N1790" s="1"/>
    </row>
    <row r="1791" spans="2:14" x14ac:dyDescent="0.35">
      <c r="B1791" s="5" t="str">
        <f t="shared" si="1872"/>
        <v>SPS1</v>
      </c>
      <c r="C1791" s="5" t="str">
        <f t="shared" si="1872"/>
        <v>CH</v>
      </c>
      <c r="D1791" t="s">
        <v>1821</v>
      </c>
      <c r="E1791" t="str">
        <f t="shared" si="1860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'[2]Electricity and CHPs_CAP'!F$44</f>
        <v>6.0386758052690826E-3</v>
      </c>
      <c r="K1791" s="1">
        <f>'[2]Electricity and CHPs_CAP'!G$44</f>
        <v>6.0804637527048224E-3</v>
      </c>
      <c r="L1791" s="1">
        <f>'[2]Electricity and CHPs_CAP'!H$44</f>
        <v>6.0661166078332992E-5</v>
      </c>
      <c r="N1791" s="1"/>
    </row>
    <row r="1792" spans="2:14" x14ac:dyDescent="0.35">
      <c r="B1792" s="5" t="str">
        <f t="shared" si="1872"/>
        <v>SPS1</v>
      </c>
      <c r="C1792" s="5" t="str">
        <f t="shared" si="1872"/>
        <v>CH</v>
      </c>
      <c r="D1792" t="s">
        <v>1822</v>
      </c>
      <c r="E1792" t="str">
        <f t="shared" si="186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2.9119063168153599E-2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0"/>
        <v>GWe/yr.</v>
      </c>
      <c r="F1793" s="1">
        <f>SUM(F1794:F1800)</f>
        <v>1.1668211127705932E-2</v>
      </c>
      <c r="G1793" s="1">
        <f t="shared" ref="G1793:K1793" si="1873">SUM(G1794:G1800)</f>
        <v>6.4780911394819382E-3</v>
      </c>
      <c r="H1793" s="1">
        <f t="shared" si="1873"/>
        <v>5.3588917715319172E-2</v>
      </c>
      <c r="I1793" s="1">
        <f t="shared" si="1873"/>
        <v>0.1167661011504162</v>
      </c>
      <c r="J1793" s="1">
        <f t="shared" si="1873"/>
        <v>0.17389731464761859</v>
      </c>
      <c r="K1793" s="1">
        <f t="shared" si="1873"/>
        <v>0.25614992198874753</v>
      </c>
      <c r="L1793" s="1">
        <f t="shared" ref="L1793" si="1874">SUM(L1794:L1800)</f>
        <v>0.28302536039194326</v>
      </c>
      <c r="N1793" s="1"/>
    </row>
    <row r="1794" spans="2:14" x14ac:dyDescent="0.35">
      <c r="B1794" s="5" t="str">
        <f t="shared" ref="B1794:C1804" si="1875">B1793</f>
        <v>SPS1</v>
      </c>
      <c r="C1794" s="5" t="str">
        <f t="shared" si="1875"/>
        <v>CH</v>
      </c>
      <c r="D1794" t="s">
        <v>1824</v>
      </c>
      <c r="E1794" t="str">
        <f t="shared" si="1860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'[2]Electricity and CHPs_CAP'!F$25</f>
        <v>1.3643001663790448E-4</v>
      </c>
      <c r="K1794" s="1">
        <f>'[2]Electricity and CHPs_CAP'!G$25</f>
        <v>1.9961814600947181E-4</v>
      </c>
      <c r="L1794" s="1">
        <f>'[2]Electricity and CHPs_CAP'!H$25</f>
        <v>1.0814403351617826E-4</v>
      </c>
      <c r="N1794" s="1"/>
    </row>
    <row r="1795" spans="2:14" x14ac:dyDescent="0.35">
      <c r="B1795" s="5" t="str">
        <f t="shared" si="1875"/>
        <v>SPS1</v>
      </c>
      <c r="C1795" s="5" t="str">
        <f t="shared" si="1875"/>
        <v>CH</v>
      </c>
      <c r="D1795" t="s">
        <v>1825</v>
      </c>
      <c r="E1795" t="str">
        <f t="shared" si="186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2.6234688195983601E-7</v>
      </c>
      <c r="L1795" s="1">
        <f>'[2]Electricity and CHPs_CAP'!H$31</f>
        <v>0.11363595367290823</v>
      </c>
      <c r="N1795" s="1"/>
    </row>
    <row r="1796" spans="2:14" x14ac:dyDescent="0.35">
      <c r="B1796" s="5" t="str">
        <f t="shared" si="1875"/>
        <v>SPS1</v>
      </c>
      <c r="C1796" s="5" t="str">
        <f t="shared" si="1875"/>
        <v>CH</v>
      </c>
      <c r="D1796" t="s">
        <v>1826</v>
      </c>
      <c r="E1796" t="str">
        <f t="shared" si="1860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'[2]Electricity and CHPs_CAP'!F$42</f>
        <v>0.17083275806108275</v>
      </c>
      <c r="K1796" s="1">
        <f>'[2]Electricity and CHPs_CAP'!G$42</f>
        <v>0.18559023437046732</v>
      </c>
      <c r="L1796" s="1">
        <f>'[2]Electricity and CHPs_CAP'!H$42</f>
        <v>7.8558513078354514E-2</v>
      </c>
      <c r="N1796" s="1"/>
    </row>
    <row r="1797" spans="2:14" x14ac:dyDescent="0.35">
      <c r="B1797" s="5" t="str">
        <f t="shared" si="1875"/>
        <v>SPS1</v>
      </c>
      <c r="C1797" s="5" t="str">
        <f t="shared" si="1875"/>
        <v>CH</v>
      </c>
      <c r="D1797" t="s">
        <v>1827</v>
      </c>
      <c r="E1797" t="str">
        <f t="shared" si="186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5.0167537121142199E-2</v>
      </c>
      <c r="N1797" s="1"/>
    </row>
    <row r="1798" spans="2:14" x14ac:dyDescent="0.35">
      <c r="B1798" s="5" t="str">
        <f t="shared" si="1875"/>
        <v>SPS1</v>
      </c>
      <c r="C1798" s="5" t="str">
        <f t="shared" si="1875"/>
        <v>CH</v>
      </c>
      <c r="D1798" t="s">
        <v>1828</v>
      </c>
      <c r="E1798" t="str">
        <f t="shared" si="186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'[2]Electricity and CHPs_CAP'!F$50</f>
        <v>1.8317395235632208E-4</v>
      </c>
      <c r="K1798" s="1">
        <f>'[2]Electricity and CHPs_CAP'!G$50</f>
        <v>2.6191190161264932E-4</v>
      </c>
      <c r="L1798" s="1">
        <f>'[2]Electricity and CHPs_CAP'!H$50</f>
        <v>1.1973334564379127E-4</v>
      </c>
      <c r="N1798" s="1"/>
    </row>
    <row r="1799" spans="2:14" x14ac:dyDescent="0.35">
      <c r="B1799" s="5" t="str">
        <f t="shared" si="1875"/>
        <v>SPS1</v>
      </c>
      <c r="C1799" s="5" t="str">
        <f t="shared" si="1875"/>
        <v>CH</v>
      </c>
      <c r="D1799" t="s">
        <v>1829</v>
      </c>
      <c r="E1799" t="str">
        <f t="shared" si="186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'[2]Electricity and CHPs_CAP'!F$53</f>
        <v>2.6566092340306307E-3</v>
      </c>
      <c r="K1799" s="1">
        <f>'[2]Electricity and CHPs_CAP'!G$53</f>
        <v>7.0008077137706071E-2</v>
      </c>
      <c r="L1799" s="1">
        <f>'[2]Electricity and CHPs_CAP'!H$53</f>
        <v>4.0394829339110754E-2</v>
      </c>
      <c r="N1799" s="1"/>
    </row>
    <row r="1800" spans="2:14" x14ac:dyDescent="0.35">
      <c r="B1800" s="5" t="str">
        <f t="shared" si="1875"/>
        <v>SPS1</v>
      </c>
      <c r="C1800" s="5" t="str">
        <f t="shared" si="1875"/>
        <v>CH</v>
      </c>
      <c r="D1800" t="s">
        <v>1830</v>
      </c>
      <c r="E1800" t="str">
        <f t="shared" si="186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'[2]Electricity and CHPs_CAP'!F$56</f>
        <v>8.8343383510987091E-5</v>
      </c>
      <c r="K1800" s="1">
        <f>'[2]Electricity and CHPs_CAP'!G$56</f>
        <v>8.9818086070077795E-5</v>
      </c>
      <c r="L1800" s="1">
        <f>'[2]Electricity and CHPs_CAP'!H$56</f>
        <v>4.0649801267597801E-5</v>
      </c>
      <c r="N1800" s="1"/>
    </row>
    <row r="1801" spans="2:14" x14ac:dyDescent="0.35">
      <c r="B1801" s="5" t="str">
        <f t="shared" si="1875"/>
        <v>SPS1</v>
      </c>
      <c r="C1801" s="5" t="str">
        <f t="shared" si="1875"/>
        <v>CH</v>
      </c>
      <c r="D1801" t="s">
        <v>1831</v>
      </c>
      <c r="E1801" t="str">
        <f t="shared" si="1860"/>
        <v>GWe/yr.</v>
      </c>
      <c r="F1801" s="1">
        <f>F1802</f>
        <v>8.7120000000000003E-2</v>
      </c>
      <c r="G1801" s="1">
        <f t="shared" ref="G1801:L1801" si="1876">G1802</f>
        <v>9.0660038621025937E-2</v>
      </c>
      <c r="H1801" s="1">
        <f t="shared" si="1876"/>
        <v>8.3655956114954938E-2</v>
      </c>
      <c r="I1801" s="1">
        <f t="shared" si="1876"/>
        <v>0.27355307821147729</v>
      </c>
      <c r="J1801" s="1">
        <f t="shared" si="1876"/>
        <v>0.60450338663729775</v>
      </c>
      <c r="K1801" s="1">
        <f t="shared" si="1876"/>
        <v>0.84802777890790171</v>
      </c>
      <c r="L1801" s="1">
        <f t="shared" si="1876"/>
        <v>1.01750987695187</v>
      </c>
      <c r="N1801" s="1"/>
    </row>
    <row r="1802" spans="2:14" x14ac:dyDescent="0.35">
      <c r="B1802" s="5" t="str">
        <f t="shared" si="1875"/>
        <v>SPS1</v>
      </c>
      <c r="C1802" s="5" t="str">
        <f t="shared" si="1875"/>
        <v>CH</v>
      </c>
      <c r="D1802" t="s">
        <v>1832</v>
      </c>
      <c r="E1802" t="str">
        <f t="shared" si="1860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'[2]Electricity and CHPs_CAP'!F$33</f>
        <v>0.60450338663729775</v>
      </c>
      <c r="K1802" s="1">
        <f>'[2]Electricity and CHPs_CAP'!G$33</f>
        <v>0.84802777890790171</v>
      </c>
      <c r="L1802" s="1">
        <f>'[2]Electricity and CHPs_CAP'!H$33</f>
        <v>1.01750987695187</v>
      </c>
      <c r="N1802" s="1"/>
    </row>
    <row r="1803" spans="2:14" x14ac:dyDescent="0.35">
      <c r="B1803" s="5" t="str">
        <f t="shared" si="1875"/>
        <v>SPS1</v>
      </c>
      <c r="C1803" s="5" t="str">
        <f t="shared" si="1875"/>
        <v>CH</v>
      </c>
      <c r="D1803" t="s">
        <v>1833</v>
      </c>
      <c r="E1803" t="str">
        <f t="shared" si="1860"/>
        <v>GWe/yr.</v>
      </c>
      <c r="F1803" s="1">
        <f>SUM(F1804:F1808)</f>
        <v>2.9746549999999998</v>
      </c>
      <c r="G1803" s="1">
        <f t="shared" ref="G1803:K1803" si="1877">SUM(G1804:G1808)</f>
        <v>4.3709034403552147</v>
      </c>
      <c r="H1803" s="1">
        <f t="shared" si="1877"/>
        <v>9.1889305218916597</v>
      </c>
      <c r="I1803" s="1">
        <f t="shared" si="1877"/>
        <v>8.9868434074013024</v>
      </c>
      <c r="J1803" s="1">
        <f t="shared" si="1877"/>
        <v>14.686653029131715</v>
      </c>
      <c r="K1803" s="1">
        <f t="shared" si="1877"/>
        <v>18.43923160002814</v>
      </c>
      <c r="L1803" s="1">
        <f t="shared" ref="L1803" si="1878">SUM(L1804:L1808)</f>
        <v>25.944382342885909</v>
      </c>
      <c r="N1803" s="1"/>
    </row>
    <row r="1804" spans="2:14" x14ac:dyDescent="0.35">
      <c r="B1804" s="5" t="str">
        <f t="shared" si="1875"/>
        <v>SPS1</v>
      </c>
      <c r="C1804" s="5" t="str">
        <f t="shared" si="1875"/>
        <v>CH</v>
      </c>
      <c r="D1804" t="s">
        <v>1834</v>
      </c>
      <c r="E1804" t="str">
        <f t="shared" si="186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'[2]Electricity and CHPs_CAP'!F$34</f>
        <v>0.2391609089127574</v>
      </c>
      <c r="K1804" s="1">
        <f>'[2]Electricity and CHPs_CAP'!G$34</f>
        <v>0.40970273258293488</v>
      </c>
      <c r="L1804" s="1">
        <f>'[2]Electricity and CHPs_CAP'!H$34</f>
        <v>0.47383509820855335</v>
      </c>
      <c r="N1804" s="1"/>
    </row>
    <row r="1805" spans="2:14" x14ac:dyDescent="0.35">
      <c r="B1805" s="5" t="str">
        <f t="shared" ref="B1805:C1820" si="1879">B1804</f>
        <v>SPS1</v>
      </c>
      <c r="C1805" s="5" t="str">
        <f t="shared" si="1879"/>
        <v>CH</v>
      </c>
      <c r="D1805" t="s">
        <v>1835</v>
      </c>
      <c r="E1805" t="str">
        <f t="shared" si="1860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'[2]Electricity and CHPs_CAP'!F$35</f>
        <v>8.6949167248878698</v>
      </c>
      <c r="K1805" s="1">
        <f>'[2]Electricity and CHPs_CAP'!G$35</f>
        <v>11.775167640408236</v>
      </c>
      <c r="L1805" s="1">
        <f>'[2]Electricity and CHPs_CAP'!H$35</f>
        <v>18.530672925434398</v>
      </c>
      <c r="N1805" s="1"/>
    </row>
    <row r="1806" spans="2:14" x14ac:dyDescent="0.35">
      <c r="B1806" s="5" t="str">
        <f t="shared" si="1879"/>
        <v>SPS1</v>
      </c>
      <c r="C1806" s="5" t="str">
        <f t="shared" si="1879"/>
        <v>CH</v>
      </c>
      <c r="D1806" t="s">
        <v>1836</v>
      </c>
      <c r="E1806" t="str">
        <f t="shared" si="1860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'[2]Electricity and CHPs_CAP'!F$36</f>
        <v>1.329679299274859</v>
      </c>
      <c r="K1806" s="1">
        <f>'[2]Electricity and CHPs_CAP'!G$36</f>
        <v>1.4113960221631032</v>
      </c>
      <c r="L1806" s="1">
        <f>'[2]Electricity and CHPs_CAP'!H$36</f>
        <v>1.5902013665356094</v>
      </c>
      <c r="N1806" s="1"/>
    </row>
    <row r="1807" spans="2:14" x14ac:dyDescent="0.35">
      <c r="B1807" s="5" t="str">
        <f t="shared" si="1879"/>
        <v>SPS1</v>
      </c>
      <c r="C1807" s="5" t="str">
        <f t="shared" si="1879"/>
        <v>CH</v>
      </c>
      <c r="D1807" t="s">
        <v>1837</v>
      </c>
      <c r="E1807" t="str">
        <f t="shared" si="1860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'[2]Electricity and CHPs_CAP'!F$37</f>
        <v>1.1577837218376308</v>
      </c>
      <c r="K1807" s="1">
        <f>'[2]Electricity and CHPs_CAP'!G$37</f>
        <v>1.2168456705575981</v>
      </c>
      <c r="L1807" s="1">
        <f>'[2]Electricity and CHPs_CAP'!H$37</f>
        <v>1.3441568930284169</v>
      </c>
      <c r="N1807" s="1"/>
    </row>
    <row r="1808" spans="2:14" x14ac:dyDescent="0.35">
      <c r="B1808" s="5" t="str">
        <f t="shared" si="1879"/>
        <v>SPS1</v>
      </c>
      <c r="C1808" s="5" t="str">
        <f t="shared" si="1879"/>
        <v>CH</v>
      </c>
      <c r="D1808" t="s">
        <v>1838</v>
      </c>
      <c r="E1808" t="str">
        <f t="shared" si="1860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'[2]Electricity and CHPs_CAP'!F$38</f>
        <v>3.265112374218599</v>
      </c>
      <c r="K1808" s="1">
        <f>'[2]Electricity and CHPs_CAP'!G$38</f>
        <v>3.6261195343162691</v>
      </c>
      <c r="L1808" s="1">
        <f>'[2]Electricity and CHPs_CAP'!H$38</f>
        <v>4.0055160596789303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0</v>
      </c>
      <c r="L1809" s="1">
        <f>'[2]Electricity and CHPs_CAP'!H$32</f>
        <v>0</v>
      </c>
      <c r="N1809" s="1"/>
    </row>
    <row r="1810" spans="2:14" x14ac:dyDescent="0.35">
      <c r="B1810" s="5" t="str">
        <f t="shared" ref="B1810:C1810" si="1880">B1809</f>
        <v>SPS1</v>
      </c>
      <c r="C1810" s="5" t="str">
        <f t="shared" si="1880"/>
        <v>CH</v>
      </c>
      <c r="D1810" t="s">
        <v>1840</v>
      </c>
      <c r="E1810" t="str">
        <f t="shared" si="1860"/>
        <v>GWe/yr.</v>
      </c>
      <c r="F1810" s="1">
        <f>F1809</f>
        <v>0</v>
      </c>
      <c r="G1810" s="1">
        <f t="shared" ref="G1810:K1810" si="1881">G1809</f>
        <v>0</v>
      </c>
      <c r="H1810" s="1">
        <f t="shared" si="1881"/>
        <v>0</v>
      </c>
      <c r="I1810" s="1">
        <f t="shared" si="1881"/>
        <v>0</v>
      </c>
      <c r="J1810" s="1">
        <f t="shared" si="1881"/>
        <v>0</v>
      </c>
      <c r="K1810" s="1">
        <f t="shared" si="1881"/>
        <v>0</v>
      </c>
      <c r="L1810" s="1">
        <f t="shared" ref="L1810" si="1882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0"/>
        <v>GWe/yr.</v>
      </c>
      <c r="F1811" s="1">
        <f t="shared" ref="F1811:K1811" si="1883">SUM(F1812:F1814)</f>
        <v>0</v>
      </c>
      <c r="G1811" s="1">
        <f t="shared" si="1883"/>
        <v>0</v>
      </c>
      <c r="H1811" s="1">
        <f t="shared" si="1883"/>
        <v>0</v>
      </c>
      <c r="I1811" s="1">
        <f t="shared" si="1883"/>
        <v>2.0528716316637301E-4</v>
      </c>
      <c r="J1811" s="1">
        <f t="shared" si="1883"/>
        <v>3.4443703745170944E-4</v>
      </c>
      <c r="K1811" s="1">
        <f t="shared" si="1883"/>
        <v>1.5879192530721595E-2</v>
      </c>
      <c r="L1811" s="1">
        <f t="shared" ref="L1811" si="1884">SUM(L1812:L1814)</f>
        <v>1.8697012664134746E-2</v>
      </c>
      <c r="N1811" s="1"/>
    </row>
    <row r="1812" spans="2:14" x14ac:dyDescent="0.35">
      <c r="B1812" s="5" t="str">
        <f t="shared" si="1879"/>
        <v>SPS1</v>
      </c>
      <c r="C1812" s="5" t="str">
        <f t="shared" si="1879"/>
        <v>CH</v>
      </c>
      <c r="D1812" t="s">
        <v>1842</v>
      </c>
      <c r="E1812" t="str">
        <f t="shared" si="186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1.5528399255084299E-2</v>
      </c>
      <c r="L1812" s="1">
        <f>'[2]Electricity and CHPs_CAP'!H$30</f>
        <v>1.8301002444255882E-2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2.4843775676147597E-4</v>
      </c>
      <c r="K1813" s="1">
        <f>'[2]Electricity and CHPs_CAP'!G$46</f>
        <v>2.8462422747383483E-4</v>
      </c>
      <c r="L1813" s="1">
        <f>'[2]Electricity and CHPs_CAP'!H$46</f>
        <v>2.0293216892034867E-4</v>
      </c>
      <c r="N1813" s="1"/>
    </row>
    <row r="1814" spans="2:14" x14ac:dyDescent="0.35">
      <c r="B1814" s="5" t="str">
        <f t="shared" si="1879"/>
        <v>SPS1</v>
      </c>
      <c r="C1814" s="5" t="str">
        <f t="shared" si="1879"/>
        <v>CH</v>
      </c>
      <c r="D1814" t="s">
        <v>1844</v>
      </c>
      <c r="E1814" t="str">
        <f t="shared" si="186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'[2]Electricity and CHPs_CAP'!F$57</f>
        <v>9.599928069023348E-5</v>
      </c>
      <c r="K1814" s="1">
        <f>'[2]Electricity and CHPs_CAP'!G$57</f>
        <v>6.6169048163460534E-5</v>
      </c>
      <c r="L1814" s="1">
        <f>'[2]Electricity and CHPs_CAP'!H$57</f>
        <v>1.9307805095851601E-4</v>
      </c>
      <c r="N1814" s="1"/>
    </row>
    <row r="1815" spans="2:14" x14ac:dyDescent="0.35">
      <c r="B1815" s="5" t="str">
        <f t="shared" si="1879"/>
        <v>SPS1</v>
      </c>
      <c r="C1815" s="5" t="str">
        <f t="shared" si="1879"/>
        <v>CH</v>
      </c>
      <c r="D1815" t="s">
        <v>1845</v>
      </c>
      <c r="E1815" t="str">
        <f t="shared" si="1860"/>
        <v>GWe/yr.</v>
      </c>
      <c r="F1815" s="1">
        <f>SUM(F1816:F1822)</f>
        <v>0.10819783596880893</v>
      </c>
      <c r="G1815" s="1">
        <f t="shared" ref="G1815:K1815" si="1885">SUM(G1816:G1822)</f>
        <v>0.1082030953739154</v>
      </c>
      <c r="H1815" s="1">
        <f t="shared" si="1885"/>
        <v>0.47120470277883431</v>
      </c>
      <c r="I1815" s="1">
        <f t="shared" si="1885"/>
        <v>0.49496595429216361</v>
      </c>
      <c r="J1815" s="1">
        <f t="shared" si="1885"/>
        <v>0.77711568174963175</v>
      </c>
      <c r="K1815" s="1">
        <f t="shared" si="1885"/>
        <v>1.0091232671973578</v>
      </c>
      <c r="L1815" s="1">
        <f t="shared" ref="L1815" si="1886">SUM(L1816:L1822)</f>
        <v>2.2900660835813405</v>
      </c>
      <c r="N1815" s="1"/>
    </row>
    <row r="1816" spans="2:14" x14ac:dyDescent="0.35">
      <c r="B1816" s="5" t="str">
        <f t="shared" si="1879"/>
        <v>SPS1</v>
      </c>
      <c r="C1816" s="5" t="str">
        <f t="shared" si="1879"/>
        <v>CH</v>
      </c>
      <c r="D1816" t="s">
        <v>1846</v>
      </c>
      <c r="E1816" t="str">
        <f t="shared" si="1860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'[2]Electricity and CHPs_CAP'!F$63</f>
        <v>9.9997751370279803E-2</v>
      </c>
      <c r="K1816" s="1">
        <f>'[2]Electricity and CHPs_CAP'!G$63</f>
        <v>9.9998375643344878E-2</v>
      </c>
      <c r="L1816" s="1">
        <f>'[2]Electricity and CHPs_CAP'!H$63</f>
        <v>9.9998789248541539E-2</v>
      </c>
      <c r="N1816" s="1"/>
    </row>
    <row r="1817" spans="2:14" x14ac:dyDescent="0.35">
      <c r="B1817" s="5" t="str">
        <f t="shared" si="1879"/>
        <v>SPS1</v>
      </c>
      <c r="C1817" s="5" t="str">
        <f t="shared" si="1879"/>
        <v>CH</v>
      </c>
      <c r="D1817" t="s">
        <v>1847</v>
      </c>
      <c r="E1817" t="str">
        <f t="shared" si="1860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'[2]Electricity and CHPs_CAP'!F$64</f>
        <v>4.8513178905777485E-2</v>
      </c>
      <c r="K1817" s="1">
        <f>'[2]Electricity and CHPs_CAP'!G$64</f>
        <v>9.3458321649304052E-2</v>
      </c>
      <c r="L1817" s="1">
        <f>'[2]Electricity and CHPs_CAP'!H$64</f>
        <v>0.9320882256761035</v>
      </c>
      <c r="N1817" s="1"/>
    </row>
    <row r="1818" spans="2:14" x14ac:dyDescent="0.35">
      <c r="B1818" s="5" t="str">
        <f t="shared" si="1879"/>
        <v>SPS1</v>
      </c>
      <c r="C1818" s="5" t="str">
        <f t="shared" si="1879"/>
        <v>CH</v>
      </c>
      <c r="D1818" t="s">
        <v>1848</v>
      </c>
      <c r="E1818" t="str">
        <f t="shared" si="1860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'[2]Electricity and CHPs_CAP'!F$65</f>
        <v>2.7155834869229827E-2</v>
      </c>
      <c r="K1818" s="1">
        <f>'[2]Electricity and CHPs_CAP'!G$65</f>
        <v>4.168999731010066E-2</v>
      </c>
      <c r="L1818" s="1">
        <f>'[2]Electricity and CHPs_CAP'!H$65</f>
        <v>5.5285886133839696E-2</v>
      </c>
      <c r="N1818" s="1"/>
    </row>
    <row r="1819" spans="2:14" x14ac:dyDescent="0.35">
      <c r="B1819" s="5" t="str">
        <f t="shared" si="1879"/>
        <v>SPS1</v>
      </c>
      <c r="C1819" s="5" t="str">
        <f t="shared" si="1879"/>
        <v>CH</v>
      </c>
      <c r="D1819" t="s">
        <v>1849</v>
      </c>
      <c r="E1819" t="str">
        <f t="shared" si="1860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'[2]Electricity and CHPs_CAP'!F$66</f>
        <v>0.24621806057945902</v>
      </c>
      <c r="K1819" s="1">
        <f>'[2]Electricity and CHPs_CAP'!G$66</f>
        <v>0.41351152095832122</v>
      </c>
      <c r="L1819" s="1">
        <f>'[2]Electricity and CHPs_CAP'!H$66</f>
        <v>0.76149753805186582</v>
      </c>
      <c r="N1819" s="1"/>
    </row>
    <row r="1820" spans="2:14" x14ac:dyDescent="0.35">
      <c r="B1820" s="5" t="str">
        <f t="shared" si="1879"/>
        <v>SPS1</v>
      </c>
      <c r="C1820" s="5" t="str">
        <f t="shared" si="1879"/>
        <v>CH</v>
      </c>
      <c r="D1820" t="s">
        <v>1855</v>
      </c>
      <c r="E1820" t="str">
        <f t="shared" si="1860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'[2]Electricity and CHPs_CAP'!F$67</f>
        <v>0.15142893556971038</v>
      </c>
      <c r="K1820" s="1">
        <f>'[2]Electricity and CHPs_CAP'!G$67</f>
        <v>0.15433737124535227</v>
      </c>
      <c r="L1820" s="1">
        <f>'[2]Electricity and CHPs_CAP'!H$67</f>
        <v>0.1912225936855087</v>
      </c>
      <c r="N1820" s="1"/>
    </row>
    <row r="1821" spans="2:14" x14ac:dyDescent="0.35">
      <c r="B1821" s="5" t="str">
        <f t="shared" ref="B1821:C1822" si="1887">B1820</f>
        <v>SPS1</v>
      </c>
      <c r="C1821" s="5" t="str">
        <f t="shared" si="1887"/>
        <v>CH</v>
      </c>
      <c r="D1821" t="s">
        <v>1850</v>
      </c>
      <c r="E1821" t="str">
        <f t="shared" si="1860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'[2]Electricity and CHPs_CAP'!F$68</f>
        <v>4.977272430453604E-2</v>
      </c>
      <c r="K1821" s="1">
        <f>'[2]Electricity and CHPs_CAP'!G$68</f>
        <v>5.0423930680049411E-2</v>
      </c>
      <c r="L1821" s="1">
        <f>'[2]Electricity and CHPs_CAP'!H$68</f>
        <v>6.0666993538174709E-2</v>
      </c>
      <c r="N1821" s="1"/>
    </row>
    <row r="1822" spans="2:14" x14ac:dyDescent="0.35">
      <c r="B1822" s="5" t="str">
        <f t="shared" si="1887"/>
        <v>SPS1</v>
      </c>
      <c r="C1822" s="5" t="str">
        <f t="shared" si="1887"/>
        <v>CH</v>
      </c>
      <c r="D1822" t="s">
        <v>1851</v>
      </c>
      <c r="E1822" t="str">
        <f t="shared" si="1860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'[2]Electricity and CHPs_CAP'!F$69</f>
        <v>0.15402919615063912</v>
      </c>
      <c r="K1822" s="1">
        <f>'[2]Electricity and CHPs_CAP'!G$69</f>
        <v>0.15570374971088524</v>
      </c>
      <c r="L1822" s="1">
        <f>'[2]Electricity and CHPs_CAP'!H$69</f>
        <v>0.18930605724730676</v>
      </c>
      <c r="N1822" s="1"/>
    </row>
    <row r="1823" spans="2:14" x14ac:dyDescent="0.35">
      <c r="B1823" s="5" t="str">
        <f t="shared" ref="B1823:C1823" si="1888">B1822</f>
        <v>SPS1</v>
      </c>
      <c r="C1823" s="5" t="str">
        <f t="shared" si="1888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89">SUM(G1824,G1843)</f>
        <v>11.714243708074516</v>
      </c>
      <c r="H1823" s="3">
        <f t="shared" si="1889"/>
        <v>11.24428175727809</v>
      </c>
      <c r="I1823" s="3">
        <f t="shared" si="1889"/>
        <v>12.58909938207702</v>
      </c>
      <c r="J1823" s="3">
        <f t="shared" si="1889"/>
        <v>8.9764440437356168</v>
      </c>
      <c r="K1823" s="3">
        <f t="shared" si="1889"/>
        <v>8.5295892059833918</v>
      </c>
      <c r="L1823" s="3">
        <f t="shared" ref="L1823" si="1890">SUM(L1824,L1843)</f>
        <v>7.7118208976980327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91">SUM(G1825,G1828,G1830,G1833,G1835,G1837,G1839,G1841)</f>
        <v>9.7128772196946578</v>
      </c>
      <c r="H1824" s="1">
        <f t="shared" si="1891"/>
        <v>9.3724959355985611</v>
      </c>
      <c r="I1824" s="1">
        <f t="shared" si="1891"/>
        <v>10.519350688642499</v>
      </c>
      <c r="J1824" s="1">
        <f t="shared" si="1891"/>
        <v>7.0641016764597113</v>
      </c>
      <c r="K1824" s="1">
        <f t="shared" si="1891"/>
        <v>6.3767300396854925</v>
      </c>
      <c r="L1824" s="1">
        <f t="shared" ref="L1824" si="1892">SUM(L1825,L1828,L1830,L1833,L1835,L1837,L1839,L1841)</f>
        <v>5.3927989970877626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93">SUM(G1826:G1827)</f>
        <v>2.3830094208097927</v>
      </c>
      <c r="H1825" s="1">
        <f t="shared" si="1893"/>
        <v>2.8119227772975832</v>
      </c>
      <c r="I1825" s="1">
        <f t="shared" si="1893"/>
        <v>3.8762769513932813</v>
      </c>
      <c r="J1825" s="1">
        <f t="shared" si="1893"/>
        <v>4.3714888100440987</v>
      </c>
      <c r="K1825" s="1">
        <f t="shared" si="1893"/>
        <v>4.9202810342869254</v>
      </c>
      <c r="L1825" s="1">
        <f t="shared" ref="L1825" si="1894">SUM(L1826:L1827)</f>
        <v>4.5260001822183771</v>
      </c>
      <c r="N1825" s="1"/>
    </row>
    <row r="1826" spans="2:14" x14ac:dyDescent="0.35">
      <c r="B1826" s="5" t="str">
        <f t="shared" ref="B1826:C1826" si="1895">B1825</f>
        <v>SPS1</v>
      </c>
      <c r="C1826" s="5" t="str">
        <f t="shared" si="1895"/>
        <v>CH</v>
      </c>
      <c r="D1826" t="s">
        <v>1862</v>
      </c>
      <c r="E1826" t="str">
        <f t="shared" ref="E1826:E1889" si="189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SUMPRODUCT(([2]OUT_FinalEnergyCons!$B$4:$B$10000="var_cap")*1,(ISNUMBER(SEARCH("RH*-SHELCBR",[2]OUT_FinalEnergyCons!$A$4:$A$10000)))*1,[2]OUT_FinalEnergyCons!H$4:H$10000)</f>
        <v>1.761634037073892E-2</v>
      </c>
      <c r="K1826" s="1" cm="1">
        <f t="array" ref="K1826">SUMPRODUCT(([2]OUT_FinalEnergyCons!$B$4:$B$10000="var_cap")*1,(ISNUMBER(SEARCH("RH*-SHELCBR",[2]OUT_FinalEnergyCons!$A$4:$A$10000)))*1,[2]OUT_FinalEnergyCons!I$4:I$10000)</f>
        <v>3.760843497922078E-3</v>
      </c>
      <c r="L1826" s="1" cm="1">
        <f t="array" ref="L1826">SUMPRODUCT(([2]OUT_FinalEnergyCons!$B$4:$B$10000="var_cap")*1,(ISNUMBER(SEARCH("RH*-SHELCBR",[2]OUT_FinalEnergyCons!$A$4:$A$10000)))*1,[2]OUT_FinalEnergyCons!J$4:J$10000)</f>
        <v>1.6147195989305711E-3</v>
      </c>
      <c r="N1826" s="1"/>
    </row>
    <row r="1827" spans="2:14" x14ac:dyDescent="0.35">
      <c r="B1827" s="5" t="str">
        <f t="shared" ref="B1827:C1827" si="1897">B1826</f>
        <v>SPS1</v>
      </c>
      <c r="C1827" s="5" t="str">
        <f t="shared" si="1897"/>
        <v>CH</v>
      </c>
      <c r="D1827" t="s">
        <v>1863</v>
      </c>
      <c r="E1827" t="str">
        <f t="shared" si="189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SUMPRODUCT(([2]OUT_FinalEnergyCons!$B$4:$B$10000="var_cap")*1,ISNUMBER(SEARCH("RH*-SHELCHP",[2]OUT_FinalEnergyCons!$A$4:$A$10000))*1,[2]OUT_FinalEnergyCons!H$4:H$10000)</f>
        <v>4.3538724696733597</v>
      </c>
      <c r="K1827" s="1" cm="1">
        <f t="array" ref="K1827">SUMPRODUCT(([2]OUT_FinalEnergyCons!$B$4:$B$10000="var_cap")*1,ISNUMBER(SEARCH("RH*-SHELCHP",[2]OUT_FinalEnergyCons!$A$4:$A$10000))*1,[2]OUT_FinalEnergyCons!I$4:I$10000)</f>
        <v>4.9165201907890035</v>
      </c>
      <c r="L1827" s="1" cm="1">
        <f t="array" ref="L1827">SUMPRODUCT(([2]OUT_FinalEnergyCons!$B$4:$B$10000="var_cap")*1,ISNUMBER(SEARCH("RH*-SHELCHP",[2]OUT_FinalEnergyCons!$A$4:$A$10000))*1,[2]OUT_FinalEnergyCons!J$4:J$10000)</f>
        <v>4.5243854626194464</v>
      </c>
      <c r="N1827" s="1"/>
    </row>
    <row r="1828" spans="2:14" x14ac:dyDescent="0.35">
      <c r="B1828" s="5" t="str">
        <f t="shared" ref="B1828:C1828" si="1898">B1827</f>
        <v>SPS1</v>
      </c>
      <c r="C1828" s="5" t="str">
        <f t="shared" si="1898"/>
        <v>CH</v>
      </c>
      <c r="D1828" t="s">
        <v>1864</v>
      </c>
      <c r="E1828" t="str">
        <f t="shared" si="1896"/>
        <v>GWth/yr.</v>
      </c>
      <c r="F1828" s="1">
        <f>F1829</f>
        <v>3.4074053831106799</v>
      </c>
      <c r="G1828" s="1">
        <f t="shared" ref="G1828:L1828" si="1899">G1829</f>
        <v>3.2691972409515806</v>
      </c>
      <c r="H1828" s="1">
        <f t="shared" si="1899"/>
        <v>2.7149370620505398</v>
      </c>
      <c r="I1828" s="1">
        <f t="shared" si="1899"/>
        <v>2.6388039162945049</v>
      </c>
      <c r="J1828" s="1">
        <f t="shared" si="1899"/>
        <v>0.75731434872245651</v>
      </c>
      <c r="K1828" s="1">
        <f t="shared" si="1899"/>
        <v>0.19579233450853634</v>
      </c>
      <c r="L1828" s="1">
        <f t="shared" si="1899"/>
        <v>3.2835753111814192E-2</v>
      </c>
      <c r="N1828" s="1"/>
    </row>
    <row r="1829" spans="2:14" x14ac:dyDescent="0.35">
      <c r="B1829" s="5" t="str">
        <f t="shared" ref="B1829:C1829" si="1900">B1828</f>
        <v>SPS1</v>
      </c>
      <c r="C1829" s="5" t="str">
        <f t="shared" si="1900"/>
        <v>CH</v>
      </c>
      <c r="D1829" t="s">
        <v>1865</v>
      </c>
      <c r="E1829" t="str">
        <f t="shared" si="189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SUMPRODUCT(([2]OUT_FinalEnergyCons!$B$4:$B$10000="var_cap")*1, (ISNUMBER(SEARCH("RH*-SHLFOBR",[2]OUT_FinalEnergyCons!$A$4:$A$10000)))*1,[2]OUT_FinalEnergyCons!H$4:H$10000)</f>
        <v>0.75731434872245651</v>
      </c>
      <c r="K1829" s="1" cm="1">
        <f t="array" ref="K1829">SUMPRODUCT(([2]OUT_FinalEnergyCons!$B$4:$B$10000="var_cap")*1, (ISNUMBER(SEARCH("RH*-SHLFOBR",[2]OUT_FinalEnergyCons!$A$4:$A$10000)))*1,[2]OUT_FinalEnergyCons!I$4:I$10000)</f>
        <v>0.19579233450853634</v>
      </c>
      <c r="L1829" s="1" cm="1">
        <f t="array" ref="L1829">SUMPRODUCT(([2]OUT_FinalEnergyCons!$B$4:$B$10000="var_cap")*1, (ISNUMBER(SEARCH("RH*-SHLFOBR",[2]OUT_FinalEnergyCons!$A$4:$A$10000)))*1,[2]OUT_FinalEnergyCons!J$4:J$10000)</f>
        <v>3.2835753111814192E-2</v>
      </c>
      <c r="N1829" s="1"/>
    </row>
    <row r="1830" spans="2:14" x14ac:dyDescent="0.35">
      <c r="B1830" s="5" t="str">
        <f t="shared" ref="B1830:C1830" si="1901">B1829</f>
        <v>SPS1</v>
      </c>
      <c r="C1830" s="5" t="str">
        <f t="shared" si="1901"/>
        <v>CH</v>
      </c>
      <c r="D1830" t="s">
        <v>1866</v>
      </c>
      <c r="E1830" t="str">
        <f t="shared" si="1896"/>
        <v>GWth/yr.</v>
      </c>
      <c r="F1830" s="1">
        <f>SUM(F1831:F1832)</f>
        <v>2.7687543035215603</v>
      </c>
      <c r="G1830" s="1">
        <f t="shared" ref="G1830:K1830" si="1902">SUM(G1831:G1832)</f>
        <v>2.9422929201264161</v>
      </c>
      <c r="H1830" s="1">
        <f t="shared" si="1902"/>
        <v>2.9606925505967001</v>
      </c>
      <c r="I1830" s="1">
        <f t="shared" si="1902"/>
        <v>3.1225630371996811</v>
      </c>
      <c r="J1830" s="1">
        <f t="shared" si="1902"/>
        <v>1.4403512804437957</v>
      </c>
      <c r="K1830" s="1">
        <f t="shared" si="1902"/>
        <v>0.93887806990377465</v>
      </c>
      <c r="L1830" s="1">
        <f t="shared" ref="L1830" si="1903">SUM(L1831:L1832)</f>
        <v>0.67822635572796131</v>
      </c>
      <c r="N1830" s="1"/>
    </row>
    <row r="1831" spans="2:14" x14ac:dyDescent="0.35">
      <c r="B1831" s="5" t="str">
        <f t="shared" ref="B1831:C1831" si="1904">B1830</f>
        <v>SPS1</v>
      </c>
      <c r="C1831" s="5" t="str">
        <f t="shared" si="1904"/>
        <v>CH</v>
      </c>
      <c r="D1831" t="s">
        <v>1867</v>
      </c>
      <c r="E1831" t="str">
        <f t="shared" si="189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SUMPRODUCT(([2]OUT_FinalEnergyCons!$B$4:$B$10000="var_cap")*1, (ISNUMBER(SEARCH("RH*-SHNGABR",[2]OUT_FinalEnergyCons!$A$4:$A$10000)))*1,[2]OUT_FinalEnergyCons!H$4:H$10000)</f>
        <v>0.84989559968096029</v>
      </c>
      <c r="K1831" s="1" cm="1">
        <f t="array" ref="K1831">SUMPRODUCT(([2]OUT_FinalEnergyCons!$B$4:$B$10000="var_cap")*1, (ISNUMBER(SEARCH("RH*-SHNGABR",[2]OUT_FinalEnergyCons!$A$4:$A$10000)))*1,[2]OUT_FinalEnergyCons!I$4:I$10000)</f>
        <v>0.28891906119014893</v>
      </c>
      <c r="L1831" s="1" cm="1">
        <f t="array" ref="L1831">SUMPRODUCT(([2]OUT_FinalEnergyCons!$B$4:$B$10000="var_cap")*1, (ISNUMBER(SEARCH("RH*-SHNGABR",[2]OUT_FinalEnergyCons!$A$4:$A$10000)))*1,[2]OUT_FinalEnergyCons!J$4:J$10000)</f>
        <v>0.13091361116009598</v>
      </c>
      <c r="N1831" s="1"/>
    </row>
    <row r="1832" spans="2:14" x14ac:dyDescent="0.35">
      <c r="B1832" s="5" t="str">
        <f t="shared" ref="B1832:C1832" si="1905">B1831</f>
        <v>SPS1</v>
      </c>
      <c r="C1832" s="5" t="str">
        <f t="shared" si="1905"/>
        <v>CH</v>
      </c>
      <c r="D1832" t="s">
        <v>1868</v>
      </c>
      <c r="E1832" t="str">
        <f t="shared" si="189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SUMPRODUCT(([2]OUT_FinalEnergyCons!$B$4:$B$10000="var_cap")*1,ISNUMBER(SEARCH("RH*-SHngahp",[2]OUT_FinalEnergyCons!$A$4:$A$10000))*1,[2]OUT_FinalEnergyCons!H$4:H$10000)</f>
        <v>0.59045568076283539</v>
      </c>
      <c r="K1832" s="1" cm="1">
        <f t="array" ref="K1832">SUMPRODUCT(([2]OUT_FinalEnergyCons!$B$4:$B$10000="var_cap")*1,ISNUMBER(SEARCH("RH*-SHngahp",[2]OUT_FinalEnergyCons!$A$4:$A$10000))*1,[2]OUT_FinalEnergyCons!I$4:I$10000)</f>
        <v>0.64995900871362566</v>
      </c>
      <c r="L1832" s="1" cm="1">
        <f t="array" ref="L1832">SUMPRODUCT(([2]OUT_FinalEnergyCons!$B$4:$B$10000="var_cap")*1,ISNUMBER(SEARCH("RH*-SHngahp",[2]OUT_FinalEnergyCons!$A$4:$A$10000))*1,[2]OUT_FinalEnergyCons!J$4:J$10000)</f>
        <v>0.54731274456786538</v>
      </c>
      <c r="N1832" s="1"/>
    </row>
    <row r="1833" spans="2:14" x14ac:dyDescent="0.35">
      <c r="B1833" s="5" t="str">
        <f t="shared" ref="B1833:C1833" si="1906">B1832</f>
        <v>SPS1</v>
      </c>
      <c r="C1833" s="5" t="str">
        <f t="shared" si="1906"/>
        <v>CH</v>
      </c>
      <c r="D1833" t="s">
        <v>1869</v>
      </c>
      <c r="E1833" t="str">
        <f t="shared" si="1896"/>
        <v>GWth/yr.</v>
      </c>
      <c r="F1833" s="1">
        <f>F1834</f>
        <v>7.0000000000000001E-3</v>
      </c>
      <c r="G1833" s="1">
        <f t="shared" ref="G1833:L1833" si="1907">G1834</f>
        <v>6.9784923519878236E-3</v>
      </c>
      <c r="H1833" s="1">
        <f t="shared" si="1907"/>
        <v>2.7613932808527005E-3</v>
      </c>
      <c r="I1833" s="1">
        <f t="shared" si="1907"/>
        <v>3.051148290400367E-6</v>
      </c>
      <c r="J1833" s="1">
        <f t="shared" si="1907"/>
        <v>0</v>
      </c>
      <c r="K1833" s="1">
        <f t="shared" si="1907"/>
        <v>0</v>
      </c>
      <c r="L1833" s="1">
        <f t="shared" si="1907"/>
        <v>0</v>
      </c>
      <c r="N1833" s="1"/>
    </row>
    <row r="1834" spans="2:14" x14ac:dyDescent="0.35">
      <c r="B1834" s="5" t="str">
        <f t="shared" ref="B1834:C1834" si="1908">B1833</f>
        <v>SPS1</v>
      </c>
      <c r="C1834" s="5" t="str">
        <f t="shared" si="1908"/>
        <v>CH</v>
      </c>
      <c r="D1834" t="s">
        <v>1870</v>
      </c>
      <c r="E1834" t="str">
        <f t="shared" si="189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0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909">G1836</f>
        <v>0.73417465725077935</v>
      </c>
      <c r="H1835" s="1">
        <f t="shared" si="1909"/>
        <v>0.73012203366160056</v>
      </c>
      <c r="I1835" s="1">
        <f t="shared" si="1909"/>
        <v>0.72983536030683682</v>
      </c>
      <c r="J1835" s="1">
        <f t="shared" si="1909"/>
        <v>0.44616203415755612</v>
      </c>
      <c r="K1835" s="1">
        <f t="shared" si="1909"/>
        <v>0.30823444535176886</v>
      </c>
      <c r="L1835" s="1">
        <f t="shared" si="1909"/>
        <v>0.14505142552268976</v>
      </c>
      <c r="N1835" s="1"/>
    </row>
    <row r="1836" spans="2:14" x14ac:dyDescent="0.35">
      <c r="B1836" s="5" t="str">
        <f t="shared" ref="B1836:C1836" si="1910">B1835</f>
        <v>SPS1</v>
      </c>
      <c r="C1836" s="5" t="str">
        <f t="shared" si="1910"/>
        <v>CH</v>
      </c>
      <c r="D1836" t="s">
        <v>1872</v>
      </c>
      <c r="E1836" t="str">
        <f t="shared" si="189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SUMPRODUCT(([2]OUT_FinalEnergyCons!$B$4:$B$10000="var_cap")*1, (ISNUMBER(SEARCH("RH*-SHWODBR",[2]OUT_FinalEnergyCons!$A$4:$A$10000)))*1,[2]OUT_FinalEnergyCons!H$4:H$10000)</f>
        <v>0.44616203415755612</v>
      </c>
      <c r="K1836" s="1" cm="1">
        <f t="array" ref="K1836">SUMPRODUCT(([2]OUT_FinalEnergyCons!$B$4:$B$10000="var_cap")*1, (ISNUMBER(SEARCH("RH*-SHWODBR",[2]OUT_FinalEnergyCons!$A$4:$A$10000)))*1,[2]OUT_FinalEnergyCons!I$4:I$10000)</f>
        <v>0.30823444535176886</v>
      </c>
      <c r="L1836" s="1" cm="1">
        <f t="array" ref="L1836">SUMPRODUCT(([2]OUT_FinalEnergyCons!$B$4:$B$10000="var_cap")*1, (ISNUMBER(SEARCH("RH*-SHWODBR",[2]OUT_FinalEnergyCons!$A$4:$A$10000)))*1,[2]OUT_FinalEnergyCons!J$4:J$10000)</f>
        <v>0.14505142552268976</v>
      </c>
      <c r="N1836" s="1"/>
    </row>
    <row r="1837" spans="2:14" x14ac:dyDescent="0.35">
      <c r="B1837" s="5" t="str">
        <f t="shared" ref="B1837:C1837" si="1911">B1836</f>
        <v>SPS1</v>
      </c>
      <c r="C1837" s="5" t="str">
        <f t="shared" si="1911"/>
        <v>CH</v>
      </c>
      <c r="D1837" t="s">
        <v>1873</v>
      </c>
      <c r="E1837" t="str">
        <f t="shared" si="1896"/>
        <v>GWth/yr.</v>
      </c>
      <c r="F1837" s="1">
        <f>F1838</f>
        <v>0.20439027462555695</v>
      </c>
      <c r="G1837" s="1">
        <f t="shared" ref="G1837:L1837" si="1912">G1838</f>
        <v>0.24033503328768674</v>
      </c>
      <c r="H1837" s="1">
        <f t="shared" si="1912"/>
        <v>1.5713955802544789E-2</v>
      </c>
      <c r="I1837" s="1">
        <f t="shared" si="1912"/>
        <v>1.5475712234937475E-2</v>
      </c>
      <c r="J1837" s="1">
        <f t="shared" si="1912"/>
        <v>8.6840922375188735E-3</v>
      </c>
      <c r="K1837" s="1">
        <f t="shared" si="1912"/>
        <v>5.9423067696853082E-3</v>
      </c>
      <c r="L1837" s="1">
        <f t="shared" si="1912"/>
        <v>3.4156147750192241E-3</v>
      </c>
      <c r="N1837" s="1"/>
    </row>
    <row r="1838" spans="2:14" x14ac:dyDescent="0.35">
      <c r="B1838" s="5" t="str">
        <f t="shared" ref="B1838:C1838" si="1913">B1837</f>
        <v>SPS1</v>
      </c>
      <c r="C1838" s="5" t="str">
        <f t="shared" si="1913"/>
        <v>CH</v>
      </c>
      <c r="D1838" t="s">
        <v>1874</v>
      </c>
      <c r="E1838" t="str">
        <f t="shared" si="189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SUMPRODUCT(([2]OUT_FinalEnergyCons!$B$4:$B$10000="var_cap")*1, (ISNUMBER(SEARCH("RH*-SHPLTBR",[2]OUT_FinalEnergyCons!$A$4:$A$10000)))*1,[2]OUT_FinalEnergyCons!H$4:H$10000)</f>
        <v>8.6840922375188735E-3</v>
      </c>
      <c r="K1838" s="1" cm="1">
        <f t="array" ref="K1838">SUMPRODUCT(([2]OUT_FinalEnergyCons!$B$4:$B$10000="var_cap")*1, (ISNUMBER(SEARCH("RH*-SHPLTBR",[2]OUT_FinalEnergyCons!$A$4:$A$10000)))*1,[2]OUT_FinalEnergyCons!I$4:I$10000)</f>
        <v>5.9423067696853082E-3</v>
      </c>
      <c r="L1838" s="1" cm="1">
        <f t="array" ref="L1838">SUMPRODUCT(([2]OUT_FinalEnergyCons!$B$4:$B$10000="var_cap")*1, (ISNUMBER(SEARCH("RH*-SHPLTBR",[2]OUT_FinalEnergyCons!$A$4:$A$10000)))*1,[2]OUT_FinalEnergyCons!J$4:J$10000)</f>
        <v>3.4156147750192241E-3</v>
      </c>
      <c r="N1838" s="1"/>
    </row>
    <row r="1839" spans="2:14" x14ac:dyDescent="0.35">
      <c r="B1839" s="5" t="str">
        <f t="shared" ref="B1839:C1839" si="1914">B1838</f>
        <v>SPS1</v>
      </c>
      <c r="C1839" s="5" t="str">
        <f t="shared" si="1914"/>
        <v>CH</v>
      </c>
      <c r="D1839" t="s">
        <v>1875</v>
      </c>
      <c r="E1839" t="str">
        <f t="shared" si="1896"/>
        <v>GWth/yr.</v>
      </c>
      <c r="F1839" s="1">
        <f>F1840</f>
        <v>0.11408250767753189</v>
      </c>
      <c r="G1839" s="1">
        <f t="shared" ref="G1839:L1839" si="1915">G1840</f>
        <v>0.13688945491641322</v>
      </c>
      <c r="H1839" s="1">
        <f t="shared" si="1915"/>
        <v>0.13634616290873841</v>
      </c>
      <c r="I1839" s="1">
        <f t="shared" si="1915"/>
        <v>0.13639266006496625</v>
      </c>
      <c r="J1839" s="1">
        <f t="shared" si="1915"/>
        <v>4.010111085428554E-2</v>
      </c>
      <c r="K1839" s="1">
        <f t="shared" si="1915"/>
        <v>7.6018488648028045E-3</v>
      </c>
      <c r="L1839" s="1">
        <f t="shared" si="1915"/>
        <v>7.2696657319012356E-3</v>
      </c>
      <c r="N1839" s="1"/>
    </row>
    <row r="1840" spans="2:14" x14ac:dyDescent="0.35">
      <c r="B1840" s="5" t="str">
        <f t="shared" ref="B1840:C1840" si="1916">B1839</f>
        <v>SPS1</v>
      </c>
      <c r="C1840" s="5" t="str">
        <f t="shared" si="1916"/>
        <v>CH</v>
      </c>
      <c r="D1840" t="s">
        <v>1876</v>
      </c>
      <c r="E1840" t="str">
        <f t="shared" si="189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SUMPRODUCT(([2]OUT_FinalEnergyCons!$B$4:$B$10000="var_cap")*1, (ISNUMBER(SEARCH("RH*-SHSOLBR",[2]OUT_FinalEnergyCons!$A$4:$A$10000)))*1,[2]OUT_FinalEnergyCons!H$4:H$10000)</f>
        <v>4.010111085428554E-2</v>
      </c>
      <c r="K1840" s="1" cm="1">
        <f t="array" ref="K1840">SUMPRODUCT(([2]OUT_FinalEnergyCons!$B$4:$B$10000="var_cap")*1, (ISNUMBER(SEARCH("RH*-SHSOLBR",[2]OUT_FinalEnergyCons!$A$4:$A$10000)))*1,[2]OUT_FinalEnergyCons!I$4:I$10000)</f>
        <v>7.6018488648028045E-3</v>
      </c>
      <c r="L1840" s="1" cm="1">
        <f t="array" ref="L1840">SUMPRODUCT(([2]OUT_FinalEnergyCons!$B$4:$B$10000="var_cap")*1, (ISNUMBER(SEARCH("RH*-SHSOLBR",[2]OUT_FinalEnergyCons!$A$4:$A$10000)))*1,[2]OUT_FinalEnergyCons!J$4:J$10000)</f>
        <v>7.2696657319012356E-3</v>
      </c>
      <c r="N1840" s="1"/>
    </row>
    <row r="1841" spans="2:14" x14ac:dyDescent="0.35">
      <c r="B1841" s="5" t="str">
        <f t="shared" ref="B1841:C1841" si="1917">B1840</f>
        <v>SPS1</v>
      </c>
      <c r="C1841" s="5" t="str">
        <f t="shared" si="1917"/>
        <v>CH</v>
      </c>
      <c r="D1841" t="s">
        <v>1877</v>
      </c>
      <c r="E1841" t="str">
        <f t="shared" si="1896"/>
        <v>GWth/yr.</v>
      </c>
      <c r="F1841" s="1">
        <f>F1842</f>
        <v>0</v>
      </c>
      <c r="G1841" s="1">
        <f t="shared" ref="G1841:L1841" si="1918">G1842</f>
        <v>0</v>
      </c>
      <c r="H1841" s="1">
        <f t="shared" si="1918"/>
        <v>0</v>
      </c>
      <c r="I1841" s="1">
        <f t="shared" si="1918"/>
        <v>0</v>
      </c>
      <c r="J1841" s="1">
        <f t="shared" si="1918"/>
        <v>0</v>
      </c>
      <c r="K1841" s="1">
        <f t="shared" si="1918"/>
        <v>0</v>
      </c>
      <c r="L1841" s="1">
        <f t="shared" si="1918"/>
        <v>0</v>
      </c>
      <c r="N1841" s="1"/>
    </row>
    <row r="1842" spans="2:14" x14ac:dyDescent="0.35">
      <c r="B1842" s="5" t="str">
        <f t="shared" ref="B1842:C1842" si="1919">B1841</f>
        <v>SPS1</v>
      </c>
      <c r="C1842" s="5" t="str">
        <f t="shared" si="1919"/>
        <v>CH</v>
      </c>
      <c r="D1842" t="s">
        <v>1878</v>
      </c>
      <c r="E1842" t="str">
        <f t="shared" si="189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0">B1842</f>
        <v>SPS1</v>
      </c>
      <c r="C1843" s="5" t="str">
        <f t="shared" si="1920"/>
        <v>CH</v>
      </c>
      <c r="D1843" t="s">
        <v>1879</v>
      </c>
      <c r="E1843" t="str">
        <f t="shared" si="1896"/>
        <v>GWth/yr.</v>
      </c>
      <c r="F1843" s="1">
        <f>SUM(F1844,F1847,F1849,F1852,F1854,F1856,F1858,F1860)</f>
        <v>1.8610018241879485</v>
      </c>
      <c r="G1843" s="1">
        <f t="shared" ref="G1843" si="1921">SUM(G1844,G1847,G1849,G1852,G1854,G1856,G1858,G1860)</f>
        <v>2.0013664883798574</v>
      </c>
      <c r="H1843" s="1">
        <f t="shared" ref="H1843" si="1922">SUM(H1844,H1847,H1849,H1852,H1854,H1856,H1858,H1860)</f>
        <v>1.8717858216795284</v>
      </c>
      <c r="I1843" s="1">
        <f t="shared" ref="I1843" si="1923">SUM(I1844,I1847,I1849,I1852,I1854,I1856,I1858,I1860)</f>
        <v>2.0697486934345215</v>
      </c>
      <c r="J1843" s="1">
        <f t="shared" ref="J1843" si="1924">SUM(J1844,J1847,J1849,J1852,J1854,J1856,J1858,J1860)</f>
        <v>1.9123423672759061</v>
      </c>
      <c r="K1843" s="1">
        <f t="shared" ref="K1843:L1843" si="1925">SUM(K1844,K1847,K1849,K1852,K1854,K1856,K1858,K1860)</f>
        <v>2.1528591662978993</v>
      </c>
      <c r="L1843" s="1">
        <f t="shared" si="1925"/>
        <v>2.3190219006102706</v>
      </c>
      <c r="N1843" s="1"/>
    </row>
    <row r="1844" spans="2:14" x14ac:dyDescent="0.35">
      <c r="B1844" s="5" t="str">
        <f t="shared" ref="B1844:C1844" si="1926">B1843</f>
        <v>SPS1</v>
      </c>
      <c r="C1844" s="5" t="str">
        <f t="shared" si="1926"/>
        <v>CH</v>
      </c>
      <c r="D1844" t="s">
        <v>1880</v>
      </c>
      <c r="E1844" t="str">
        <f t="shared" si="1896"/>
        <v>GWth/yr.</v>
      </c>
      <c r="F1844" s="1">
        <f>SUM(F1845:F1846)</f>
        <v>0.65094371566580389</v>
      </c>
      <c r="G1844" s="1">
        <f t="shared" ref="G1844" si="1927">SUM(G1845:G1846)</f>
        <v>0.71793862643853212</v>
      </c>
      <c r="H1844" s="1">
        <f t="shared" ref="H1844" si="1928">SUM(H1845:H1846)</f>
        <v>0.69984371503592857</v>
      </c>
      <c r="I1844" s="1">
        <f t="shared" ref="I1844" si="1929">SUM(I1845:I1846)</f>
        <v>0.85289010599071269</v>
      </c>
      <c r="J1844" s="1">
        <f t="shared" ref="J1844" si="1930">SUM(J1845:J1846)</f>
        <v>0.95521287837333191</v>
      </c>
      <c r="K1844" s="1">
        <f t="shared" ref="K1844:L1844" si="1931">SUM(K1845:K1846)</f>
        <v>1.1466495022879435</v>
      </c>
      <c r="L1844" s="1">
        <f t="shared" si="1931"/>
        <v>1.2549893327268178</v>
      </c>
      <c r="N1844" s="1"/>
    </row>
    <row r="1845" spans="2:14" x14ac:dyDescent="0.35">
      <c r="B1845" s="5" t="str">
        <f t="shared" ref="B1845:C1845" si="1932">B1844</f>
        <v>SPS1</v>
      </c>
      <c r="C1845" s="5" t="str">
        <f t="shared" si="1932"/>
        <v>CH</v>
      </c>
      <c r="D1845" t="s">
        <v>1881</v>
      </c>
      <c r="E1845" t="str">
        <f t="shared" si="189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SUMPRODUCT(([2]OUT_FinalEnergyCons!$B$4:$B$10000="var_cap")*1,(ISNUMBER(SEARCH("RH*-WHELCBR",[2]OUT_FinalEnergyCons!$A$4:$A$10000)))*1,[2]OUT_FinalEnergyCons!H$4:H$10000)</f>
        <v>0.13468649957085099</v>
      </c>
      <c r="K1845" s="1" cm="1">
        <f t="array" ref="K1845">SUMPRODUCT(([2]OUT_FinalEnergyCons!$B$4:$B$10000="var_cap")*1,(ISNUMBER(SEARCH("RH*-WHELCBR",[2]OUT_FinalEnergyCons!$A$4:$A$10000)))*1,[2]OUT_FinalEnergyCons!I$4:I$10000)</f>
        <v>0.11892574051800654</v>
      </c>
      <c r="L1845" s="1" cm="1">
        <f t="array" ref="L1845">SUMPRODUCT(([2]OUT_FinalEnergyCons!$B$4:$B$10000="var_cap")*1,(ISNUMBER(SEARCH("RH*-WHELCBR",[2]OUT_FinalEnergyCons!$A$4:$A$10000)))*1,[2]OUT_FinalEnergyCons!J$4:J$10000)</f>
        <v>0.11332594254229045</v>
      </c>
      <c r="N1845" s="1"/>
    </row>
    <row r="1846" spans="2:14" x14ac:dyDescent="0.35">
      <c r="B1846" s="5" t="str">
        <f t="shared" ref="B1846:C1846" si="1933">B1845</f>
        <v>SPS1</v>
      </c>
      <c r="C1846" s="5" t="str">
        <f t="shared" si="1933"/>
        <v>CH</v>
      </c>
      <c r="D1846" t="s">
        <v>1882</v>
      </c>
      <c r="E1846" t="str">
        <f t="shared" si="189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SUMPRODUCT(([2]OUT_FinalEnergyCons!$B$4:$B$10000="var_cap")*1,ISNUMBER(SEARCH("RH*-WHELCHP",[2]OUT_FinalEnergyCons!$A$4:$A$10000))*1,[2]OUT_FinalEnergyCons!H$4:H$10000)</f>
        <v>0.82052637880248092</v>
      </c>
      <c r="K1846" s="1" cm="1">
        <f t="array" ref="K1846">SUMPRODUCT(([2]OUT_FinalEnergyCons!$B$4:$B$10000="var_cap")*1,ISNUMBER(SEARCH("RH*-WHELCHP",[2]OUT_FinalEnergyCons!$A$4:$A$10000))*1,[2]OUT_FinalEnergyCons!I$4:I$10000)</f>
        <v>1.0277237617699368</v>
      </c>
      <c r="L1846" s="1" cm="1">
        <f t="array" ref="L1846">SUMPRODUCT(([2]OUT_FinalEnergyCons!$B$4:$B$10000="var_cap")*1,ISNUMBER(SEARCH("RH*-WHELCHP",[2]OUT_FinalEnergyCons!$A$4:$A$10000))*1,[2]OUT_FinalEnergyCons!J$4:J$10000)</f>
        <v>1.1416633901845274</v>
      </c>
      <c r="N1846" s="1"/>
    </row>
    <row r="1847" spans="2:14" x14ac:dyDescent="0.35">
      <c r="B1847" s="5" t="str">
        <f t="shared" ref="B1847:C1847" si="1934">B1846</f>
        <v>SPS1</v>
      </c>
      <c r="C1847" s="5" t="str">
        <f t="shared" si="1934"/>
        <v>CH</v>
      </c>
      <c r="D1847" t="s">
        <v>1883</v>
      </c>
      <c r="E1847" t="str">
        <f t="shared" si="1896"/>
        <v>GWth/yr.</v>
      </c>
      <c r="F1847" s="1">
        <f>F1848</f>
        <v>0.47738433216181703</v>
      </c>
      <c r="G1847" s="1">
        <f t="shared" ref="G1847" si="1935">G1848</f>
        <v>0.46812091910172032</v>
      </c>
      <c r="H1847" s="1">
        <f t="shared" ref="H1847" si="1936">H1848</f>
        <v>0.32232637739807479</v>
      </c>
      <c r="I1847" s="1">
        <f t="shared" ref="I1847" si="1937">I1848</f>
        <v>0.2775346453361735</v>
      </c>
      <c r="J1847" s="1">
        <f t="shared" ref="J1847" si="1938">J1848</f>
        <v>8.8260800271153406E-2</v>
      </c>
      <c r="K1847" s="1">
        <f t="shared" ref="K1847:L1847" si="1939">K1848</f>
        <v>3.3029506588107209E-2</v>
      </c>
      <c r="L1847" s="1">
        <f t="shared" si="1939"/>
        <v>3.3261449446630974E-3</v>
      </c>
      <c r="N1847" s="1"/>
    </row>
    <row r="1848" spans="2:14" x14ac:dyDescent="0.35">
      <c r="B1848" s="5" t="str">
        <f t="shared" ref="B1848:C1848" si="1940">B1847</f>
        <v>SPS1</v>
      </c>
      <c r="C1848" s="5" t="str">
        <f t="shared" si="1940"/>
        <v>CH</v>
      </c>
      <c r="D1848" t="s">
        <v>1884</v>
      </c>
      <c r="E1848" t="str">
        <f t="shared" si="189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SUMPRODUCT(([2]OUT_FinalEnergyCons!$B$4:$B$10000="var_cap")*1, (ISNUMBER(SEARCH("RH*-WHLFOBR",[2]OUT_FinalEnergyCons!$A$4:$A$10000)))*1,[2]OUT_FinalEnergyCons!H$4:H$10000)</f>
        <v>8.8260800271153406E-2</v>
      </c>
      <c r="K1848" s="1" cm="1">
        <f t="array" ref="K1848">SUMPRODUCT(([2]OUT_FinalEnergyCons!$B$4:$B$10000="var_cap")*1, (ISNUMBER(SEARCH("RH*-WHLFOBR",[2]OUT_FinalEnergyCons!$A$4:$A$10000)))*1,[2]OUT_FinalEnergyCons!I$4:I$10000)</f>
        <v>3.3029506588107209E-2</v>
      </c>
      <c r="L1848" s="1" cm="1">
        <f t="array" ref="L1848">SUMPRODUCT(([2]OUT_FinalEnergyCons!$B$4:$B$10000="var_cap")*1, (ISNUMBER(SEARCH("RH*-WHLFOBR",[2]OUT_FinalEnergyCons!$A$4:$A$10000)))*1,[2]OUT_FinalEnergyCons!J$4:J$10000)</f>
        <v>3.3261449446630974E-3</v>
      </c>
      <c r="N1848" s="1"/>
    </row>
    <row r="1849" spans="2:14" x14ac:dyDescent="0.35">
      <c r="B1849" s="5" t="str">
        <f t="shared" ref="B1849:C1849" si="1941">B1848</f>
        <v>SPS1</v>
      </c>
      <c r="C1849" s="5" t="str">
        <f t="shared" si="1941"/>
        <v>CH</v>
      </c>
      <c r="D1849" t="s">
        <v>1885</v>
      </c>
      <c r="E1849" t="str">
        <f t="shared" si="1896"/>
        <v>GWth/yr.</v>
      </c>
      <c r="F1849" s="1">
        <f>SUM(F1850:F1851)</f>
        <v>0.43610075806793741</v>
      </c>
      <c r="G1849" s="1">
        <f t="shared" ref="G1849" si="1942">SUM(G1850:G1851)</f>
        <v>0.42754573277753932</v>
      </c>
      <c r="H1849" s="1">
        <f t="shared" ref="H1849" si="1943">SUM(H1850:H1851)</f>
        <v>0.44451032590408729</v>
      </c>
      <c r="I1849" s="1">
        <f t="shared" ref="I1849" si="1944">SUM(I1850:I1851)</f>
        <v>0.49271443632366807</v>
      </c>
      <c r="J1849" s="1">
        <f t="shared" ref="J1849" si="1945">SUM(J1850:J1851)</f>
        <v>0.3361264242744107</v>
      </c>
      <c r="K1849" s="1">
        <f t="shared" ref="K1849:L1849" si="1946">SUM(K1850:K1851)</f>
        <v>0.31946534442028479</v>
      </c>
      <c r="L1849" s="1">
        <f t="shared" si="1946"/>
        <v>0.30140660120558888</v>
      </c>
      <c r="N1849" s="1"/>
    </row>
    <row r="1850" spans="2:14" x14ac:dyDescent="0.35">
      <c r="B1850" s="5" t="str">
        <f t="shared" ref="B1850:C1850" si="1947">B1849</f>
        <v>SPS1</v>
      </c>
      <c r="C1850" s="5" t="str">
        <f t="shared" si="1947"/>
        <v>CH</v>
      </c>
      <c r="D1850" t="s">
        <v>1886</v>
      </c>
      <c r="E1850" t="str">
        <f t="shared" si="189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SUMPRODUCT(([2]OUT_FinalEnergyCons!$B$4:$B$10000="var_cap")*1, (ISNUMBER(SEARCH("RH*-WHNGABR",[2]OUT_FinalEnergyCons!$A$4:$A$10000)))*1,[2]OUT_FinalEnergyCons!H$4:H$10000)</f>
        <v>0.1230966883176955</v>
      </c>
      <c r="K1850" s="1" cm="1">
        <f t="array" ref="K1850">SUMPRODUCT(([2]OUT_FinalEnergyCons!$B$4:$B$10000="var_cap")*1, (ISNUMBER(SEARCH("RH*-WHNGABR",[2]OUT_FinalEnergyCons!$A$4:$A$10000)))*1,[2]OUT_FinalEnergyCons!I$4:I$10000)</f>
        <v>5.4108867722083134E-2</v>
      </c>
      <c r="L1850" s="1" cm="1">
        <f t="array" ref="L1850">SUMPRODUCT(([2]OUT_FinalEnergyCons!$B$4:$B$10000="var_cap")*1, (ISNUMBER(SEARCH("RH*-WHNGABR",[2]OUT_FinalEnergyCons!$A$4:$A$10000)))*1,[2]OUT_FinalEnergyCons!J$4:J$10000)</f>
        <v>3.067117740368808E-2</v>
      </c>
      <c r="N1850" s="1"/>
    </row>
    <row r="1851" spans="2:14" x14ac:dyDescent="0.35">
      <c r="B1851" s="5" t="str">
        <f t="shared" ref="B1851:C1851" si="1948">B1850</f>
        <v>SPS1</v>
      </c>
      <c r="C1851" s="5" t="str">
        <f t="shared" si="1948"/>
        <v>CH</v>
      </c>
      <c r="D1851" t="s">
        <v>1887</v>
      </c>
      <c r="E1851" t="str">
        <f t="shared" si="189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SUMPRODUCT(([2]OUT_FinalEnergyCons!$B$4:$B$10000="var_cap")*1,ISNUMBER(SEARCH("RH*-WHngahp",[2]OUT_FinalEnergyCons!$A$4:$A$10000))*1,[2]OUT_FinalEnergyCons!H$4:H$10000)</f>
        <v>0.2130297359567152</v>
      </c>
      <c r="K1851" s="1" cm="1">
        <f t="array" ref="K1851">SUMPRODUCT(([2]OUT_FinalEnergyCons!$B$4:$B$10000="var_cap")*1,ISNUMBER(SEARCH("RH*-WHngahp",[2]OUT_FinalEnergyCons!$A$4:$A$10000))*1,[2]OUT_FinalEnergyCons!I$4:I$10000)</f>
        <v>0.26535647669820167</v>
      </c>
      <c r="L1851" s="1" cm="1">
        <f t="array" ref="L1851">SUMPRODUCT(([2]OUT_FinalEnergyCons!$B$4:$B$10000="var_cap")*1,ISNUMBER(SEARCH("RH*-WHngahp",[2]OUT_FinalEnergyCons!$A$4:$A$10000))*1,[2]OUT_FinalEnergyCons!J$4:J$10000)</f>
        <v>0.2707354238019008</v>
      </c>
      <c r="N1851" s="1"/>
    </row>
    <row r="1852" spans="2:14" x14ac:dyDescent="0.35">
      <c r="B1852" s="5" t="str">
        <f t="shared" ref="B1852:C1852" si="1949">B1851</f>
        <v>SPS1</v>
      </c>
      <c r="C1852" s="5" t="str">
        <f t="shared" si="1949"/>
        <v>CH</v>
      </c>
      <c r="D1852" t="s">
        <v>1888</v>
      </c>
      <c r="E1852" t="str">
        <f t="shared" si="1896"/>
        <v>GWth/yr.</v>
      </c>
      <c r="F1852" s="1">
        <f>F1853</f>
        <v>0</v>
      </c>
      <c r="G1852" s="1">
        <f t="shared" ref="G1852" si="1950">G1853</f>
        <v>0</v>
      </c>
      <c r="H1852" s="1">
        <f t="shared" ref="H1852" si="1951">H1853</f>
        <v>0</v>
      </c>
      <c r="I1852" s="1">
        <f t="shared" ref="I1852" si="1952">I1853</f>
        <v>0</v>
      </c>
      <c r="J1852" s="1">
        <f t="shared" ref="J1852" si="1953">J1853</f>
        <v>0</v>
      </c>
      <c r="K1852" s="1">
        <f t="shared" ref="K1852:L1852" si="1954">K1853</f>
        <v>0</v>
      </c>
      <c r="L1852" s="1">
        <f t="shared" si="1954"/>
        <v>0</v>
      </c>
      <c r="N1852" s="1"/>
    </row>
    <row r="1853" spans="2:14" x14ac:dyDescent="0.35">
      <c r="B1853" s="5" t="str">
        <f t="shared" ref="B1853:C1853" si="1955">B1852</f>
        <v>SPS1</v>
      </c>
      <c r="C1853" s="5" t="str">
        <f t="shared" si="1955"/>
        <v>CH</v>
      </c>
      <c r="D1853" t="s">
        <v>1889</v>
      </c>
      <c r="E1853" t="str">
        <f t="shared" si="189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56">B1853</f>
        <v>SPS1</v>
      </c>
      <c r="C1854" s="5" t="str">
        <f t="shared" si="1956"/>
        <v>CH</v>
      </c>
      <c r="D1854" t="s">
        <v>1890</v>
      </c>
      <c r="E1854" t="str">
        <f t="shared" si="1896"/>
        <v>GWth/yr.</v>
      </c>
      <c r="F1854" s="1">
        <f>F1855</f>
        <v>3.5322010722483803E-2</v>
      </c>
      <c r="G1854" s="1">
        <f t="shared" ref="G1854" si="1957">G1855</f>
        <v>4.0458476663416551E-2</v>
      </c>
      <c r="H1854" s="1">
        <f t="shared" ref="H1854" si="1958">H1855</f>
        <v>6.7259928834266222E-2</v>
      </c>
      <c r="I1854" s="1">
        <f t="shared" ref="I1854" si="1959">I1855</f>
        <v>6.6036571218456699E-2</v>
      </c>
      <c r="J1854" s="1">
        <f t="shared" ref="J1854" si="1960">J1855</f>
        <v>5.040702993895263E-2</v>
      </c>
      <c r="K1854" s="1">
        <f t="shared" ref="K1854:L1854" si="1961">K1855</f>
        <v>3.8496927470388916E-2</v>
      </c>
      <c r="L1854" s="1">
        <f t="shared" si="1961"/>
        <v>2.0876634834269804E-2</v>
      </c>
      <c r="N1854" s="1"/>
    </row>
    <row r="1855" spans="2:14" x14ac:dyDescent="0.35">
      <c r="B1855" s="5" t="str">
        <f t="shared" ref="B1855:C1855" si="1962">B1854</f>
        <v>SPS1</v>
      </c>
      <c r="C1855" s="5" t="str">
        <f t="shared" si="1962"/>
        <v>CH</v>
      </c>
      <c r="D1855" t="s">
        <v>1891</v>
      </c>
      <c r="E1855" t="str">
        <f t="shared" si="189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SUMPRODUCT(([2]OUT_FinalEnergyCons!$B$4:$B$10000="var_cap")*1, (ISNUMBER(SEARCH("RH*-WHWODBR",[2]OUT_FinalEnergyCons!$A$4:$A$10000)))*1,[2]OUT_FinalEnergyCons!H$4:H$10000)</f>
        <v>5.040702993895263E-2</v>
      </c>
      <c r="K1855" s="1" cm="1">
        <f t="array" ref="K1855">SUMPRODUCT(([2]OUT_FinalEnergyCons!$B$4:$B$10000="var_cap")*1, (ISNUMBER(SEARCH("RH*-WHWODBR",[2]OUT_FinalEnergyCons!$A$4:$A$10000)))*1,[2]OUT_FinalEnergyCons!I$4:I$10000)</f>
        <v>3.8496927470388916E-2</v>
      </c>
      <c r="L1855" s="1" cm="1">
        <f t="array" ref="L1855">SUMPRODUCT(([2]OUT_FinalEnergyCons!$B$4:$B$10000="var_cap")*1, (ISNUMBER(SEARCH("RH*-WHWODBR",[2]OUT_FinalEnergyCons!$A$4:$A$10000)))*1,[2]OUT_FinalEnergyCons!J$4:J$10000)</f>
        <v>2.0876634834269804E-2</v>
      </c>
      <c r="N1855" s="1"/>
    </row>
    <row r="1856" spans="2:14" x14ac:dyDescent="0.35">
      <c r="B1856" s="5" t="str">
        <f t="shared" ref="B1856:C1856" si="1963">B1855</f>
        <v>SPS1</v>
      </c>
      <c r="C1856" s="5" t="str">
        <f t="shared" si="1963"/>
        <v>CH</v>
      </c>
      <c r="D1856" t="s">
        <v>1892</v>
      </c>
      <c r="E1856" t="str">
        <f t="shared" si="1896"/>
        <v>GWth/yr.</v>
      </c>
      <c r="F1856" s="1">
        <f>F1857</f>
        <v>1.12410901121583E-2</v>
      </c>
      <c r="G1856" s="1">
        <f t="shared" ref="G1856" si="1964">G1857</f>
        <v>1.3196809744555737E-2</v>
      </c>
      <c r="H1856" s="1">
        <f t="shared" ref="H1856" si="1965">H1857</f>
        <v>3.7385966462187489E-3</v>
      </c>
      <c r="I1856" s="1">
        <f t="shared" ref="I1856" si="1966">I1857</f>
        <v>3.2057460304129193E-3</v>
      </c>
      <c r="J1856" s="1">
        <f t="shared" ref="J1856" si="1967">J1857</f>
        <v>2.2370100525925898E-3</v>
      </c>
      <c r="K1856" s="1">
        <f t="shared" ref="K1856:L1856" si="1968">K1857</f>
        <v>1.5504098885198848E-3</v>
      </c>
      <c r="L1856" s="1">
        <f t="shared" si="1968"/>
        <v>8.0870467592613813E-4</v>
      </c>
      <c r="N1856" s="1"/>
    </row>
    <row r="1857" spans="2:14" x14ac:dyDescent="0.35">
      <c r="B1857" s="5" t="str">
        <f t="shared" ref="B1857:C1857" si="1969">B1856</f>
        <v>SPS1</v>
      </c>
      <c r="C1857" s="5" t="str">
        <f t="shared" si="1969"/>
        <v>CH</v>
      </c>
      <c r="D1857" t="s">
        <v>1893</v>
      </c>
      <c r="E1857" t="str">
        <f t="shared" si="189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SUMPRODUCT(([2]OUT_FinalEnergyCons!$B$4:$B$10000="var_cap")*1, (ISNUMBER(SEARCH("RH*-WHPLTBR",[2]OUT_FinalEnergyCons!$A$4:$A$10000)))*1,[2]OUT_FinalEnergyCons!H$4:H$10000)</f>
        <v>2.2370100525925898E-3</v>
      </c>
      <c r="K1857" s="1" cm="1">
        <f t="array" ref="K1857">SUMPRODUCT(([2]OUT_FinalEnergyCons!$B$4:$B$10000="var_cap")*1, (ISNUMBER(SEARCH("RH*-WHPLTBR",[2]OUT_FinalEnergyCons!$A$4:$A$10000)))*1,[2]OUT_FinalEnergyCons!I$4:I$10000)</f>
        <v>1.5504098885198848E-3</v>
      </c>
      <c r="L1857" s="1" cm="1">
        <f t="array" ref="L1857">SUMPRODUCT(([2]OUT_FinalEnergyCons!$B$4:$B$10000="var_cap")*1, (ISNUMBER(SEARCH("RH*-WHPLTBR",[2]OUT_FinalEnergyCons!$A$4:$A$10000)))*1,[2]OUT_FinalEnergyCons!J$4:J$10000)</f>
        <v>8.0870467592613813E-4</v>
      </c>
      <c r="N1857" s="1"/>
    </row>
    <row r="1858" spans="2:14" x14ac:dyDescent="0.35">
      <c r="B1858" s="5" t="str">
        <f t="shared" ref="B1858:C1858" si="1970">B1857</f>
        <v>SPS1</v>
      </c>
      <c r="C1858" s="5" t="str">
        <f t="shared" si="1970"/>
        <v>CH</v>
      </c>
      <c r="D1858" t="s">
        <v>1894</v>
      </c>
      <c r="E1858" t="str">
        <f t="shared" si="1896"/>
        <v>GWth/yr.</v>
      </c>
      <c r="F1858" s="1">
        <f>F1859</f>
        <v>0.25000991745774798</v>
      </c>
      <c r="G1858" s="1">
        <f t="shared" ref="G1858" si="1971">G1859</f>
        <v>0.33410592365409292</v>
      </c>
      <c r="H1858" s="1">
        <f t="shared" ref="H1858" si="1972">H1859</f>
        <v>0.334106877860953</v>
      </c>
      <c r="I1858" s="1">
        <f t="shared" ref="I1858" si="1973">I1859</f>
        <v>0.3773671885350976</v>
      </c>
      <c r="J1858" s="1">
        <f t="shared" ref="J1858" si="1974">J1859</f>
        <v>0.48009822436546501</v>
      </c>
      <c r="K1858" s="1">
        <f t="shared" ref="K1858:L1858" si="1975">K1859</f>
        <v>0.613667475642655</v>
      </c>
      <c r="L1858" s="1">
        <f t="shared" si="1975"/>
        <v>0.73761448222300474</v>
      </c>
      <c r="N1858" s="1"/>
    </row>
    <row r="1859" spans="2:14" x14ac:dyDescent="0.35">
      <c r="B1859" s="5" t="str">
        <f t="shared" ref="B1859:C1859" si="1976">B1858</f>
        <v>SPS1</v>
      </c>
      <c r="C1859" s="5" t="str">
        <f t="shared" si="1976"/>
        <v>CH</v>
      </c>
      <c r="D1859" t="s">
        <v>1895</v>
      </c>
      <c r="E1859" t="str">
        <f t="shared" si="189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SUMPRODUCT(([2]OUT_FinalEnergyCons!$B$4:$B$10000="var_cap")*1, (ISNUMBER(SEARCH("RH*-WHSOLBR",[2]OUT_FinalEnergyCons!$A$4:$A$10000)))*1,[2]OUT_FinalEnergyCons!H$4:H$10000)</f>
        <v>0.48009822436546501</v>
      </c>
      <c r="K1859" s="1" cm="1">
        <f t="array" ref="K1859">SUMPRODUCT(([2]OUT_FinalEnergyCons!$B$4:$B$10000="var_cap")*1, (ISNUMBER(SEARCH("RH*-WHSOLBR",[2]OUT_FinalEnergyCons!$A$4:$A$10000)))*1,[2]OUT_FinalEnergyCons!I$4:I$10000)</f>
        <v>0.613667475642655</v>
      </c>
      <c r="L1859" s="1" cm="1">
        <f t="array" ref="L1859">SUMPRODUCT(([2]OUT_FinalEnergyCons!$B$4:$B$10000="var_cap")*1, (ISNUMBER(SEARCH("RH*-WHSOLBR",[2]OUT_FinalEnergyCons!$A$4:$A$10000)))*1,[2]OUT_FinalEnergyCons!J$4:J$10000)</f>
        <v>0.73761448222300474</v>
      </c>
      <c r="N1859" s="1"/>
    </row>
    <row r="1860" spans="2:14" x14ac:dyDescent="0.35">
      <c r="B1860" s="5" t="str">
        <f t="shared" ref="B1860:C1860" si="1977">B1859</f>
        <v>SPS1</v>
      </c>
      <c r="C1860" s="5" t="str">
        <f t="shared" si="1977"/>
        <v>CH</v>
      </c>
      <c r="D1860" t="s">
        <v>1896</v>
      </c>
      <c r="E1860" t="str">
        <f t="shared" si="1896"/>
        <v>GWth/yr.</v>
      </c>
      <c r="F1860" s="1">
        <f>F1861</f>
        <v>0</v>
      </c>
      <c r="G1860" s="1">
        <f t="shared" ref="G1860" si="1978">G1861</f>
        <v>0</v>
      </c>
      <c r="H1860" s="1">
        <f t="shared" ref="H1860" si="1979">H1861</f>
        <v>0</v>
      </c>
      <c r="I1860" s="1">
        <f t="shared" ref="I1860" si="1980">I1861</f>
        <v>0</v>
      </c>
      <c r="J1860" s="1">
        <f t="shared" ref="J1860" si="1981">J1861</f>
        <v>0</v>
      </c>
      <c r="K1860" s="1">
        <f t="shared" ref="K1860:L1860" si="1982">K1861</f>
        <v>0</v>
      </c>
      <c r="L1860" s="1">
        <f t="shared" si="1982"/>
        <v>0</v>
      </c>
      <c r="N1860" s="1"/>
    </row>
    <row r="1861" spans="2:14" x14ac:dyDescent="0.35">
      <c r="B1861" s="5" t="str">
        <f t="shared" ref="B1861:C1865" si="1983">B1860</f>
        <v>SPS1</v>
      </c>
      <c r="C1861" s="5" t="str">
        <f t="shared" si="1983"/>
        <v>CH</v>
      </c>
      <c r="D1861" t="s">
        <v>1897</v>
      </c>
      <c r="E1861" t="str">
        <f t="shared" si="189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3"/>
        <v>SPS1</v>
      </c>
      <c r="C1862" s="9" t="str">
        <f t="shared" si="1983"/>
        <v>CH</v>
      </c>
      <c r="D1862" s="2" t="s">
        <v>1899</v>
      </c>
      <c r="E1862" s="9" t="str">
        <f t="shared" si="1896"/>
        <v>GWth/yr.</v>
      </c>
      <c r="F1862" s="17">
        <f>SUM(F1863,F1866,F1869,F1873,F1875,F1877,F1879,F1881,F1883)</f>
        <v>3.6022039323296173</v>
      </c>
      <c r="G1862" s="17">
        <f t="shared" ref="G1862:K1862" si="1984">SUM(G1863,G1866,G1869,G1873,G1875,G1877,G1879,G1881,G1883)</f>
        <v>3.8316344976775234</v>
      </c>
      <c r="H1862" s="17">
        <f t="shared" si="1984"/>
        <v>3.6566072949549806</v>
      </c>
      <c r="I1862" s="17">
        <f t="shared" si="1984"/>
        <v>3.6909841948815152</v>
      </c>
      <c r="J1862" s="17">
        <f t="shared" si="1984"/>
        <v>3.2728825457704516</v>
      </c>
      <c r="K1862" s="17">
        <f t="shared" si="1984"/>
        <v>2.9995712196710191</v>
      </c>
      <c r="L1862" s="17">
        <f t="shared" ref="L1862" si="1985">SUM(L1863,L1866,L1869,L1873,L1875,L1877,L1879,L1881,L1883)</f>
        <v>2.8845196463332274</v>
      </c>
      <c r="N1862" s="1"/>
    </row>
    <row r="1863" spans="2:14" x14ac:dyDescent="0.35">
      <c r="B1863" s="5" t="str">
        <f>B1862</f>
        <v>SPS1</v>
      </c>
      <c r="C1863" s="5" t="str">
        <f t="shared" si="1983"/>
        <v>CH</v>
      </c>
      <c r="D1863" t="s">
        <v>2093</v>
      </c>
      <c r="E1863" t="str">
        <f t="shared" si="1896"/>
        <v>GWth/yr.</v>
      </c>
      <c r="F1863" s="18">
        <f>SUM(F1864:F1865)</f>
        <v>0.61671309762324311</v>
      </c>
      <c r="G1863" s="18">
        <f t="shared" ref="G1863:K1863" si="1986">SUM(G1864:G1865)</f>
        <v>0.83156231510858136</v>
      </c>
      <c r="H1863" s="18">
        <f t="shared" si="1986"/>
        <v>0.83251386016649154</v>
      </c>
      <c r="I1863" s="18">
        <f t="shared" si="1986"/>
        <v>0.95046077636702531</v>
      </c>
      <c r="J1863" s="18">
        <f t="shared" si="1986"/>
        <v>1.2093235416020933</v>
      </c>
      <c r="K1863" s="18">
        <f t="shared" si="1986"/>
        <v>1.1741605028301227</v>
      </c>
      <c r="L1863" s="18">
        <f t="shared" ref="L1863" si="1987">SUM(L1864:L1865)</f>
        <v>1.3044225556607856</v>
      </c>
      <c r="N1863" s="1"/>
    </row>
    <row r="1864" spans="2:14" x14ac:dyDescent="0.35">
      <c r="B1864" s="5" t="str">
        <f t="shared" ref="B1864:B1865" si="1988">B1863</f>
        <v>SPS1</v>
      </c>
      <c r="C1864" s="5" t="str">
        <f t="shared" si="1983"/>
        <v>CH</v>
      </c>
      <c r="D1864" t="s">
        <v>2094</v>
      </c>
      <c r="E1864" t="str">
        <f t="shared" si="189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SUMPRODUCT(([2]OUT_FinalEnergyCons!$B$4:$B$10000="Var_cap")*1,  (ISNUMBER(SEARCH("ITOT-SWHELCBR",[2]OUT_FinalEnergyCons!$A$4:$A$10000)))*1,[2]OUT_FinalEnergyCons!H$4:H$10000)</f>
        <v>0.82236291761040148</v>
      </c>
      <c r="K1864" s="1" cm="1">
        <f t="array" ref="K1864">SUMPRODUCT(([2]OUT_FinalEnergyCons!$B$4:$B$10000="Var_cap")*1,  (ISNUMBER(SEARCH("ITOT-SWHELCBR",[2]OUT_FinalEnergyCons!$A$4:$A$10000)))*1,[2]OUT_FinalEnergyCons!I$4:I$10000)</f>
        <v>0.78733384637798165</v>
      </c>
      <c r="L1864" s="1" cm="1">
        <f t="array" ref="L1864">SUMPRODUCT(([2]OUT_FinalEnergyCons!$B$4:$B$10000="Var_cap")*1,  (ISNUMBER(SEARCH("ITOT-SWHELCBR",[2]OUT_FinalEnergyCons!$A$4:$A$10000)))*1,[2]OUT_FinalEnergyCons!J$4:J$10000)</f>
        <v>0.91531287834526165</v>
      </c>
      <c r="N1864" s="1"/>
    </row>
    <row r="1865" spans="2:14" x14ac:dyDescent="0.35">
      <c r="B1865" s="5" t="str">
        <f t="shared" si="1988"/>
        <v>SPS1</v>
      </c>
      <c r="C1865" s="5" t="str">
        <f t="shared" si="1983"/>
        <v>CH</v>
      </c>
      <c r="D1865" t="s">
        <v>2095</v>
      </c>
      <c r="E1865" t="str">
        <f t="shared" si="189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SUMPRODUCT(([2]OUT_FinalEnergyCons!$B$4:$B$10000="Var_cap")*1,  (ISNUMBER(SEARCH("ITOT-SWHELCHP",[2]OUT_FinalEnergyCons!$A$4:$A$10000)))*1,[2]OUT_FinalEnergyCons!H$4:H$10000)</f>
        <v>0.38696062399169173</v>
      </c>
      <c r="K1865" s="1" cm="1">
        <f t="array" ref="K1865">SUMPRODUCT(([2]OUT_FinalEnergyCons!$B$4:$B$10000="Var_cap")*1,  (ISNUMBER(SEARCH("ITOT-SWHELCHP",[2]OUT_FinalEnergyCons!$A$4:$A$10000)))*1,[2]OUT_FinalEnergyCons!I$4:I$10000)</f>
        <v>0.38682665645214109</v>
      </c>
      <c r="L1865" s="1" cm="1">
        <f t="array" ref="L1865">SUMPRODUCT(([2]OUT_FinalEnergyCons!$B$4:$B$10000="Var_cap")*1,  (ISNUMBER(SEARCH("ITOT-SWHELCHP",[2]OUT_FinalEnergyCons!$A$4:$A$10000)))*1,[2]OUT_FinalEnergyCons!J$4:J$10000)</f>
        <v>0.38910967731552404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96"/>
        <v>GWth/yr.</v>
      </c>
      <c r="F1866" s="18">
        <f>SUM(F1867:F1868)</f>
        <v>0.47912462638024783</v>
      </c>
      <c r="G1866" s="18">
        <f t="shared" ref="G1866:K1866" si="1989">SUM(G1867:G1868)</f>
        <v>0.49159687745562064</v>
      </c>
      <c r="H1866" s="18">
        <f t="shared" si="1989"/>
        <v>0.38911132380376556</v>
      </c>
      <c r="I1866" s="18">
        <f t="shared" si="1989"/>
        <v>0.38763170861114504</v>
      </c>
      <c r="J1866" s="18">
        <f t="shared" si="1989"/>
        <v>0.29227381405950076</v>
      </c>
      <c r="K1866" s="18">
        <f t="shared" si="1989"/>
        <v>0.15539008906549062</v>
      </c>
      <c r="L1866" s="18">
        <f t="shared" ref="L1866" si="1990">SUM(L1867:L1868)</f>
        <v>3.0600969717397293E-2</v>
      </c>
      <c r="N1866" s="1"/>
    </row>
    <row r="1867" spans="2:14" x14ac:dyDescent="0.35">
      <c r="B1867" s="5" t="str">
        <f t="shared" ref="B1867:B1884" si="1991">B1866</f>
        <v>SPS1</v>
      </c>
      <c r="C1867" s="5" t="str">
        <f t="shared" ref="C1867:C1884" si="1992">C1866</f>
        <v>CH</v>
      </c>
      <c r="D1867" t="s">
        <v>2097</v>
      </c>
      <c r="E1867" t="str">
        <f t="shared" si="189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SUMPRODUCT(([2]OUT_FinalEnergyCons!$B$4:$B$10000="Var_cap")*1,  (ISNUMBER(SEARCH("ITOT-SWHLFOBR",[2]OUT_FinalEnergyCons!$A$4:$A$10000)))*1,[2]OUT_FinalEnergyCons!H$4:H$10000)</f>
        <v>0.2922448577281242</v>
      </c>
      <c r="K1867" s="1" cm="1">
        <f t="array" ref="K1867">SUMPRODUCT(([2]OUT_FinalEnergyCons!$B$4:$B$10000="Var_cap")*1,  (ISNUMBER(SEARCH("ITOT-SWHLFOBR",[2]OUT_FinalEnergyCons!$A$4:$A$10000)))*1,[2]OUT_FinalEnergyCons!I$4:I$10000)</f>
        <v>0.1553897302630747</v>
      </c>
      <c r="L1867" s="1" cm="1">
        <f t="array" ref="L1867">SUMPRODUCT(([2]OUT_FinalEnergyCons!$B$4:$B$10000="Var_cap")*1,  (ISNUMBER(SEARCH("ITOT-SWHLFOBR",[2]OUT_FinalEnergyCons!$A$4:$A$10000)))*1,[2]OUT_FinalEnergyCons!J$4:J$10000)</f>
        <v>3.0600969717397293E-2</v>
      </c>
      <c r="N1867" s="1"/>
    </row>
    <row r="1868" spans="2:14" x14ac:dyDescent="0.35">
      <c r="B1868" s="5" t="str">
        <f t="shared" si="1991"/>
        <v>SPS1</v>
      </c>
      <c r="C1868" s="5" t="str">
        <f t="shared" si="1992"/>
        <v>CH</v>
      </c>
      <c r="D1868" t="s">
        <v>2098</v>
      </c>
      <c r="E1868" t="str">
        <f t="shared" si="189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2.8956331376586014E-5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3.5880241590879587E-7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1"/>
        <v>SPS1</v>
      </c>
      <c r="C1869" s="5" t="str">
        <f t="shared" si="1992"/>
        <v>CH</v>
      </c>
      <c r="D1869" t="s">
        <v>2099</v>
      </c>
      <c r="E1869" t="str">
        <f t="shared" si="1896"/>
        <v>GWth/yr.</v>
      </c>
      <c r="F1869" s="18">
        <f>SUM(F1870:F1871)</f>
        <v>1.556581895256</v>
      </c>
      <c r="G1869" s="18">
        <f t="shared" ref="G1869:K1869" si="1993">SUM(G1870:G1871)</f>
        <v>1.5566706159375132</v>
      </c>
      <c r="H1869" s="18">
        <f t="shared" si="1993"/>
        <v>1.5572549797601978</v>
      </c>
      <c r="I1869" s="18">
        <f t="shared" si="1993"/>
        <v>1.5481835185181825</v>
      </c>
      <c r="J1869" s="18">
        <f t="shared" si="1993"/>
        <v>0.6595376984002238</v>
      </c>
      <c r="K1869" s="18">
        <f t="shared" si="1993"/>
        <v>0.20924713657172017</v>
      </c>
      <c r="L1869" s="18">
        <f t="shared" ref="L1869" si="1994">SUM(L1870:L1871)</f>
        <v>0.11927152767394102</v>
      </c>
      <c r="N1869" s="1"/>
    </row>
    <row r="1870" spans="2:14" x14ac:dyDescent="0.35">
      <c r="B1870" s="5" t="str">
        <f t="shared" si="1991"/>
        <v>SPS1</v>
      </c>
      <c r="C1870" s="5" t="str">
        <f t="shared" si="1992"/>
        <v>CH</v>
      </c>
      <c r="D1870" t="s">
        <v>2100</v>
      </c>
      <c r="E1870" t="str">
        <f t="shared" si="189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SUMPRODUCT(([2]OUT_FinalEnergyCons!$B$4:$B$10000="Var_cap")*1,  (ISNUMBER(SEARCH("ITOT-SWHNGA*BR",[2]OUT_FinalEnergyCons!$A$4:$A$10000)))*1,[2]OUT_FinalEnergyCons!H$4:H$10000)</f>
        <v>0.6593790000285884</v>
      </c>
      <c r="K1870" s="1" cm="1">
        <f t="array" ref="K1870">SUMPRODUCT(([2]OUT_FinalEnergyCons!$B$4:$B$10000="Var_cap")*1,  (ISNUMBER(SEARCH("ITOT-SWHNGA*BR",[2]OUT_FinalEnergyCons!$A$4:$A$10000)))*1,[2]OUT_FinalEnergyCons!I$4:I$10000)</f>
        <v>0.20918807602749834</v>
      </c>
      <c r="L1870" s="1" cm="1">
        <f t="array" ref="L1870">SUMPRODUCT(([2]OUT_FinalEnergyCons!$B$4:$B$10000="Var_cap")*1,  (ISNUMBER(SEARCH("ITOT-SWHNGA*BR",[2]OUT_FinalEnergyCons!$A$4:$A$10000)))*1,[2]OUT_FinalEnergyCons!J$4:J$10000)</f>
        <v>0.1183432993029557</v>
      </c>
      <c r="N1870" s="1"/>
    </row>
    <row r="1871" spans="2:14" x14ac:dyDescent="0.35">
      <c r="B1871" s="5" t="str">
        <f t="shared" si="1991"/>
        <v>SPS1</v>
      </c>
      <c r="C1871" s="5" t="str">
        <f t="shared" si="1992"/>
        <v>CH</v>
      </c>
      <c r="D1871" t="s">
        <v>2101</v>
      </c>
      <c r="E1871" t="str">
        <f t="shared" si="189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SUMPRODUCT(([2]OUT_FinalEnergyCons!$B$4:$B$10000="Var_cap")*1,  (ISNUMBER(SEARCH("ITOT-SWHNGAHP",[2]OUT_FinalEnergyCons!$A$4:$A$10000)))*1,[2]OUT_FinalEnergyCons!H$4:H$10000)</f>
        <v>1.5869837163540049E-4</v>
      </c>
      <c r="K1871" s="1" cm="1">
        <f t="array" ref="K1871">SUMPRODUCT(([2]OUT_FinalEnergyCons!$B$4:$B$10000="Var_cap")*1,  (ISNUMBER(SEARCH("ITOT-SWHNGAHP",[2]OUT_FinalEnergyCons!$A$4:$A$10000)))*1,[2]OUT_FinalEnergyCons!I$4:I$10000)</f>
        <v>5.9060544221822555E-5</v>
      </c>
      <c r="L1871" s="1" cm="1">
        <f t="array" ref="L1871">SUMPRODUCT(([2]OUT_FinalEnergyCons!$B$4:$B$10000="Var_cap")*1,  (ISNUMBER(SEARCH("ITOT-SWHNGAHP",[2]OUT_FinalEnergyCons!$A$4:$A$10000)))*1,[2]OUT_FinalEnergyCons!J$4:J$10000)</f>
        <v>9.2822837098531117E-4</v>
      </c>
      <c r="N1871" s="1"/>
    </row>
    <row r="1872" spans="2:14" x14ac:dyDescent="0.35">
      <c r="B1872" s="5" t="str">
        <f t="shared" si="1991"/>
        <v>SPS1</v>
      </c>
      <c r="C1872" s="5" t="str">
        <f t="shared" si="1992"/>
        <v>CH</v>
      </c>
      <c r="D1872" t="s">
        <v>2102</v>
      </c>
      <c r="E1872" t="str">
        <f t="shared" si="189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9.4479706993696955E-2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7.0875784014325163E-2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9.0772291609264297E-2</v>
      </c>
      <c r="N1872" s="1"/>
    </row>
    <row r="1873" spans="2:14" x14ac:dyDescent="0.35">
      <c r="B1873" s="5" t="str">
        <f t="shared" si="1991"/>
        <v>SPS1</v>
      </c>
      <c r="C1873" s="5" t="str">
        <f t="shared" si="1992"/>
        <v>CH</v>
      </c>
      <c r="D1873" t="s">
        <v>2103</v>
      </c>
      <c r="E1873" t="str">
        <f t="shared" si="1896"/>
        <v>GWth/yr.</v>
      </c>
      <c r="F1873" s="1">
        <f>F1874</f>
        <v>0.26172155007150499</v>
      </c>
      <c r="G1873" s="1">
        <f t="shared" ref="G1873:L1873" si="1995">G1874</f>
        <v>0.14703309164784678</v>
      </c>
      <c r="H1873" s="1">
        <f t="shared" si="1995"/>
        <v>7.2903208906085898E-2</v>
      </c>
      <c r="I1873" s="1">
        <f t="shared" si="1995"/>
        <v>2.8088873838594264E-5</v>
      </c>
      <c r="J1873" s="1">
        <f t="shared" si="1995"/>
        <v>2.0476435825853012E-5</v>
      </c>
      <c r="K1873" s="1">
        <f t="shared" si="1995"/>
        <v>1.2568969501579961E-7</v>
      </c>
      <c r="L1873" s="1">
        <f t="shared" si="1995"/>
        <v>1.072443077374813E-5</v>
      </c>
      <c r="N1873" s="1"/>
    </row>
    <row r="1874" spans="2:14" x14ac:dyDescent="0.35">
      <c r="B1874" s="5" t="str">
        <f t="shared" si="1991"/>
        <v>SPS1</v>
      </c>
      <c r="C1874" s="5" t="str">
        <f t="shared" si="1992"/>
        <v>CH</v>
      </c>
      <c r="D1874" t="s">
        <v>2104</v>
      </c>
      <c r="E1874" t="str">
        <f t="shared" si="189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SUMPRODUCT(([2]OUT_FinalEnergyCons!$B$4:$B$10000="Var_cap")*1,  (ISNUMBER(SEARCH("ITOT-SWHCOA*BR",[2]OUT_FinalEnergyCons!$A$4:$A$10000)))*1,[2]OUT_FinalEnergyCons!H$4:H$10000)</f>
        <v>2.0476435825853012E-5</v>
      </c>
      <c r="K1874" s="1" cm="1">
        <f t="array" ref="K1874">SUMPRODUCT(([2]OUT_FinalEnergyCons!$B$4:$B$10000="Var_cap")*1,  (ISNUMBER(SEARCH("ITOT-SWHCOA*BR",[2]OUT_FinalEnergyCons!$A$4:$A$10000)))*1,[2]OUT_FinalEnergyCons!I$4:I$10000)</f>
        <v>1.2568969501579961E-7</v>
      </c>
      <c r="L1874" s="1" cm="1">
        <f t="array" ref="L1874">SUMPRODUCT(([2]OUT_FinalEnergyCons!$B$4:$B$10000="Var_cap")*1,  (ISNUMBER(SEARCH("ITOT-SWHCOA*BR",[2]OUT_FinalEnergyCons!$A$4:$A$10000)))*1,[2]OUT_FinalEnergyCons!J$4:J$10000)</f>
        <v>1.072443077374813E-5</v>
      </c>
      <c r="N1874" s="1"/>
    </row>
    <row r="1875" spans="2:14" x14ac:dyDescent="0.35">
      <c r="B1875" s="5" t="str">
        <f t="shared" si="1991"/>
        <v>SPS1</v>
      </c>
      <c r="C1875" s="5" t="str">
        <f t="shared" si="1992"/>
        <v>CH</v>
      </c>
      <c r="D1875" t="s">
        <v>2105</v>
      </c>
      <c r="E1875" t="str">
        <f t="shared" si="1896"/>
        <v>GWth/yr.</v>
      </c>
      <c r="F1875" s="1">
        <f>F1876</f>
        <v>0.28883369534761499</v>
      </c>
      <c r="G1875" s="1">
        <f t="shared" ref="G1875:L1875" si="1996">G1876</f>
        <v>0.3414854681706227</v>
      </c>
      <c r="H1875" s="1">
        <f t="shared" si="1996"/>
        <v>0.34148869623416606</v>
      </c>
      <c r="I1875" s="1">
        <f t="shared" si="1996"/>
        <v>0.34140854971334128</v>
      </c>
      <c r="J1875" s="1">
        <f t="shared" si="1996"/>
        <v>0.35856084885860051</v>
      </c>
      <c r="K1875" s="1">
        <f t="shared" si="1996"/>
        <v>0.3439087643091191</v>
      </c>
      <c r="L1875" s="1">
        <f t="shared" si="1996"/>
        <v>0.41698281570043</v>
      </c>
      <c r="N1875" s="1"/>
    </row>
    <row r="1876" spans="2:14" x14ac:dyDescent="0.35">
      <c r="B1876" s="5" t="str">
        <f t="shared" si="1991"/>
        <v>SPS1</v>
      </c>
      <c r="C1876" s="5" t="str">
        <f t="shared" si="1992"/>
        <v>CH</v>
      </c>
      <c r="D1876" t="s">
        <v>2106</v>
      </c>
      <c r="E1876" t="str">
        <f t="shared" si="189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SUMPRODUCT(([2]OUT_FinalEnergyCons!$B$4:$B$10000="Var_cap")*1,  (ISNUMBER(SEARCH("ITOT-SWHWOD*BR",[2]OUT_FinalEnergyCons!$A$4:$A$10000)))*1,[2]OUT_FinalEnergyCons!H$4:H$10000)</f>
        <v>0.35856084885860051</v>
      </c>
      <c r="K1876" s="1" cm="1">
        <f t="array" ref="K1876">SUMPRODUCT(([2]OUT_FinalEnergyCons!$B$4:$B$10000="Var_cap")*1,  (ISNUMBER(SEARCH("ITOT-SWHWOD*BR",[2]OUT_FinalEnergyCons!$A$4:$A$10000)))*1,[2]OUT_FinalEnergyCons!I$4:I$10000)</f>
        <v>0.3439087643091191</v>
      </c>
      <c r="L1876" s="1" cm="1">
        <f t="array" ref="L1876">SUMPRODUCT(([2]OUT_FinalEnergyCons!$B$4:$B$10000="Var_cap")*1,  (ISNUMBER(SEARCH("ITOT-SWHWOD*BR",[2]OUT_FinalEnergyCons!$A$4:$A$10000)))*1,[2]OUT_FinalEnergyCons!J$4:J$10000)</f>
        <v>0.41698281570043</v>
      </c>
      <c r="N1876" s="1"/>
    </row>
    <row r="1877" spans="2:14" x14ac:dyDescent="0.35">
      <c r="B1877" s="5" t="str">
        <f t="shared" si="1991"/>
        <v>SPS1</v>
      </c>
      <c r="C1877" s="5" t="str">
        <f t="shared" si="1992"/>
        <v>CH</v>
      </c>
      <c r="D1877" t="s">
        <v>2107</v>
      </c>
      <c r="E1877" t="str">
        <f t="shared" si="1896"/>
        <v>GWth/yr.</v>
      </c>
      <c r="F1877" s="1">
        <f>F1878</f>
        <v>2.9860759506449799E-2</v>
      </c>
      <c r="G1877" s="1">
        <f t="shared" ref="G1877:L1877" si="1997">G1878</f>
        <v>3.8038457207903387E-2</v>
      </c>
      <c r="H1877" s="1">
        <f t="shared" si="1997"/>
        <v>3.8071170053019805E-2</v>
      </c>
      <c r="I1877" s="1">
        <f t="shared" si="1997"/>
        <v>3.8050179719926282E-2</v>
      </c>
      <c r="J1877" s="1">
        <f t="shared" si="1997"/>
        <v>3.2185033701649379E-2</v>
      </c>
      <c r="K1877" s="1">
        <f t="shared" si="1997"/>
        <v>3.6765104545181414E-2</v>
      </c>
      <c r="L1877" s="1">
        <f t="shared" si="1997"/>
        <v>3.9416452727057051E-2</v>
      </c>
      <c r="N1877" s="1"/>
    </row>
    <row r="1878" spans="2:14" x14ac:dyDescent="0.35">
      <c r="B1878" s="5" t="str">
        <f t="shared" si="1991"/>
        <v>SPS1</v>
      </c>
      <c r="C1878" s="5" t="str">
        <f t="shared" si="1992"/>
        <v>CH</v>
      </c>
      <c r="D1878" t="s">
        <v>2108</v>
      </c>
      <c r="E1878" t="str">
        <f t="shared" si="189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SUMPRODUCT(([2]OUT_FinalEnergyCons!$B$4:$B$10000="Var_cap")*1,  (ISNUMBER(SEARCH("ITOT-SWHPLT*BR",[2]OUT_FinalEnergyCons!$A$4:$A$10000)))*1,[2]OUT_FinalEnergyCons!H$4:H$10000)</f>
        <v>3.2185033701649379E-2</v>
      </c>
      <c r="K1878" s="1" cm="1">
        <f t="array" ref="K1878">SUMPRODUCT(([2]OUT_FinalEnergyCons!$B$4:$B$10000="Var_cap")*1,  (ISNUMBER(SEARCH("ITOT-SWHPLT*BR",[2]OUT_FinalEnergyCons!$A$4:$A$10000)))*1,[2]OUT_FinalEnergyCons!I$4:I$10000)</f>
        <v>3.6765104545181414E-2</v>
      </c>
      <c r="L1878" s="1" cm="1">
        <f t="array" ref="L1878">SUMPRODUCT(([2]OUT_FinalEnergyCons!$B$4:$B$10000="Var_cap")*1,  (ISNUMBER(SEARCH("ITOT-SWHPLT*BR",[2]OUT_FinalEnergyCons!$A$4:$A$10000)))*1,[2]OUT_FinalEnergyCons!J$4:J$10000)</f>
        <v>3.9416452727057051E-2</v>
      </c>
      <c r="N1878" s="1"/>
    </row>
    <row r="1879" spans="2:14" x14ac:dyDescent="0.35">
      <c r="B1879" s="5" t="str">
        <f t="shared" si="1991"/>
        <v>SPS1</v>
      </c>
      <c r="C1879" s="5" t="str">
        <f t="shared" si="1992"/>
        <v>CH</v>
      </c>
      <c r="D1879" t="s">
        <v>2109</v>
      </c>
      <c r="E1879" t="str">
        <f t="shared" si="1896"/>
        <v>GWth/yr.</v>
      </c>
      <c r="F1879" s="1">
        <f>F1880</f>
        <v>0.35954682816669398</v>
      </c>
      <c r="G1879" s="1">
        <f t="shared" ref="G1879:L1879" si="1998">G1880</f>
        <v>0.35953171187081651</v>
      </c>
      <c r="H1879" s="1">
        <f t="shared" si="1998"/>
        <v>0.35954795364291314</v>
      </c>
      <c r="I1879" s="1">
        <f t="shared" si="1998"/>
        <v>0.35950507365335432</v>
      </c>
      <c r="J1879" s="1">
        <f t="shared" si="1998"/>
        <v>0.36824815984429365</v>
      </c>
      <c r="K1879" s="1">
        <f t="shared" si="1998"/>
        <v>0.27622216646907749</v>
      </c>
      <c r="L1879" s="1">
        <f t="shared" si="1998"/>
        <v>0.200040801653671</v>
      </c>
      <c r="N1879" s="1"/>
    </row>
    <row r="1880" spans="2:14" x14ac:dyDescent="0.35">
      <c r="B1880" s="5" t="str">
        <f t="shared" si="1991"/>
        <v>SPS1</v>
      </c>
      <c r="C1880" s="5" t="str">
        <f t="shared" si="1992"/>
        <v>CH</v>
      </c>
      <c r="D1880" t="s">
        <v>2110</v>
      </c>
      <c r="E1880" t="str">
        <f t="shared" si="189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SUMPRODUCT(([2]OUT_FinalEnergyCons!$B$4:$B$10000="Var_cap")*1,  (ISNUMBER(SEARCH("ITOT-SWHWST*BR",[2]OUT_FinalEnergyCons!$A$4:$A$10000)))*1,[2]OUT_FinalEnergyCons!H$4:H$10000)</f>
        <v>0.36824815984429365</v>
      </c>
      <c r="K1880" s="1" cm="1">
        <f t="array" ref="K1880">SUMPRODUCT(([2]OUT_FinalEnergyCons!$B$4:$B$10000="Var_cap")*1,  (ISNUMBER(SEARCH("ITOT-SWHWST*BR",[2]OUT_FinalEnergyCons!$A$4:$A$10000)))*1,[2]OUT_FinalEnergyCons!I$4:I$10000)</f>
        <v>0.27622216646907749</v>
      </c>
      <c r="L1880" s="1" cm="1">
        <f t="array" ref="L1880">SUMPRODUCT(([2]OUT_FinalEnergyCons!$B$4:$B$10000="Var_cap")*1,  (ISNUMBER(SEARCH("ITOT-SWHWST*BR",[2]OUT_FinalEnergyCons!$A$4:$A$10000)))*1,[2]OUT_FinalEnergyCons!J$4:J$10000)</f>
        <v>0.200040801653671</v>
      </c>
      <c r="N1880" s="1"/>
    </row>
    <row r="1881" spans="2:14" x14ac:dyDescent="0.35">
      <c r="B1881" s="5" t="str">
        <f t="shared" si="1991"/>
        <v>SPS1</v>
      </c>
      <c r="C1881" s="5" t="str">
        <f t="shared" si="1992"/>
        <v>CH</v>
      </c>
      <c r="D1881" t="s">
        <v>2111</v>
      </c>
      <c r="E1881" t="str">
        <f t="shared" si="1896"/>
        <v>GWth/yr.</v>
      </c>
      <c r="F1881" s="1">
        <f>F1882</f>
        <v>9.8214799778629808E-3</v>
      </c>
      <c r="G1881" s="1">
        <f t="shared" ref="G1881:L1881" si="1999">G1882</f>
        <v>6.5715960278618687E-2</v>
      </c>
      <c r="H1881" s="1">
        <f t="shared" si="1999"/>
        <v>6.571610238834108E-2</v>
      </c>
      <c r="I1881" s="1">
        <f t="shared" si="1999"/>
        <v>6.571629942470178E-2</v>
      </c>
      <c r="J1881" s="1">
        <f t="shared" si="1999"/>
        <v>0.32866908501671555</v>
      </c>
      <c r="K1881" s="1">
        <f t="shared" si="1999"/>
        <v>0.32866828090919797</v>
      </c>
      <c r="L1881" s="1">
        <f t="shared" si="1999"/>
        <v>0.32866799842703998</v>
      </c>
      <c r="N1881" s="1"/>
    </row>
    <row r="1882" spans="2:14" x14ac:dyDescent="0.35">
      <c r="B1882" s="5" t="str">
        <f t="shared" si="1991"/>
        <v>SPS1</v>
      </c>
      <c r="C1882" s="5" t="str">
        <f t="shared" si="1992"/>
        <v>CH</v>
      </c>
      <c r="D1882" t="s">
        <v>2112</v>
      </c>
      <c r="E1882" t="str">
        <f t="shared" si="189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SUMPRODUCT(([2]OUT_FinalEnergyCons!$B$4:$B$10000="Var_cap")*1, (ISNUMBER(SEARCH("ITOT-SWHSOLBR",[2]OUT_FinalEnergyCons!$A$4:$A$10000)))*1,[2]OUT_FinalEnergyCons!H$4:H$10000)</f>
        <v>0.32866908501671555</v>
      </c>
      <c r="K1882" s="1" cm="1">
        <f t="array" ref="K1882">SUMPRODUCT(([2]OUT_FinalEnergyCons!$B$4:$B$10000="Var_cap")*1, (ISNUMBER(SEARCH("ITOT-SWHSOLBR",[2]OUT_FinalEnergyCons!$A$4:$A$10000)))*1,[2]OUT_FinalEnergyCons!I$4:I$10000)</f>
        <v>0.32866828090919797</v>
      </c>
      <c r="L1882" s="1" cm="1">
        <f t="array" ref="L1882">SUMPRODUCT(([2]OUT_FinalEnergyCons!$B$4:$B$10000="Var_cap")*1, (ISNUMBER(SEARCH("ITOT-SWHSOLBR",[2]OUT_FinalEnergyCons!$A$4:$A$10000)))*1,[2]OUT_FinalEnergyCons!J$4:J$10000)</f>
        <v>0.32866799842703998</v>
      </c>
      <c r="N1882" s="1"/>
    </row>
    <row r="1883" spans="2:14" x14ac:dyDescent="0.35">
      <c r="B1883" s="5" t="str">
        <f t="shared" si="1991"/>
        <v>SPS1</v>
      </c>
      <c r="C1883" s="5" t="str">
        <f t="shared" si="1992"/>
        <v>CH</v>
      </c>
      <c r="D1883" t="s">
        <v>2113</v>
      </c>
      <c r="E1883" t="str">
        <f t="shared" si="1896"/>
        <v>GWth/yr.</v>
      </c>
      <c r="F1883" s="1">
        <f>F1884</f>
        <v>0</v>
      </c>
      <c r="G1883" s="1">
        <f t="shared" ref="G1883:L1883" si="2000">G1884</f>
        <v>0</v>
      </c>
      <c r="H1883" s="1">
        <f t="shared" si="2000"/>
        <v>0</v>
      </c>
      <c r="I1883" s="1">
        <f t="shared" si="2000"/>
        <v>0</v>
      </c>
      <c r="J1883" s="1">
        <f t="shared" si="2000"/>
        <v>2.4063887851548799E-2</v>
      </c>
      <c r="K1883" s="1">
        <f t="shared" si="2000"/>
        <v>0.4752090492814145</v>
      </c>
      <c r="L1883" s="1">
        <f t="shared" si="2000"/>
        <v>0.4451058003421316</v>
      </c>
      <c r="N1883" s="1"/>
    </row>
    <row r="1884" spans="2:14" x14ac:dyDescent="0.35">
      <c r="B1884" s="5" t="str">
        <f t="shared" si="1991"/>
        <v>SPS1</v>
      </c>
      <c r="C1884" s="5" t="str">
        <f t="shared" si="1992"/>
        <v>CH</v>
      </c>
      <c r="D1884" t="s">
        <v>2114</v>
      </c>
      <c r="E1884" t="str">
        <f t="shared" si="189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2.4063887851548799E-2</v>
      </c>
      <c r="K1884" s="1" cm="1">
        <f t="array" ref="K1884">SUMPRODUCT(([2]OUT_FinalEnergyCons!$B$4:$B$10000="Var_cap")*1, (ISNUMBER(SEARCH("ITOT-SWHH2BR",[2]OUT_FinalEnergyCons!$A$4:$A$10000)))*1,[2]OUT_FinalEnergyCons!I$4:I$10000)</f>
        <v>0.4752090492814145</v>
      </c>
      <c r="L1884" s="1" cm="1">
        <f t="array" ref="L1884">SUMPRODUCT(([2]OUT_FinalEnergyCons!$B$4:$B$10000="Var_cap")*1, (ISNUMBER(SEARCH("ITOT-SWHH2BR",[2]OUT_FinalEnergyCons!$A$4:$A$10000)))*1,[2]OUT_FinalEnergyCons!J$4:J$10000)</f>
        <v>0.4451058003421316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96"/>
        <v>GWth/yr.</v>
      </c>
      <c r="F1885" s="17">
        <f>SUM(F1886,F1889,F1891,F1895,F1897,F1899,F1901)</f>
        <v>6.1442638695108061</v>
      </c>
      <c r="G1885" s="17">
        <f t="shared" ref="G1885:K1885" si="2001">SUM(G1886,G1889,G1891,G1895,G1897,G1899,G1901)</f>
        <v>5.883241163999708</v>
      </c>
      <c r="H1885" s="17">
        <f t="shared" si="2001"/>
        <v>5.0032208327663916</v>
      </c>
      <c r="I1885" s="17">
        <f t="shared" si="2001"/>
        <v>5.7125061014515008</v>
      </c>
      <c r="J1885" s="17">
        <f t="shared" si="2001"/>
        <v>4.7163135351541161</v>
      </c>
      <c r="K1885" s="17">
        <f t="shared" si="2001"/>
        <v>4.7903633449428122</v>
      </c>
      <c r="L1885" s="17">
        <f t="shared" ref="L1885" si="2002">SUM(L1886,L1889,L1891,L1895,L1897,L1899,L1901)</f>
        <v>4.1466238855157798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96"/>
        <v>GWth/yr.</v>
      </c>
      <c r="F1886" s="1">
        <f>SUM(F1887:F1888)</f>
        <v>0.61560958944906208</v>
      </c>
      <c r="G1886" s="1">
        <f t="shared" ref="G1886:K1886" si="2003">SUM(G1887:G1888)</f>
        <v>0.50546784680340928</v>
      </c>
      <c r="H1886" s="1">
        <f t="shared" si="2003"/>
        <v>0.57332147542342238</v>
      </c>
      <c r="I1886" s="1">
        <f t="shared" si="2003"/>
        <v>1.1340569534571969</v>
      </c>
      <c r="J1886" s="1">
        <f t="shared" si="2003"/>
        <v>1.4362885975219055</v>
      </c>
      <c r="K1886" s="1">
        <f t="shared" si="2003"/>
        <v>1.8630278462045355</v>
      </c>
      <c r="L1886" s="1">
        <f t="shared" ref="L1886" si="2004">SUM(L1887:L1888)</f>
        <v>1.7988914487273024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9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SUMPRODUCT(([2]OUT_FinalEnergyCons!$B$4:$B$10000="Var_cap")*1, (ISNUMBER(SEARCH("SCOM-SHELCBR",[2]OUT_FinalEnergyCons!$A$4:$A$10000)))*1,[2]OUT_FinalEnergyCons!H$4:H$10000)</f>
        <v>2.3110624731041501E-2</v>
      </c>
      <c r="K1887" s="1" cm="1">
        <f t="array" ref="K1887">SUMPRODUCT(([2]OUT_FinalEnergyCons!$B$4:$B$10000="Var_cap")*1, (ISNUMBER(SEARCH("SCOM-SHELCBR",[2]OUT_FinalEnergyCons!$A$4:$A$10000)))*1,[2]OUT_FinalEnergyCons!I$4:I$10000)</f>
        <v>2.3914580186135174E-2</v>
      </c>
      <c r="L1887" s="1" cm="1">
        <f t="array" ref="L1887">SUMPRODUCT(([2]OUT_FinalEnergyCons!$B$4:$B$10000="Var_cap")*1, (ISNUMBER(SEARCH("SCOM-SHELCBR",[2]OUT_FinalEnergyCons!$A$4:$A$10000)))*1,[2]OUT_FinalEnergyCons!J$4:J$10000)</f>
        <v>1.3732058843571456E-2</v>
      </c>
      <c r="N1887" s="1"/>
    </row>
    <row r="1888" spans="2:14" x14ac:dyDescent="0.35">
      <c r="B1888" s="5" t="str">
        <f t="shared" ref="B1888:C1888" si="2005">B1887</f>
        <v>SPS1</v>
      </c>
      <c r="C1888" s="5" t="str">
        <f t="shared" si="2005"/>
        <v>CH</v>
      </c>
      <c r="D1888" t="s">
        <v>1903</v>
      </c>
      <c r="E1888" t="str">
        <f t="shared" si="189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SUMPRODUCT(([2]OUT_FinalEnergyCons!$B$4:$B$10000="Var_cap")*1, (ISNUMBER(SEARCH("SCOM-SHELCHP",[2]OUT_FinalEnergyCons!$A$4:$A$10000)))*1,[2]OUT_FinalEnergyCons!H$4:H$10000)</f>
        <v>1.413177972790864</v>
      </c>
      <c r="K1888" s="1" cm="1">
        <f t="array" ref="K1888">SUMPRODUCT(([2]OUT_FinalEnergyCons!$B$4:$B$10000="Var_cap")*1, (ISNUMBER(SEARCH("SCOM-SHELCHP",[2]OUT_FinalEnergyCons!$A$4:$A$10000)))*1,[2]OUT_FinalEnergyCons!I$4:I$10000)</f>
        <v>1.8391132660184004</v>
      </c>
      <c r="L1888" s="1" cm="1">
        <f t="array" ref="L1888">SUMPRODUCT(([2]OUT_FinalEnergyCons!$B$4:$B$10000="Var_cap")*1, (ISNUMBER(SEARCH("SCOM-SHELCHP",[2]OUT_FinalEnergyCons!$A$4:$A$10000)))*1,[2]OUT_FinalEnergyCons!J$4:J$10000)</f>
        <v>1.785159389883731</v>
      </c>
      <c r="N1888" s="1"/>
    </row>
    <row r="1889" spans="2:14" x14ac:dyDescent="0.35">
      <c r="B1889" s="5" t="str">
        <f t="shared" ref="B1889:C1889" si="2006">B1888</f>
        <v>SPS1</v>
      </c>
      <c r="C1889" s="5" t="str">
        <f t="shared" si="2006"/>
        <v>CH</v>
      </c>
      <c r="D1889" t="s">
        <v>1904</v>
      </c>
      <c r="E1889" t="str">
        <f t="shared" si="1896"/>
        <v>GWth/yr.</v>
      </c>
      <c r="F1889" s="1">
        <f>F1890</f>
        <v>1.9285759813647012</v>
      </c>
      <c r="G1889" s="1">
        <f t="shared" ref="G1889:L1889" si="2007">G1890</f>
        <v>1.6677321677131136</v>
      </c>
      <c r="H1889" s="1">
        <f t="shared" si="2007"/>
        <v>1.5781049545347885</v>
      </c>
      <c r="I1889" s="1">
        <f t="shared" si="2007"/>
        <v>1.5778741926932058</v>
      </c>
      <c r="J1889" s="1">
        <f t="shared" si="2007"/>
        <v>0.60406011780375746</v>
      </c>
      <c r="K1889" s="1">
        <f t="shared" si="2007"/>
        <v>0.19576789480423537</v>
      </c>
      <c r="L1889" s="1">
        <f t="shared" si="2007"/>
        <v>3.0983895567349796E-2</v>
      </c>
      <c r="N1889" s="1"/>
    </row>
    <row r="1890" spans="2:14" x14ac:dyDescent="0.35">
      <c r="B1890" s="5" t="str">
        <f t="shared" ref="B1890:C1890" si="2008">B1889</f>
        <v>SPS1</v>
      </c>
      <c r="C1890" s="5" t="str">
        <f t="shared" si="2008"/>
        <v>CH</v>
      </c>
      <c r="D1890" t="s">
        <v>1905</v>
      </c>
      <c r="E1890" t="str">
        <f t="shared" ref="E1890:E1902" si="200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SUMPRODUCT(([2]OUT_FinalEnergyCons!$B$4:$B$10000="Var_cap")*1,(ISNUMBER(SEARCH("SCOM-SHLFOBR",[2]OUT_FinalEnergyCons!$A$4:$A$10000)))*1,[2]OUT_FinalEnergyCons!H$4:H$10000)</f>
        <v>0.60406011780375746</v>
      </c>
      <c r="K1890" s="1" cm="1">
        <f t="array" ref="K1890">SUMPRODUCT(([2]OUT_FinalEnergyCons!$B$4:$B$10000="Var_cap")*1,(ISNUMBER(SEARCH("SCOM-SHLFOBR",[2]OUT_FinalEnergyCons!$A$4:$A$10000)))*1,[2]OUT_FinalEnergyCons!I$4:I$10000)</f>
        <v>0.19576789480423537</v>
      </c>
      <c r="L1890" s="1" cm="1">
        <f t="array" ref="L1890">SUMPRODUCT(([2]OUT_FinalEnergyCons!$B$4:$B$10000="Var_cap")*1,(ISNUMBER(SEARCH("SCOM-SHLFOBR",[2]OUT_FinalEnergyCons!$A$4:$A$10000)))*1,[2]OUT_FinalEnergyCons!J$4:J$10000)</f>
        <v>3.0983895567349796E-2</v>
      </c>
      <c r="N1890" s="1"/>
    </row>
    <row r="1891" spans="2:14" x14ac:dyDescent="0.35">
      <c r="B1891" s="5" t="str">
        <f t="shared" ref="B1891:C1891" si="2010">B1890</f>
        <v>SPS1</v>
      </c>
      <c r="C1891" s="5" t="str">
        <f t="shared" si="2010"/>
        <v>CH</v>
      </c>
      <c r="D1891" t="s">
        <v>1906</v>
      </c>
      <c r="E1891" t="str">
        <f t="shared" si="2009"/>
        <v>GWth/yr.</v>
      </c>
      <c r="F1891" s="1">
        <f>SUM(F1892:F1894)</f>
        <v>2.8800247530935192</v>
      </c>
      <c r="G1891" s="1">
        <f t="shared" ref="G1891:K1891" si="2011">SUM(G1892:G1894)</f>
        <v>2.8797078466566326</v>
      </c>
      <c r="H1891" s="1">
        <f t="shared" si="2011"/>
        <v>2.2338518732550723</v>
      </c>
      <c r="I1891" s="1">
        <f t="shared" si="2011"/>
        <v>2.3640898500047589</v>
      </c>
      <c r="J1891" s="1">
        <f t="shared" si="2011"/>
        <v>1.1902169340869106</v>
      </c>
      <c r="K1891" s="1">
        <f t="shared" si="2011"/>
        <v>0.73960165064152494</v>
      </c>
      <c r="L1891" s="1">
        <f t="shared" ref="L1891" si="2012">SUM(L1892:L1894)</f>
        <v>0.52495916829260836</v>
      </c>
      <c r="N1891" s="1"/>
    </row>
    <row r="1892" spans="2:14" x14ac:dyDescent="0.35">
      <c r="B1892" s="5" t="str">
        <f t="shared" ref="B1892:C1892" si="2013">B1891</f>
        <v>SPS1</v>
      </c>
      <c r="C1892" s="5" t="str">
        <f t="shared" si="2013"/>
        <v>CH</v>
      </c>
      <c r="D1892" t="s">
        <v>1907</v>
      </c>
      <c r="E1892" t="str">
        <f t="shared" si="200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SUMPRODUCT(([2]OUT_FinalEnergyCons!$B$4:$B$10000="Var_cap")*1, (ISNUMBER(SEARCH("SCOM-SHNGABR",[2]OUT_FinalEnergyCons!$A$4:$A$10000)))*1,[2]OUT_FinalEnergyCons!H$4:H$10000)</f>
        <v>0.77117794012636298</v>
      </c>
      <c r="K1892" s="1" cm="1">
        <f t="array" ref="K1892">SUMPRODUCT(([2]OUT_FinalEnergyCons!$B$4:$B$10000="Var_cap")*1, (ISNUMBER(SEARCH("SCOM-SHNGABR",[2]OUT_FinalEnergyCons!$A$4:$A$10000)))*1,[2]OUT_FinalEnergyCons!I$4:I$10000)</f>
        <v>0.26441588473726696</v>
      </c>
      <c r="L1892" s="1" cm="1">
        <f t="array" ref="L1892">SUMPRODUCT(([2]OUT_FinalEnergyCons!$B$4:$B$10000="Var_cap")*1, (ISNUMBER(SEARCH("SCOM-SHNGABR",[2]OUT_FinalEnergyCons!$A$4:$A$10000)))*1,[2]OUT_FinalEnergyCons!J$4:J$10000)</f>
        <v>0.1118487386937311</v>
      </c>
      <c r="N1892" s="1"/>
    </row>
    <row r="1893" spans="2:14" x14ac:dyDescent="0.35">
      <c r="B1893" s="5" t="str">
        <f t="shared" ref="B1893:C1893" si="2014">B1892</f>
        <v>SPS1</v>
      </c>
      <c r="C1893" s="5" t="str">
        <f t="shared" si="2014"/>
        <v>CH</v>
      </c>
      <c r="D1893" t="s">
        <v>1908</v>
      </c>
      <c r="E1893" t="str">
        <f t="shared" si="200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SUMPRODUCT(([2]OUT_FinalEnergyCons!$B$4:$B$10000="Var_cap")*1, (ISNUMBER(SEARCH("SCOM-SHngahp",[2]OUT_FinalEnergyCons!$A$4:$A$10000)))*1,[2]OUT_FinalEnergyCons!H$4:H$10000)</f>
        <v>0.39170033922080982</v>
      </c>
      <c r="K1893" s="1" cm="1">
        <f t="array" ref="K1893">SUMPRODUCT(([2]OUT_FinalEnergyCons!$B$4:$B$10000="Var_cap")*1, (ISNUMBER(SEARCH("SCOM-SHngahp",[2]OUT_FinalEnergyCons!$A$4:$A$10000)))*1,[2]OUT_FinalEnergyCons!I$4:I$10000)</f>
        <v>0.47512265393344544</v>
      </c>
      <c r="L1893" s="1" cm="1">
        <f t="array" ref="L1893">SUMPRODUCT(([2]OUT_FinalEnergyCons!$B$4:$B$10000="Var_cap")*1, (ISNUMBER(SEARCH("SCOM-SHngahp",[2]OUT_FinalEnergyCons!$A$4:$A$10000)))*1,[2]OUT_FinalEnergyCons!J$4:J$10000)</f>
        <v>0.4130555519148908</v>
      </c>
      <c r="N1893" s="1"/>
    </row>
    <row r="1894" spans="2:14" x14ac:dyDescent="0.35">
      <c r="B1894" s="5" t="str">
        <f t="shared" ref="B1894:C1894" si="2015">B1893</f>
        <v>SPS1</v>
      </c>
      <c r="C1894" s="5" t="str">
        <f t="shared" si="2015"/>
        <v>CH</v>
      </c>
      <c r="D1894" t="s">
        <v>1909</v>
      </c>
      <c r="E1894" t="str">
        <f t="shared" si="200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2.7338654739737817E-2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6.311197081252744E-5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5.4877683986477567E-5</v>
      </c>
      <c r="N1894" s="1"/>
    </row>
    <row r="1895" spans="2:14" x14ac:dyDescent="0.35">
      <c r="B1895" s="5" t="str">
        <f t="shared" ref="B1895:C1895" si="2016">B1894</f>
        <v>SPS1</v>
      </c>
      <c r="C1895" s="5" t="str">
        <f t="shared" si="2016"/>
        <v>CH</v>
      </c>
      <c r="D1895" t="s">
        <v>1910</v>
      </c>
      <c r="E1895" t="str">
        <f t="shared" si="2009"/>
        <v>GWth/yr.</v>
      </c>
      <c r="F1895" s="1">
        <f>F1896</f>
        <v>0.47844632982986174</v>
      </c>
      <c r="G1895" s="1">
        <f t="shared" ref="G1895:L1895" si="2017">G1896</f>
        <v>0.55558380824055642</v>
      </c>
      <c r="H1895" s="1">
        <f t="shared" si="2017"/>
        <v>0.4952321508968866</v>
      </c>
      <c r="I1895" s="1">
        <f t="shared" si="2017"/>
        <v>0.49517426367652456</v>
      </c>
      <c r="J1895" s="1">
        <f t="shared" si="2017"/>
        <v>0.32857745020889295</v>
      </c>
      <c r="K1895" s="1">
        <f t="shared" si="2017"/>
        <v>0.21325528397252802</v>
      </c>
      <c r="L1895" s="1">
        <f t="shared" si="2017"/>
        <v>9.9974635616884813E-2</v>
      </c>
      <c r="N1895" s="1"/>
    </row>
    <row r="1896" spans="2:14" x14ac:dyDescent="0.35">
      <c r="B1896" s="5" t="str">
        <f t="shared" ref="B1896:C1896" si="2018">B1895</f>
        <v>SPS1</v>
      </c>
      <c r="C1896" s="5" t="str">
        <f t="shared" si="2018"/>
        <v>CH</v>
      </c>
      <c r="D1896" t="s">
        <v>1911</v>
      </c>
      <c r="E1896" t="str">
        <f t="shared" si="200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SUMPRODUCT(([2]OUT_FinalEnergyCons!$B$4:$B$10000="Var_cap")*1, (ISNUMBER(SEARCH("SCOM-SHWODBR",[2]OUT_FinalEnergyCons!$A$4:$A$10000)))*1,[2]OUT_FinalEnergyCons!H$4:H$10000)</f>
        <v>0.32857745020889295</v>
      </c>
      <c r="K1896" s="1" cm="1">
        <f t="array" ref="K1896">SUMPRODUCT(([2]OUT_FinalEnergyCons!$B$4:$B$10000="Var_cap")*1, (ISNUMBER(SEARCH("SCOM-SHWODBR",[2]OUT_FinalEnergyCons!$A$4:$A$10000)))*1,[2]OUT_FinalEnergyCons!I$4:I$10000)</f>
        <v>0.21325528397252802</v>
      </c>
      <c r="L1896" s="1" cm="1">
        <f t="array" ref="L1896">SUMPRODUCT(([2]OUT_FinalEnergyCons!$B$4:$B$10000="Var_cap")*1, (ISNUMBER(SEARCH("SCOM-SHWODBR",[2]OUT_FinalEnergyCons!$A$4:$A$10000)))*1,[2]OUT_FinalEnergyCons!J$4:J$10000)</f>
        <v>9.9974635616884813E-2</v>
      </c>
      <c r="N1896" s="1"/>
    </row>
    <row r="1897" spans="2:14" x14ac:dyDescent="0.35">
      <c r="B1897" s="5" t="str">
        <f t="shared" ref="B1897:C1897" si="2019">B1896</f>
        <v>SPS1</v>
      </c>
      <c r="C1897" s="5" t="str">
        <f t="shared" si="2019"/>
        <v>CH</v>
      </c>
      <c r="D1897" t="s">
        <v>1912</v>
      </c>
      <c r="E1897" t="str">
        <f t="shared" si="2009"/>
        <v>GWth/yr.</v>
      </c>
      <c r="F1897" s="1">
        <f>F1898</f>
        <v>0.15051554597503466</v>
      </c>
      <c r="G1897" s="1">
        <f t="shared" ref="G1897:L1897" si="2020">G1898</f>
        <v>0.17488244747131049</v>
      </c>
      <c r="H1897" s="1">
        <f t="shared" si="2020"/>
        <v>2.2841993253634618E-2</v>
      </c>
      <c r="I1897" s="1">
        <f t="shared" si="2020"/>
        <v>2.2771598572656732E-2</v>
      </c>
      <c r="J1897" s="1">
        <f t="shared" si="2020"/>
        <v>1.5318384725292303E-2</v>
      </c>
      <c r="K1897" s="1">
        <f t="shared" si="2020"/>
        <v>6.4973525789254506E-3</v>
      </c>
      <c r="L1897" s="1">
        <f t="shared" si="2020"/>
        <v>3.5854043921470023E-3</v>
      </c>
      <c r="N1897" s="1"/>
    </row>
    <row r="1898" spans="2:14" x14ac:dyDescent="0.35">
      <c r="B1898" s="5" t="str">
        <f t="shared" ref="B1898:C1898" si="2021">B1897</f>
        <v>SPS1</v>
      </c>
      <c r="C1898" s="5" t="str">
        <f t="shared" si="2021"/>
        <v>CH</v>
      </c>
      <c r="D1898" t="s">
        <v>1913</v>
      </c>
      <c r="E1898" t="str">
        <f t="shared" si="200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SUMPRODUCT(([2]OUT_FinalEnergyCons!$B$4:$B$10000="Var_cap")*1,(ISNUMBER(SEARCH("SCOM-SHPLTBR",[2]OUT_FinalEnergyCons!$A$4:$A$10000)))*1,[2]OUT_FinalEnergyCons!H$4:H$10000)</f>
        <v>1.5318384725292303E-2</v>
      </c>
      <c r="K1898" s="1" cm="1">
        <f t="array" ref="K1898">SUMPRODUCT(([2]OUT_FinalEnergyCons!$B$4:$B$10000="Var_cap")*1,(ISNUMBER(SEARCH("SCOM-SHPLTBR",[2]OUT_FinalEnergyCons!$A$4:$A$10000)))*1,[2]OUT_FinalEnergyCons!I$4:I$10000)</f>
        <v>6.4973525789254506E-3</v>
      </c>
      <c r="L1898" s="1" cm="1">
        <f t="array" ref="L1898">SUMPRODUCT(([2]OUT_FinalEnergyCons!$B$4:$B$10000="Var_cap")*1,(ISNUMBER(SEARCH("SCOM-SHPLTBR",[2]OUT_FinalEnergyCons!$A$4:$A$10000)))*1,[2]OUT_FinalEnergyCons!J$4:J$10000)</f>
        <v>3.5854043921470023E-3</v>
      </c>
      <c r="N1898" s="1"/>
    </row>
    <row r="1899" spans="2:14" x14ac:dyDescent="0.35">
      <c r="B1899" s="5" t="str">
        <f t="shared" ref="B1899:C1899" si="2022">B1898</f>
        <v>SPS1</v>
      </c>
      <c r="C1899" s="5" t="str">
        <f t="shared" si="2022"/>
        <v>CH</v>
      </c>
      <c r="D1899" t="s">
        <v>1914</v>
      </c>
      <c r="E1899" t="str">
        <f t="shared" si="2009"/>
        <v>GWth/yr.</v>
      </c>
      <c r="F1899" s="1">
        <f>F1900</f>
        <v>9.1091669798627831E-2</v>
      </c>
      <c r="G1899" s="1">
        <f t="shared" ref="G1899:L1899" si="2023">G1900</f>
        <v>9.9867047114685276E-2</v>
      </c>
      <c r="H1899" s="1">
        <f t="shared" si="2023"/>
        <v>9.9868385402586954E-2</v>
      </c>
      <c r="I1899" s="1">
        <f t="shared" si="2023"/>
        <v>0.118537612023297</v>
      </c>
      <c r="J1899" s="1">
        <f t="shared" si="2023"/>
        <v>0.14201478393678063</v>
      </c>
      <c r="K1899" s="1">
        <f t="shared" si="2023"/>
        <v>0.17138639440292591</v>
      </c>
      <c r="L1899" s="1">
        <f t="shared" si="2023"/>
        <v>0.20326912526322899</v>
      </c>
      <c r="N1899" s="1"/>
    </row>
    <row r="1900" spans="2:14" x14ac:dyDescent="0.35">
      <c r="B1900" s="5" t="str">
        <f t="shared" ref="B1900:C1900" si="2024">B1899</f>
        <v>SPS1</v>
      </c>
      <c r="C1900" s="5" t="str">
        <f t="shared" si="2024"/>
        <v>CH</v>
      </c>
      <c r="D1900" t="s">
        <v>1915</v>
      </c>
      <c r="E1900" t="str">
        <f t="shared" si="200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SUMPRODUCT(([2]OUT_FinalEnergyCons!$B$4:$B$10000="Var_cap")*1, (ISNUMBER(SEARCH("SCOM-SHSOLBR",[2]OUT_FinalEnergyCons!$A$4:$A$10000)))*1,[2]OUT_FinalEnergyCons!H$4:H$10000)</f>
        <v>0.14201478393678063</v>
      </c>
      <c r="K1900" s="1" cm="1">
        <f t="array" ref="K1900">SUMPRODUCT(([2]OUT_FinalEnergyCons!$B$4:$B$10000="Var_cap")*1, (ISNUMBER(SEARCH("SCOM-SHSOLBR",[2]OUT_FinalEnergyCons!$A$4:$A$10000)))*1,[2]OUT_FinalEnergyCons!I$4:I$10000)</f>
        <v>0.17138639440292591</v>
      </c>
      <c r="L1900" s="1" cm="1">
        <f t="array" ref="L1900">SUMPRODUCT(([2]OUT_FinalEnergyCons!$B$4:$B$10000="Var_cap")*1, (ISNUMBER(SEARCH("SCOM-SHSOLBR",[2]OUT_FinalEnergyCons!$A$4:$A$10000)))*1,[2]OUT_FinalEnergyCons!J$4:J$10000)</f>
        <v>0.20326912526322899</v>
      </c>
      <c r="N1900" s="1"/>
    </row>
    <row r="1901" spans="2:14" x14ac:dyDescent="0.35">
      <c r="B1901" s="5" t="str">
        <f t="shared" ref="B1901:C1901" si="2025">B1900</f>
        <v>SPS1</v>
      </c>
      <c r="C1901" s="5" t="str">
        <f t="shared" si="2025"/>
        <v>CH</v>
      </c>
      <c r="D1901" t="s">
        <v>1916</v>
      </c>
      <c r="E1901" t="str">
        <f t="shared" si="2009"/>
        <v>GWth/yr.</v>
      </c>
      <c r="F1901" s="1">
        <f>F1902</f>
        <v>0</v>
      </c>
      <c r="G1901" s="1">
        <f t="shared" ref="G1901:L1901" si="2026">G1902</f>
        <v>0</v>
      </c>
      <c r="H1901" s="1">
        <f t="shared" si="2026"/>
        <v>0</v>
      </c>
      <c r="I1901" s="1">
        <f t="shared" si="2026"/>
        <v>1.6310238609986699E-6</v>
      </c>
      <c r="J1901" s="1">
        <f t="shared" si="2026"/>
        <v>0.99983726687057628</v>
      </c>
      <c r="K1901" s="1">
        <f t="shared" si="2026"/>
        <v>1.6008269223381371</v>
      </c>
      <c r="L1901" s="1">
        <f t="shared" si="2026"/>
        <v>1.484960207656258</v>
      </c>
      <c r="N1901" s="1"/>
    </row>
    <row r="1902" spans="2:14" x14ac:dyDescent="0.35">
      <c r="B1902" s="5" t="str">
        <f t="shared" ref="B1902:C1902" si="2027">B1901</f>
        <v>SPS1</v>
      </c>
      <c r="C1902" s="5" t="str">
        <f t="shared" si="2027"/>
        <v>CH</v>
      </c>
      <c r="D1902" t="s">
        <v>1917</v>
      </c>
      <c r="E1902" t="str">
        <f t="shared" si="200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SUMPRODUCT(([2]OUT_FinalEnergyCons!$B$4:$B$10000="Var_cap")*1, (ISNUMBER(SEARCH("SCOM-SHH2BR",[2]OUT_FinalEnergyCons!$A$4:$A$10000)))*1,[2]OUT_FinalEnergyCons!H$4:H$10000)</f>
        <v>0.99983726687057628</v>
      </c>
      <c r="K1902" s="1" cm="1">
        <f t="array" ref="K1902">SUMPRODUCT(([2]OUT_FinalEnergyCons!$B$4:$B$10000="Var_cap")*1, (ISNUMBER(SEARCH("SCOM-SHH2BR",[2]OUT_FinalEnergyCons!$A$4:$A$10000)))*1,[2]OUT_FinalEnergyCons!I$4:I$10000)</f>
        <v>1.6008269223381371</v>
      </c>
      <c r="L1902" s="1" cm="1">
        <f t="array" ref="L1902">SUMPRODUCT(([2]OUT_FinalEnergyCons!$B$4:$B$10000="Var_cap")*1, (ISNUMBER(SEARCH("SCOM-SHH2BR",[2]OUT_FinalEnergyCons!$A$4:$A$10000)))*1,[2]OUT_FinalEnergyCons!J$4:J$10000)</f>
        <v>1.484960207656258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28">SUM(G1904:G1953)</f>
        <v>4.8295957595849099</v>
      </c>
      <c r="H1903" s="3">
        <f t="shared" si="2028"/>
        <v>4.9059135052493863</v>
      </c>
      <c r="I1903" s="3">
        <f t="shared" si="2028"/>
        <v>5.2132781066790113</v>
      </c>
      <c r="J1903" s="3">
        <f t="shared" si="2028"/>
        <v>5.5732183695682078</v>
      </c>
      <c r="K1903" s="3">
        <f t="shared" si="2028"/>
        <v>5.9331758710431481</v>
      </c>
      <c r="L1903" s="3">
        <f t="shared" ref="L1903" si="2029">SUM(L1904:L1953)</f>
        <v>6.2391429416689306</v>
      </c>
      <c r="N1903" s="1"/>
    </row>
    <row r="1904" spans="2:14" x14ac:dyDescent="0.35">
      <c r="B1904" s="5" t="str">
        <f t="shared" ref="B1904:B1953" si="2030">B1903</f>
        <v>SPS1</v>
      </c>
      <c r="C1904" s="5" t="str">
        <f t="shared" ref="C1904:C1953" si="203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0"/>
        <v>SPS1</v>
      </c>
      <c r="C1905" s="5" t="str">
        <f t="shared" si="2031"/>
        <v>CH</v>
      </c>
      <c r="D1905" t="s">
        <v>1922</v>
      </c>
      <c r="E1905" t="str">
        <f t="shared" ref="E1905:E1953" si="203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6.2674830512512785E-4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3.7786457208512314E-4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0.40345004126953898</v>
      </c>
      <c r="N1905" s="1"/>
    </row>
    <row r="1906" spans="2:14" x14ac:dyDescent="0.35">
      <c r="B1906" s="5" t="str">
        <f t="shared" si="2030"/>
        <v>SPS1</v>
      </c>
      <c r="C1906" s="5" t="str">
        <f t="shared" si="2031"/>
        <v>CH</v>
      </c>
      <c r="D1906" t="s">
        <v>1923</v>
      </c>
      <c r="E1906" t="str">
        <f t="shared" si="203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1.024513277030102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1.857827851412418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2.0646367983387104</v>
      </c>
      <c r="N1906" s="1"/>
    </row>
    <row r="1907" spans="2:14" x14ac:dyDescent="0.35">
      <c r="B1907" s="5" t="str">
        <f t="shared" si="2030"/>
        <v>SPS1</v>
      </c>
      <c r="C1907" s="5" t="str">
        <f t="shared" si="2031"/>
        <v>CH</v>
      </c>
      <c r="D1907" t="s">
        <v>1924</v>
      </c>
      <c r="E1907" t="str">
        <f t="shared" si="203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1.0738959656358709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1.2787465792860107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1.2735405683145808</v>
      </c>
      <c r="N1907" s="1"/>
    </row>
    <row r="1908" spans="2:14" x14ac:dyDescent="0.35">
      <c r="B1908" s="5" t="str">
        <f t="shared" si="2030"/>
        <v>SPS1</v>
      </c>
      <c r="C1908" s="5" t="str">
        <f t="shared" si="2031"/>
        <v>CH</v>
      </c>
      <c r="D1908" t="s">
        <v>1925</v>
      </c>
      <c r="E1908" t="str">
        <f t="shared" si="203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0.97992144954010385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1.29494155022266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2.4964179434462084</v>
      </c>
      <c r="N1908" s="1"/>
    </row>
    <row r="1909" spans="2:14" x14ac:dyDescent="0.35">
      <c r="B1909" s="5" t="str">
        <f t="shared" si="2030"/>
        <v>SPS1</v>
      </c>
      <c r="C1909" s="5" t="str">
        <f t="shared" si="2031"/>
        <v>CH</v>
      </c>
      <c r="D1909" t="s">
        <v>1926</v>
      </c>
      <c r="E1909" t="str">
        <f t="shared" si="203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1.5431665035036098E-4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1.0136043054699563E-4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0</v>
      </c>
      <c r="N1909" s="1"/>
    </row>
    <row r="1910" spans="2:14" x14ac:dyDescent="0.35">
      <c r="B1910" s="5" t="str">
        <f t="shared" si="2030"/>
        <v>SPS1</v>
      </c>
      <c r="C1910" s="5" t="str">
        <f t="shared" si="2031"/>
        <v>CH</v>
      </c>
      <c r="D1910" t="s">
        <v>1927</v>
      </c>
      <c r="E1910" t="str">
        <f t="shared" si="203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1.0959538884772412E-3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1.0860853888891643E-4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0</v>
      </c>
      <c r="N1910" s="1"/>
    </row>
    <row r="1911" spans="2:14" x14ac:dyDescent="0.35">
      <c r="B1911" s="5" t="str">
        <f t="shared" si="2030"/>
        <v>SPS1</v>
      </c>
      <c r="C1911" s="5" t="str">
        <f t="shared" si="2031"/>
        <v>CH</v>
      </c>
      <c r="D1911" t="s">
        <v>1928</v>
      </c>
      <c r="E1911" t="str">
        <f t="shared" si="203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3.5499270255361301E-2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3.4470443976017022E-3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</v>
      </c>
      <c r="N1911" s="1"/>
    </row>
    <row r="1912" spans="2:14" x14ac:dyDescent="0.35">
      <c r="B1912" s="5" t="str">
        <f t="shared" si="2030"/>
        <v>SPS1</v>
      </c>
      <c r="C1912" s="5" t="str">
        <f t="shared" si="2031"/>
        <v>CH</v>
      </c>
      <c r="D1912" t="s">
        <v>1929</v>
      </c>
      <c r="E1912" t="str">
        <f t="shared" si="203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2.1067163840648435E-3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1.4328066211610744E-4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0</v>
      </c>
      <c r="N1912" s="1"/>
    </row>
    <row r="1913" spans="2:14" x14ac:dyDescent="0.35">
      <c r="B1913" s="5" t="str">
        <f t="shared" si="2030"/>
        <v>SPS1</v>
      </c>
      <c r="C1913" s="5" t="str">
        <f t="shared" si="2031"/>
        <v>CH</v>
      </c>
      <c r="D1913" t="s">
        <v>1930</v>
      </c>
      <c r="E1913" t="str">
        <f t="shared" si="203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1.6003881411170252E-4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1.0695851102786122E-4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0</v>
      </c>
      <c r="N1913" s="1"/>
    </row>
    <row r="1914" spans="2:14" x14ac:dyDescent="0.35">
      <c r="B1914" s="5" t="str">
        <f t="shared" si="2030"/>
        <v>SPS1</v>
      </c>
      <c r="C1914" s="5" t="str">
        <f t="shared" si="2031"/>
        <v>CH</v>
      </c>
      <c r="D1914" t="s">
        <v>1931</v>
      </c>
      <c r="E1914" t="str">
        <f t="shared" si="203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2.3216785589894826E-4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1.3257526381662673E-4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0</v>
      </c>
      <c r="N1914" s="1"/>
    </row>
    <row r="1915" spans="2:14" x14ac:dyDescent="0.35">
      <c r="B1915" s="5" t="str">
        <f t="shared" si="2030"/>
        <v>SPS1</v>
      </c>
      <c r="C1915" s="5" t="str">
        <f t="shared" si="2031"/>
        <v>CH</v>
      </c>
      <c r="D1915" t="s">
        <v>1932</v>
      </c>
      <c r="E1915" t="str">
        <f t="shared" si="203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0.21405285746155545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9.0796797781555486E-2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</v>
      </c>
      <c r="N1915" s="1"/>
    </row>
    <row r="1916" spans="2:14" x14ac:dyDescent="0.35">
      <c r="B1916" s="5" t="str">
        <f t="shared" si="2030"/>
        <v>SPS1</v>
      </c>
      <c r="C1916" s="5" t="str">
        <f t="shared" si="2031"/>
        <v>CH</v>
      </c>
      <c r="D1916" t="s">
        <v>1933</v>
      </c>
      <c r="E1916" t="str">
        <f t="shared" si="203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5.0957189516758253E-4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1.7208280390814651E-4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0</v>
      </c>
      <c r="N1916" s="1"/>
    </row>
    <row r="1917" spans="2:14" x14ac:dyDescent="0.35">
      <c r="B1917" s="5" t="str">
        <f t="shared" si="2030"/>
        <v>SPS1</v>
      </c>
      <c r="C1917" s="5" t="str">
        <f t="shared" si="2031"/>
        <v>CH</v>
      </c>
      <c r="D1917" t="s">
        <v>1934</v>
      </c>
      <c r="E1917" t="str">
        <f t="shared" si="203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3.1073541250660229E-6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1.139032453018821E-6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9.539258930799039E-7</v>
      </c>
      <c r="N1917" s="1"/>
    </row>
    <row r="1918" spans="2:14" x14ac:dyDescent="0.35">
      <c r="B1918" s="5" t="str">
        <f t="shared" si="2030"/>
        <v>SPS1</v>
      </c>
      <c r="C1918" s="5" t="str">
        <f t="shared" si="2031"/>
        <v>CH</v>
      </c>
      <c r="D1918" t="s">
        <v>1935</v>
      </c>
      <c r="E1918" t="str">
        <f t="shared" si="203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2.2900272107052002E-7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9.2238152327749747E-7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8.7558810415272997E-7</v>
      </c>
      <c r="N1918" s="1"/>
    </row>
    <row r="1919" spans="2:14" x14ac:dyDescent="0.35">
      <c r="B1919" s="5" t="str">
        <f t="shared" si="2030"/>
        <v>SPS1</v>
      </c>
      <c r="C1919" s="5" t="str">
        <f t="shared" si="2031"/>
        <v>CH</v>
      </c>
      <c r="D1919" t="s">
        <v>1936</v>
      </c>
      <c r="E1919" t="str">
        <f t="shared" si="203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-5.6472173567374148E-7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7.5736717939172881E-7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8.5606088033773397E-7</v>
      </c>
      <c r="N1919" s="1"/>
    </row>
    <row r="1920" spans="2:14" x14ac:dyDescent="0.35">
      <c r="B1920" s="5" t="str">
        <f t="shared" si="2030"/>
        <v>SPS1</v>
      </c>
      <c r="C1920" s="5" t="str">
        <f t="shared" si="2031"/>
        <v>CH</v>
      </c>
      <c r="D1920" t="s">
        <v>1937</v>
      </c>
      <c r="E1920" t="str">
        <f t="shared" si="203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5.1497274385929932E-8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8.849637730192236E-7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9.4163008965752298E-7</v>
      </c>
      <c r="N1920" s="1"/>
    </row>
    <row r="1921" spans="2:14" x14ac:dyDescent="0.35">
      <c r="B1921" s="5" t="str">
        <f t="shared" si="2030"/>
        <v>SPS1</v>
      </c>
      <c r="C1921" s="5" t="str">
        <f t="shared" si="2031"/>
        <v>CH</v>
      </c>
      <c r="D1921" t="s">
        <v>1938</v>
      </c>
      <c r="E1921" t="str">
        <f t="shared" si="203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0"/>
        <v>SPS1</v>
      </c>
      <c r="C1922" s="5" t="str">
        <f t="shared" si="2031"/>
        <v>CH</v>
      </c>
      <c r="D1922" t="s">
        <v>1939</v>
      </c>
      <c r="E1922" t="str">
        <f t="shared" si="203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0.26945425284895774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0.19201127681941593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0"/>
        <v>SPS1</v>
      </c>
      <c r="C1923" s="5" t="str">
        <f t="shared" si="2031"/>
        <v>CH</v>
      </c>
      <c r="D1923" t="s">
        <v>1940</v>
      </c>
      <c r="E1923" t="str">
        <f t="shared" si="203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0.10369791671119348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2.2112246671366756E-2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0"/>
        <v>SPS1</v>
      </c>
      <c r="C1924" s="5" t="str">
        <f t="shared" si="2031"/>
        <v>CH</v>
      </c>
      <c r="D1924" t="s">
        <v>1941</v>
      </c>
      <c r="E1924" t="str">
        <f t="shared" si="203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4.509730319139113E-2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5.5600626075676148E-5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0"/>
        <v>SPS1</v>
      </c>
      <c r="C1925" s="5" t="str">
        <f t="shared" si="2031"/>
        <v>CH</v>
      </c>
      <c r="D1925" t="s">
        <v>1942</v>
      </c>
      <c r="E1925" t="str">
        <f t="shared" si="203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2.1746342010429218E-3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8.4277533076315708E-5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0"/>
        <v>SPS1</v>
      </c>
      <c r="C1926" s="5" t="str">
        <f t="shared" si="2031"/>
        <v>CH</v>
      </c>
      <c r="D1926" t="s">
        <v>1943</v>
      </c>
      <c r="E1926" t="str">
        <f t="shared" si="203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0"/>
        <v>SPS1</v>
      </c>
      <c r="C1927" s="5" t="str">
        <f t="shared" si="2031"/>
        <v>CH</v>
      </c>
      <c r="D1927" t="s">
        <v>1944</v>
      </c>
      <c r="E1927" t="str">
        <f t="shared" si="203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6.0201351801206081E-2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6.5556017819012966E-3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0"/>
        <v>SPS1</v>
      </c>
      <c r="C1928" s="5" t="str">
        <f t="shared" si="2031"/>
        <v>CH</v>
      </c>
      <c r="D1928" t="s">
        <v>1945</v>
      </c>
      <c r="E1928" t="str">
        <f t="shared" si="203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1.0787367421944893E-2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2.482781080453628E-4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0"/>
        <v>SPS1</v>
      </c>
      <c r="C1929" s="5" t="str">
        <f t="shared" si="2031"/>
        <v>CH</v>
      </c>
      <c r="D1929" t="s">
        <v>1946</v>
      </c>
      <c r="E1929" t="str">
        <f t="shared" si="203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4.718936825864882E-2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4.8375574170875799E-3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0"/>
        <v>SPS1</v>
      </c>
      <c r="C1930" s="5" t="str">
        <f t="shared" si="2031"/>
        <v>CH</v>
      </c>
      <c r="D1930" t="s">
        <v>1947</v>
      </c>
      <c r="E1930" t="str">
        <f t="shared" si="203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1.2560900170601939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0.8072574080142898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0"/>
        <v>SPS1</v>
      </c>
      <c r="C1931" s="5" t="str">
        <f t="shared" si="2031"/>
        <v>CH</v>
      </c>
      <c r="D1931" t="s">
        <v>1948</v>
      </c>
      <c r="E1931" t="str">
        <f t="shared" si="203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1.05297023642899E-4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4.0739486805744699E-5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0"/>
        <v>SPS1</v>
      </c>
      <c r="C1932" s="5" t="str">
        <f t="shared" si="2031"/>
        <v>CH</v>
      </c>
      <c r="D1932" t="s">
        <v>1949</v>
      </c>
      <c r="E1932" t="str">
        <f t="shared" si="203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5.8932741392406598E-5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2.2208595664567599E-5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0"/>
        <v>SPS1</v>
      </c>
      <c r="C1933" s="5" t="str">
        <f t="shared" si="2031"/>
        <v>CH</v>
      </c>
      <c r="D1933" t="s">
        <v>1950</v>
      </c>
      <c r="E1933" t="str">
        <f t="shared" si="203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5.0896993139259099E-5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1.8205785778979E-5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0"/>
        <v>SPS1</v>
      </c>
      <c r="C1934" s="5" t="str">
        <f t="shared" si="2031"/>
        <v>CH</v>
      </c>
      <c r="D1934" t="s">
        <v>1951</v>
      </c>
      <c r="E1934" t="str">
        <f t="shared" si="203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9.5481978795644202E-5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3.7166074537354299E-5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0"/>
        <v>SPS1</v>
      </c>
      <c r="C1935" s="5" t="str">
        <f t="shared" si="2031"/>
        <v>CH</v>
      </c>
      <c r="D1935" t="s">
        <v>1952</v>
      </c>
      <c r="E1935" t="str">
        <f t="shared" si="203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0"/>
        <v>SPS1</v>
      </c>
      <c r="C1936" s="5" t="str">
        <f t="shared" si="2031"/>
        <v>CH</v>
      </c>
      <c r="D1936" t="s">
        <v>1953</v>
      </c>
      <c r="E1936" t="str">
        <f t="shared" si="203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4.4252842884303915E-2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0.18612739713095519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0"/>
        <v>SPS1</v>
      </c>
      <c r="C1937" s="5" t="str">
        <f t="shared" si="2031"/>
        <v>CH</v>
      </c>
      <c r="D1937" t="s">
        <v>1954</v>
      </c>
      <c r="E1937" t="str">
        <f t="shared" si="203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0.38208266701834009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0.18237517152992647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0"/>
        <v>SPS1</v>
      </c>
      <c r="C1938" s="5" t="str">
        <f t="shared" si="2031"/>
        <v>CH</v>
      </c>
      <c r="D1938" t="s">
        <v>1955</v>
      </c>
      <c r="E1938" t="str">
        <f t="shared" si="203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7.4197773548901203E-4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5.3077019927729152E-5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0"/>
        <v>SPS1</v>
      </c>
      <c r="C1939" s="5" t="str">
        <f t="shared" si="2031"/>
        <v>CH</v>
      </c>
      <c r="D1939" t="s">
        <v>1956</v>
      </c>
      <c r="E1939" t="str">
        <f t="shared" si="203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1.669278278772773E-3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5.544674196343228E-5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0"/>
        <v>SPS1</v>
      </c>
      <c r="C1940" s="5" t="str">
        <f t="shared" si="2031"/>
        <v>CH</v>
      </c>
      <c r="D1940" t="s">
        <v>1957</v>
      </c>
      <c r="E1940" t="str">
        <f t="shared" si="203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0"/>
        <v>SPS1</v>
      </c>
      <c r="C1941" s="5" t="str">
        <f t="shared" si="2031"/>
        <v>CH</v>
      </c>
      <c r="D1941" t="s">
        <v>1958</v>
      </c>
      <c r="E1941" t="str">
        <f t="shared" si="203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2.801224764647528E-4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7.1163014244657696E-5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0"/>
        <v>SPS1</v>
      </c>
      <c r="C1942" s="5" t="str">
        <f t="shared" si="2031"/>
        <v>CH</v>
      </c>
      <c r="D1942" t="s">
        <v>1959</v>
      </c>
      <c r="E1942" t="str">
        <f t="shared" si="203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1.864671466771969E-3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4.3308376694457791E-5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0"/>
        <v>SPS1</v>
      </c>
      <c r="C1943" s="5" t="str">
        <f t="shared" si="2031"/>
        <v>CH</v>
      </c>
      <c r="D1943" t="s">
        <v>1960</v>
      </c>
      <c r="E1943" t="str">
        <f t="shared" si="203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5.6840876881058882E-3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2.8798990981203551E-5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0"/>
        <v>SPS1</v>
      </c>
      <c r="C1944" s="5" t="str">
        <f t="shared" si="2031"/>
        <v>CH</v>
      </c>
      <c r="D1944" t="s">
        <v>1961</v>
      </c>
      <c r="E1944" t="str">
        <f t="shared" si="203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3.4022675587147035E-3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1.8190202487748686E-5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0"/>
        <v>SPS1</v>
      </c>
      <c r="C1945" s="5" t="str">
        <f t="shared" si="2031"/>
        <v>CH</v>
      </c>
      <c r="D1945" t="s">
        <v>1962</v>
      </c>
      <c r="E1945" t="str">
        <f t="shared" si="203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9.0137138427722296E-5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3.4949607355562497E-5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0"/>
        <v>SPS1</v>
      </c>
      <c r="C1946" s="5" t="str">
        <f t="shared" si="2031"/>
        <v>CH</v>
      </c>
      <c r="D1946" t="s">
        <v>1963</v>
      </c>
      <c r="E1946" t="str">
        <f t="shared" si="203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5.5746230125970998E-5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2.16114590733735E-5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0"/>
        <v>SPS1</v>
      </c>
      <c r="C1947" s="5" t="str">
        <f t="shared" si="2031"/>
        <v>CH</v>
      </c>
      <c r="D1947" t="s">
        <v>1964</v>
      </c>
      <c r="E1947" t="str">
        <f t="shared" si="203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4.5816211418501598E-5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1.6957500787168201E-5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0"/>
        <v>SPS1</v>
      </c>
      <c r="C1948" s="5" t="str">
        <f t="shared" si="2031"/>
        <v>CH</v>
      </c>
      <c r="D1948" t="s">
        <v>1965</v>
      </c>
      <c r="E1948" t="str">
        <f t="shared" si="203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2.50854689083356E-5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8.1847189110019908E-6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0"/>
        <v>SPS1</v>
      </c>
      <c r="C1949" s="5" t="str">
        <f t="shared" si="2031"/>
        <v>CH</v>
      </c>
      <c r="D1949" t="s">
        <v>1966</v>
      </c>
      <c r="E1949" t="str">
        <f t="shared" si="203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0"/>
        <v>SPS1</v>
      </c>
      <c r="C1950" s="5" t="str">
        <f t="shared" si="2031"/>
        <v>CH</v>
      </c>
      <c r="D1950" t="s">
        <v>1967</v>
      </c>
      <c r="E1950" t="str">
        <f t="shared" si="203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3.4119387606963883E-5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1.7240359130405177E-5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3.1709773473819067E-6</v>
      </c>
      <c r="N1950" s="1"/>
    </row>
    <row r="1951" spans="2:14" x14ac:dyDescent="0.35">
      <c r="B1951" s="5" t="str">
        <f t="shared" si="2030"/>
        <v>SPS1</v>
      </c>
      <c r="C1951" s="5" t="str">
        <f t="shared" si="2031"/>
        <v>CH</v>
      </c>
      <c r="D1951" t="s">
        <v>1968</v>
      </c>
      <c r="E1951" t="str">
        <f t="shared" si="203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7.1081059283094905E-5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3.0457987931177783E-5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6.0424117494699899E-6</v>
      </c>
      <c r="N1951" s="1"/>
    </row>
    <row r="1952" spans="2:14" x14ac:dyDescent="0.35">
      <c r="B1952" s="5" t="str">
        <f t="shared" si="2030"/>
        <v>SPS1</v>
      </c>
      <c r="C1952" s="5" t="str">
        <f t="shared" si="2031"/>
        <v>CH</v>
      </c>
      <c r="D1952" t="s">
        <v>1969</v>
      </c>
      <c r="E1952" t="str">
        <f t="shared" si="203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5.0816105632936546E-4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2.637773615349859E-4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2.5636885047415499E-5</v>
      </c>
      <c r="N1952" s="1"/>
    </row>
    <row r="1953" spans="2:14" x14ac:dyDescent="0.35">
      <c r="B1953" s="5" t="str">
        <f t="shared" si="2030"/>
        <v>SPS1</v>
      </c>
      <c r="C1953" s="5" t="str">
        <f t="shared" si="2031"/>
        <v>CH</v>
      </c>
      <c r="D1953" t="s">
        <v>1970</v>
      </c>
      <c r="E1953" t="str">
        <f t="shared" si="203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4.6363308290207992E-3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3.8233144996343889E-3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1.05911282078112E-3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33">SUM(G1955:G1977)</f>
        <v>5.6868068259520754</v>
      </c>
      <c r="H1954" s="3">
        <f t="shared" si="2033"/>
        <v>5.8334957567006951</v>
      </c>
      <c r="I1954" s="3">
        <f t="shared" si="2033"/>
        <v>6.569150323663834</v>
      </c>
      <c r="J1954" s="3">
        <f t="shared" si="2033"/>
        <v>7.0926085795159208</v>
      </c>
      <c r="K1954" s="3">
        <f t="shared" si="2033"/>
        <v>7.6159219139054866</v>
      </c>
      <c r="L1954" s="3">
        <f t="shared" ref="L1954" si="2034">SUM(L1955:L1977)</f>
        <v>7.9294324582784874</v>
      </c>
      <c r="N1954" s="1"/>
    </row>
    <row r="1955" spans="2:14" x14ac:dyDescent="0.35">
      <c r="B1955" s="5" t="str">
        <f t="shared" ref="B1955:B1977" si="2035">B1954</f>
        <v>SPS1</v>
      </c>
      <c r="C1955" s="5" t="str">
        <f t="shared" ref="C1955:C1977" si="203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5"/>
        <v>SPS1</v>
      </c>
      <c r="C1956" s="5" t="str">
        <f t="shared" si="203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1.3419015400977821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0.75430365525518706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1.191109590759166</v>
      </c>
      <c r="N1956" s="1"/>
    </row>
    <row r="1957" spans="2:14" x14ac:dyDescent="0.35">
      <c r="B1957" s="5" t="str">
        <f t="shared" si="2035"/>
        <v>SPS1</v>
      </c>
      <c r="C1957" s="5" t="str">
        <f t="shared" si="203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0.75162309226297175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0.85559151981145209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0.94890511515587894</v>
      </c>
      <c r="N1957" s="1"/>
    </row>
    <row r="1958" spans="2:14" x14ac:dyDescent="0.35">
      <c r="B1958" s="5" t="str">
        <f t="shared" si="2035"/>
        <v>SPS1</v>
      </c>
      <c r="C1958" s="5" t="str">
        <f t="shared" si="203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0.71786445337687999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1.2014118910907601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4.0265658777992197</v>
      </c>
      <c r="N1958" s="1"/>
    </row>
    <row r="1959" spans="2:14" x14ac:dyDescent="0.35">
      <c r="B1959" s="5" t="str">
        <f t="shared" si="2035"/>
        <v>SPS1</v>
      </c>
      <c r="C1959" s="5" t="str">
        <f t="shared" si="203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4.48514889592616E-4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5.2868557813567604E-4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2.2354469583308492E-4</v>
      </c>
      <c r="N1959" s="1"/>
    </row>
    <row r="1960" spans="2:14" x14ac:dyDescent="0.35">
      <c r="B1960" s="5" t="str">
        <f t="shared" si="2035"/>
        <v>SPS1</v>
      </c>
      <c r="C1960" s="5" t="str">
        <f t="shared" si="203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6.4050493427166203E-5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1.1365419074347802E-5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7.5995249640428499E-6</v>
      </c>
      <c r="N1960" s="1"/>
    </row>
    <row r="1961" spans="2:14" x14ac:dyDescent="0.35">
      <c r="B1961" s="5" t="str">
        <f t="shared" si="2035"/>
        <v>SPS1</v>
      </c>
      <c r="C1961" s="5" t="str">
        <f t="shared" si="203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5"/>
        <v>SPS1</v>
      </c>
      <c r="C1962" s="5" t="str">
        <f t="shared" si="203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5"/>
        <v>SPS1</v>
      </c>
      <c r="C1963" s="5" t="str">
        <f t="shared" si="203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5"/>
        <v>SPS1</v>
      </c>
      <c r="C1964" s="5" t="str">
        <f t="shared" si="203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2.0792267517103398E-2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8.6208254679993618E-3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1.6162696305144801</v>
      </c>
      <c r="N1964" s="1"/>
    </row>
    <row r="1965" spans="2:14" x14ac:dyDescent="0.35">
      <c r="B1965" s="5" t="str">
        <f t="shared" si="2035"/>
        <v>SPS1</v>
      </c>
      <c r="C1965" s="5" t="str">
        <f t="shared" si="203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1.1085104766628407E-2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5.0353683989976068E-3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2.0895468894658199E-3</v>
      </c>
      <c r="N1965" s="1"/>
    </row>
    <row r="1966" spans="2:14" x14ac:dyDescent="0.35">
      <c r="B1966" s="5" t="str">
        <f t="shared" si="2035"/>
        <v>SPS1</v>
      </c>
      <c r="C1966" s="5" t="str">
        <f t="shared" si="203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1.39150614972839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1.70365967012297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0.13403428750823398</v>
      </c>
      <c r="N1966" s="1"/>
    </row>
    <row r="1967" spans="2:14" x14ac:dyDescent="0.35">
      <c r="B1967" s="5" t="str">
        <f t="shared" si="2035"/>
        <v>SPS1</v>
      </c>
      <c r="C1967" s="5" t="str">
        <f t="shared" si="203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6.5762019648375996E-5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8.4296011440162505E-5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7.8209036608253998E-6</v>
      </c>
      <c r="N1967" s="1"/>
    </row>
    <row r="1968" spans="2:14" x14ac:dyDescent="0.35">
      <c r="B1968" s="5" t="str">
        <f t="shared" si="2035"/>
        <v>SPS1</v>
      </c>
      <c r="C1968" s="5" t="str">
        <f t="shared" si="203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5"/>
        <v>SPS1</v>
      </c>
      <c r="C1969" s="5" t="str">
        <f t="shared" si="203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1.2325183154149939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2.136759459730841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1.8865674875149759E-3</v>
      </c>
      <c r="N1969" s="1"/>
    </row>
    <row r="1970" spans="2:14" x14ac:dyDescent="0.35">
      <c r="B1970" s="5" t="str">
        <f t="shared" si="2035"/>
        <v>SPS1</v>
      </c>
      <c r="C1970" s="5" t="str">
        <f t="shared" si="203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7.3514773542420003E-2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1.6494180222149598E-2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9.30777576751742E-4</v>
      </c>
      <c r="N1970" s="1"/>
    </row>
    <row r="1971" spans="2:14" x14ac:dyDescent="0.35">
      <c r="B1971" s="5" t="str">
        <f t="shared" si="2035"/>
        <v>SPS1</v>
      </c>
      <c r="C1971" s="5" t="str">
        <f t="shared" si="203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1.5439872206780114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0.92617661594129697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5.4018372320498945E-4</v>
      </c>
      <c r="N1971" s="1"/>
    </row>
    <row r="1972" spans="2:14" x14ac:dyDescent="0.35">
      <c r="B1972" s="5" t="str">
        <f t="shared" si="2035"/>
        <v>SPS1</v>
      </c>
      <c r="C1972" s="5" t="str">
        <f t="shared" si="203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6.7629111720755205E-5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8.6652371923810404E-5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8.1219806406905305E-6</v>
      </c>
      <c r="N1972" s="1"/>
    </row>
    <row r="1973" spans="2:14" x14ac:dyDescent="0.35">
      <c r="B1973" s="5" t="str">
        <f t="shared" si="2035"/>
        <v>SPS1</v>
      </c>
      <c r="C1973" s="5" t="str">
        <f t="shared" si="203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5"/>
        <v>SPS1</v>
      </c>
      <c r="C1974" s="5" t="str">
        <f t="shared" si="203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2.6633472052746002E-3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1.7101492648672629E-3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4.7761318508275866E-3</v>
      </c>
      <c r="N1974" s="1"/>
    </row>
    <row r="1975" spans="2:14" x14ac:dyDescent="0.35">
      <c r="B1975" s="5" t="str">
        <f t="shared" si="2035"/>
        <v>SPS1</v>
      </c>
      <c r="C1975" s="5" t="str">
        <f t="shared" si="203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1.8818005312051514E-3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1.4349705202569229E-3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9.8392041022843401E-4</v>
      </c>
      <c r="N1975" s="1"/>
    </row>
    <row r="1976" spans="2:14" x14ac:dyDescent="0.35">
      <c r="B1976" s="5" t="str">
        <f t="shared" si="2035"/>
        <v>SPS1</v>
      </c>
      <c r="C1976" s="5" t="str">
        <f t="shared" si="203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2.5841306987019501E-3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3.9600917186725596E-3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1.0888138106365602E-3</v>
      </c>
      <c r="N1976" s="1"/>
    </row>
    <row r="1977" spans="2:14" x14ac:dyDescent="0.35">
      <c r="B1977" s="5" t="str">
        <f t="shared" si="2035"/>
        <v>SPS1</v>
      </c>
      <c r="C1977" s="5" t="str">
        <f t="shared" si="203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4.0427181169898898E-5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5.2516979460645399E-5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4.9276877801337495E-6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37">SUM(G1979:G2001)</f>
        <v>2.9264404746247203</v>
      </c>
      <c r="H1978" s="3">
        <f t="shared" ref="H1978" si="2038">SUM(H1979:H2001)</f>
        <v>2.8924550502305189</v>
      </c>
      <c r="I1978" s="3">
        <f t="shared" ref="I1978" si="2039">SUM(I1979:I2001)</f>
        <v>2.9279253936472802</v>
      </c>
      <c r="J1978" s="3">
        <f t="shared" ref="J1978" si="2040">SUM(J1979:J2001)</f>
        <v>2.9483448647740977</v>
      </c>
      <c r="K1978" s="3">
        <f t="shared" ref="K1978:L1978" si="2041">SUM(K1979:K2001)</f>
        <v>2.9304027831684891</v>
      </c>
      <c r="L1978" s="3">
        <f t="shared" si="2041"/>
        <v>2.8521725557545183</v>
      </c>
      <c r="N1978" s="1"/>
    </row>
    <row r="1979" spans="2:14" x14ac:dyDescent="0.35">
      <c r="B1979" s="5" t="str">
        <f t="shared" ref="B1979:B2001" si="2042">B1978</f>
        <v>SPS1</v>
      </c>
      <c r="C1979" s="5" t="str">
        <f t="shared" ref="C1979:C2001" si="204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2"/>
        <v>SPS1</v>
      </c>
      <c r="C1980" s="5" t="str">
        <f t="shared" si="204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0.30631207153056489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0.29364389716094486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0.90695622036366719</v>
      </c>
      <c r="N1980" s="1"/>
    </row>
    <row r="1981" spans="2:14" x14ac:dyDescent="0.35">
      <c r="B1981" s="5" t="str">
        <f t="shared" si="2042"/>
        <v>SPS1</v>
      </c>
      <c r="C1981" s="5" t="str">
        <f t="shared" si="204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0.70231434649404234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0.82245235666215932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1.2119783268095574</v>
      </c>
      <c r="N1981" s="1"/>
    </row>
    <row r="1982" spans="2:14" x14ac:dyDescent="0.35">
      <c r="B1982" s="5" t="str">
        <f t="shared" si="2042"/>
        <v>SPS1</v>
      </c>
      <c r="C1982" s="5" t="str">
        <f t="shared" si="204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9.6945576607748302E-3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1.92407007783068E-2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0.22113941679743801</v>
      </c>
      <c r="N1982" s="1"/>
    </row>
    <row r="1983" spans="2:14" x14ac:dyDescent="0.35">
      <c r="B1983" s="5" t="str">
        <f t="shared" si="2042"/>
        <v>SPS1</v>
      </c>
      <c r="C1983" s="5" t="str">
        <f t="shared" si="204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3.9646452614132795E-4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5.5234619418879016E-4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2.1655966036290001E-4</v>
      </c>
      <c r="N1983" s="1"/>
    </row>
    <row r="1984" spans="2:14" x14ac:dyDescent="0.35">
      <c r="B1984" s="5" t="str">
        <f t="shared" si="2042"/>
        <v>SPS1</v>
      </c>
      <c r="C1984" s="5" t="str">
        <f t="shared" si="204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3.1229421172755202E-5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8.0285278714360986E-6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4.8285998592126801E-6</v>
      </c>
      <c r="N1984" s="1"/>
    </row>
    <row r="1985" spans="2:14" x14ac:dyDescent="0.35">
      <c r="B1985" s="5" t="str">
        <f t="shared" si="2042"/>
        <v>SPS1</v>
      </c>
      <c r="C1985" s="5" t="str">
        <f t="shared" si="204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2.10366244559454E-6</v>
      </c>
      <c r="N1985" s="1"/>
    </row>
    <row r="1986" spans="2:14" x14ac:dyDescent="0.35">
      <c r="B1986" s="5" t="str">
        <f t="shared" si="2042"/>
        <v>SPS1</v>
      </c>
      <c r="C1986" s="5" t="str">
        <f t="shared" si="204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2"/>
        <v>SPS1</v>
      </c>
      <c r="C1987" s="5" t="str">
        <f t="shared" si="204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2"/>
        <v>SPS1</v>
      </c>
      <c r="C1988" s="5" t="str">
        <f t="shared" si="204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1.38544473518883E-2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6.6202007005997749E-3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0.463828204953112</v>
      </c>
      <c r="N1988" s="1"/>
    </row>
    <row r="1989" spans="2:14" x14ac:dyDescent="0.35">
      <c r="B1989" s="5" t="str">
        <f t="shared" si="2042"/>
        <v>SPS1</v>
      </c>
      <c r="C1989" s="5" t="str">
        <f t="shared" si="204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9.2230397334390826E-3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7.2396228426937484E-3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3.5544181141756201E-3</v>
      </c>
      <c r="N1989" s="1"/>
    </row>
    <row r="1990" spans="2:14" x14ac:dyDescent="0.35">
      <c r="B1990" s="5" t="str">
        <f t="shared" si="2042"/>
        <v>SPS1</v>
      </c>
      <c r="C1990" s="5" t="str">
        <f t="shared" si="204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1.6999681090218002E-2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0.12048577642293601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3.7594371350441497E-2</v>
      </c>
      <c r="N1990" s="1"/>
    </row>
    <row r="1991" spans="2:14" x14ac:dyDescent="0.35">
      <c r="B1991" s="5" t="str">
        <f t="shared" si="2042"/>
        <v>SPS1</v>
      </c>
      <c r="C1991" s="5" t="str">
        <f t="shared" si="204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9.7160986650028698E-5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1.4212610705018901E-4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3.8087645926467102E-5</v>
      </c>
      <c r="N1991" s="1"/>
    </row>
    <row r="1992" spans="2:14" x14ac:dyDescent="0.35">
      <c r="B1992" s="5" t="str">
        <f t="shared" si="2042"/>
        <v>SPS1</v>
      </c>
      <c r="C1992" s="5" t="str">
        <f t="shared" si="204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2"/>
        <v>SPS1</v>
      </c>
      <c r="C1993" s="5" t="str">
        <f t="shared" si="204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1.1073652214662704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1.1097563498751855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1.7187557706160113E-3</v>
      </c>
      <c r="N1993" s="1"/>
    </row>
    <row r="1994" spans="2:14" x14ac:dyDescent="0.35">
      <c r="B1994" s="5" t="str">
        <f t="shared" si="2042"/>
        <v>SPS1</v>
      </c>
      <c r="C1994" s="5" t="str">
        <f t="shared" si="204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0.5385703969200456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0.420228030606212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1.2566402290969947E-3</v>
      </c>
      <c r="N1994" s="1"/>
    </row>
    <row r="1995" spans="2:14" x14ac:dyDescent="0.35">
      <c r="B1995" s="5" t="str">
        <f t="shared" si="2042"/>
        <v>SPS1</v>
      </c>
      <c r="C1995" s="5" t="str">
        <f t="shared" si="204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0.24017773697040198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0.12679786301888299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9.8997510431540693E-4</v>
      </c>
      <c r="N1995" s="1"/>
    </row>
    <row r="1996" spans="2:14" x14ac:dyDescent="0.35">
      <c r="B1996" s="5" t="str">
        <f t="shared" si="2042"/>
        <v>SPS1</v>
      </c>
      <c r="C1996" s="5" t="str">
        <f t="shared" si="204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9.7808436583149891E-5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1.4140589555046402E-4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3.3645731867487899E-5</v>
      </c>
      <c r="N1996" s="1"/>
    </row>
    <row r="1997" spans="2:14" x14ac:dyDescent="0.35">
      <c r="B1997" s="5" t="str">
        <f t="shared" si="2042"/>
        <v>SPS1</v>
      </c>
      <c r="C1997" s="5" t="str">
        <f t="shared" si="204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2"/>
        <v>SPS1</v>
      </c>
      <c r="C1998" s="5" t="str">
        <f t="shared" si="204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1.0764701125511899E-3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8.6076419285288197E-4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1.2370546516178487E-3</v>
      </c>
      <c r="N1998" s="1"/>
    </row>
    <row r="1999" spans="2:14" x14ac:dyDescent="0.35">
      <c r="B1999" s="5" t="str">
        <f t="shared" si="2042"/>
        <v>SPS1</v>
      </c>
      <c r="C1999" s="5" t="str">
        <f t="shared" si="204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2.10343902039275E-4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1.41299880114445E-3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2.553451788080094E-6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1.2425171235028066E-3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1.00402134036858E-3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8.2396541032729001E-4</v>
      </c>
      <c r="N1999" s="1"/>
    </row>
    <row r="2000" spans="2:14" x14ac:dyDescent="0.35">
      <c r="B2000" s="5" t="str">
        <f t="shared" si="2042"/>
        <v>SPS1</v>
      </c>
      <c r="C2000" s="5" t="str">
        <f t="shared" si="204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8.3550297937903307E-4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1.1495434916379201E-3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7.7364128236382301E-4</v>
      </c>
      <c r="N2000" s="1"/>
    </row>
    <row r="2001" spans="2:14" x14ac:dyDescent="0.35">
      <c r="B2001" s="5" t="str">
        <f t="shared" si="2042"/>
        <v>SPS1</v>
      </c>
      <c r="C2001" s="5" t="str">
        <f t="shared" si="204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5.6211970471648898E-5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7.9749351048230007E-5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2.6339617327624E-5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44">SUM(G2003:G2011)</f>
        <v>399.40196087035844</v>
      </c>
      <c r="H2002" s="3">
        <f t="shared" si="2044"/>
        <v>406.73857829684556</v>
      </c>
      <c r="I2002" s="3">
        <f t="shared" si="2044"/>
        <v>418.96704142969361</v>
      </c>
      <c r="J2002" s="3">
        <f t="shared" si="2044"/>
        <v>445.13965776374948</v>
      </c>
      <c r="K2002" s="3">
        <f t="shared" si="2044"/>
        <v>471.30377073005974</v>
      </c>
      <c r="L2002" s="3">
        <f t="shared" ref="L2002" si="2045">SUM(L2003:L2011)</f>
        <v>512.91755930324598</v>
      </c>
      <c r="N2002" s="1"/>
    </row>
    <row r="2003" spans="2:14" x14ac:dyDescent="0.35">
      <c r="B2003" s="5" t="str">
        <f t="shared" ref="B2003:B2011" si="2046">B2002</f>
        <v>SPS1</v>
      </c>
      <c r="C2003" s="5" t="str">
        <f t="shared" ref="C2003:C2011" si="204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46"/>
        <v>SPS1</v>
      </c>
      <c r="C2004" s="5" t="str">
        <f t="shared" si="204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159.21042381797329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182.61094462353211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429.15572142730946</v>
      </c>
      <c r="N2004" s="1"/>
    </row>
    <row r="2005" spans="2:14" x14ac:dyDescent="0.35">
      <c r="B2005" s="5" t="str">
        <f t="shared" si="2046"/>
        <v>SPS1</v>
      </c>
      <c r="C2005" s="5" t="str">
        <f t="shared" si="204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3.686776437636229E-4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3.6002994617117797E-4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3.4901016572742004E-4</v>
      </c>
      <c r="N2005" s="1"/>
    </row>
    <row r="2006" spans="2:14" x14ac:dyDescent="0.35">
      <c r="B2006" s="5" t="str">
        <f t="shared" si="2046"/>
        <v>SPS1</v>
      </c>
      <c r="C2006" s="5" t="str">
        <f t="shared" si="204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46"/>
        <v>SPS1</v>
      </c>
      <c r="C2007" s="5" t="str">
        <f t="shared" si="204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28.399074505561881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3.9518775703232767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46"/>
        <v>SPS1</v>
      </c>
      <c r="C2008" s="5" t="str">
        <f t="shared" si="204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46"/>
        <v>SPS1</v>
      </c>
      <c r="C2009" s="5" t="str">
        <f t="shared" si="204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0.12314083854544279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6.360397719519563E-2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2.147755029665574E-2</v>
      </c>
      <c r="N2009" s="1"/>
    </row>
    <row r="2010" spans="2:14" x14ac:dyDescent="0.35">
      <c r="B2010" s="5" t="str">
        <f t="shared" si="2046"/>
        <v>SPS1</v>
      </c>
      <c r="C2010" s="5" t="str">
        <f t="shared" si="204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256.92076873390357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284.19109898456674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83.622510207297196</v>
      </c>
      <c r="N2010" s="1"/>
    </row>
    <row r="2011" spans="2:14" x14ac:dyDescent="0.35">
      <c r="B2011" s="5" t="str">
        <f t="shared" si="2046"/>
        <v>SPS1</v>
      </c>
      <c r="C2011" s="5" t="str">
        <f t="shared" si="204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0.48588119012152098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0.48588554449629556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0.11750110817692504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48">SUM(G2013:G2021)</f>
        <v>42.364688368162582</v>
      </c>
      <c r="H2012" s="3">
        <f t="shared" ref="H2012" si="2049">SUM(H2013:H2021)</f>
        <v>43.459536196596972</v>
      </c>
      <c r="I2012" s="3">
        <f t="shared" ref="I2012" si="2050">SUM(I2013:I2021)</f>
        <v>45.296477075406145</v>
      </c>
      <c r="J2012" s="3">
        <f t="shared" ref="J2012" si="2051">SUM(J2013:J2021)</f>
        <v>47.509331982934349</v>
      </c>
      <c r="K2012" s="3">
        <f t="shared" ref="K2012:L2012" si="2052">SUM(K2013:K2021)</f>
        <v>49.722200402599071</v>
      </c>
      <c r="L2012" s="3">
        <f t="shared" si="2052"/>
        <v>54.009488714191043</v>
      </c>
      <c r="N2012" s="1"/>
    </row>
    <row r="2013" spans="2:14" x14ac:dyDescent="0.35">
      <c r="B2013" s="5" t="str">
        <f t="shared" ref="B2013:B2021" si="2053">B2012</f>
        <v>SPS1</v>
      </c>
      <c r="C2013" s="5" t="str">
        <f t="shared" ref="C2013:C2021" si="205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3"/>
        <v>SPS1</v>
      </c>
      <c r="C2014" s="5" t="str">
        <f t="shared" si="205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1.2514919307118001E-2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1.3196292570925484E-2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44.5488168225367</v>
      </c>
      <c r="N2014" s="1"/>
    </row>
    <row r="2015" spans="2:14" x14ac:dyDescent="0.35">
      <c r="B2015" s="5" t="str">
        <f t="shared" si="2053"/>
        <v>SPS1</v>
      </c>
      <c r="C2015" s="5" t="str">
        <f t="shared" si="205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1.9477729414724379E-4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6.3855711059411209E-4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7.1662306216397492E-4</v>
      </c>
      <c r="N2015" s="1"/>
    </row>
    <row r="2016" spans="2:14" x14ac:dyDescent="0.35">
      <c r="B2016" s="5" t="str">
        <f t="shared" si="2053"/>
        <v>SPS1</v>
      </c>
      <c r="C2016" s="5" t="str">
        <f t="shared" si="205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3"/>
        <v>SPS1</v>
      </c>
      <c r="C2017" s="5" t="str">
        <f t="shared" si="205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3"/>
        <v>SPS1</v>
      </c>
      <c r="C2018" s="5" t="str">
        <f t="shared" si="205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3"/>
        <v>SPS1</v>
      </c>
      <c r="C2019" s="5" t="str">
        <f t="shared" si="205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2.3532897440691298E-3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3.6454057941833497E-3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8.2590591816304498E-4</v>
      </c>
      <c r="N2019" s="1"/>
    </row>
    <row r="2020" spans="2:14" x14ac:dyDescent="0.35">
      <c r="B2020" s="5" t="str">
        <f t="shared" si="2053"/>
        <v>SPS1</v>
      </c>
      <c r="C2020" s="5" t="str">
        <f t="shared" si="205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47.440019254842987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49.650452474188498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9.4048636350148911</v>
      </c>
      <c r="N2020" s="1"/>
    </row>
    <row r="2021" spans="2:14" x14ac:dyDescent="0.35">
      <c r="B2021" s="5" t="str">
        <f t="shared" si="2053"/>
        <v>SPS1</v>
      </c>
      <c r="C2021" s="5" t="str">
        <f t="shared" si="205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5.4249741746023802E-2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5.4267672934868699E-2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5.4265727659125303E-2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5">SUM(F2023,F2027,F2030)</f>
        <v>4.11416983932213E-4</v>
      </c>
      <c r="G2022" s="3">
        <f t="shared" ref="G2022" si="2056">SUM(G2023,G2027,G2030)</f>
        <v>4.1370970511649352E-4</v>
      </c>
      <c r="H2022" s="3">
        <f t="shared" ref="H2022" si="2057">SUM(H2023,H2027,H2030)</f>
        <v>4.1473787433655361E-4</v>
      </c>
      <c r="I2022" s="3">
        <f t="shared" ref="I2022" si="2058">SUM(I2023,I2027,I2030)</f>
        <v>4.3461317963369809E-4</v>
      </c>
      <c r="J2022" s="3">
        <f t="shared" ref="J2022" si="2059">SUM(J2023,J2027,J2030)</f>
        <v>1.9594571093916765E-2</v>
      </c>
      <c r="K2022" s="3">
        <f t="shared" ref="K2022:L2022" si="2060">SUM(K2023,K2027,K2030)</f>
        <v>0.36152056107502201</v>
      </c>
      <c r="L2022" s="3">
        <f t="shared" si="2060"/>
        <v>0.95094274354476593</v>
      </c>
      <c r="N2022" s="1"/>
    </row>
    <row r="2023" spans="2:14" x14ac:dyDescent="0.35">
      <c r="B2023" s="5" t="str">
        <f t="shared" ref="B2023:B2032" si="2061">B2022</f>
        <v>SPS1</v>
      </c>
      <c r="C2023" s="5" t="str">
        <f t="shared" ref="C2023:C2032" si="206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SUMPRODUCT(ISNUMBER(SEARCH("SUP_ELCH2*",[2]OUT_SyntheticFuels!$C$4:$C$1000))*1,("Var_cap"=[2]OUT_SyntheticFuels!$B$4:$B$1000)*1,[2]OUT_SyntheticFuels!I$4:I$1000)</f>
        <v>1.9594032013600434E-2</v>
      </c>
      <c r="K2023" s="1" cm="1">
        <f t="array" ref="K2023">SUMPRODUCT(ISNUMBER(SEARCH("SUP_ELCH2*",[2]OUT_SyntheticFuels!$C$4:$C$1000))*1,("Var_cap"=[2]OUT_SyntheticFuels!$B$4:$B$1000)*1,[2]OUT_SyntheticFuels!J$4:J$1000)</f>
        <v>0.36152004417484718</v>
      </c>
      <c r="L2023" s="1" cm="1">
        <f t="array" ref="L2023">SUMPRODUCT(ISNUMBER(SEARCH("SUP_ELCH2*",[2]OUT_SyntheticFuels!$C$4:$C$1000))*1,("Var_cap"=[2]OUT_SyntheticFuels!$B$4:$B$1000)*1,[2]OUT_SyntheticFuels!K$4:K$1000)</f>
        <v>0.95094236561868406</v>
      </c>
      <c r="N2023" s="1"/>
    </row>
    <row r="2024" spans="2:14" x14ac:dyDescent="0.35">
      <c r="B2024" s="5" t="str">
        <f t="shared" si="2061"/>
        <v>SPS1</v>
      </c>
      <c r="C2024" s="5" t="str">
        <f t="shared" si="2062"/>
        <v>CH</v>
      </c>
      <c r="D2024" t="s">
        <v>2145</v>
      </c>
      <c r="E2024" t="s">
        <v>2154</v>
      </c>
      <c r="F2024" s="1">
        <f t="shared" ref="F2024" si="2063">F2023-F2025-F2026</f>
        <v>4.11416983932213E-4</v>
      </c>
      <c r="G2024" s="1">
        <f t="shared" ref="G2024" si="2064">G2023-G2025-G2026</f>
        <v>4.1370970511649352E-4</v>
      </c>
      <c r="H2024" s="1">
        <f t="shared" ref="H2024" si="2065">H2023-H2025-H2026</f>
        <v>4.1473787433655361E-4</v>
      </c>
      <c r="I2024" s="1">
        <f t="shared" ref="I2024" si="2066">I2023-I2025-I2026</f>
        <v>4.3394158152939731E-4</v>
      </c>
      <c r="J2024" s="1">
        <f t="shared" ref="J2024" si="2067">J2023-J2025-J2026</f>
        <v>1.9594032013600434E-2</v>
      </c>
      <c r="K2024" s="1">
        <f t="shared" ref="K2024:L2024" si="2068">K2023-K2025-K2026</f>
        <v>0.36152004417484718</v>
      </c>
      <c r="L2024" s="1">
        <f t="shared" si="2068"/>
        <v>0.95094236561868406</v>
      </c>
      <c r="N2024" s="1"/>
    </row>
    <row r="2025" spans="2:14" x14ac:dyDescent="0.35">
      <c r="B2025" s="5" t="str">
        <f t="shared" si="2061"/>
        <v>SPS1</v>
      </c>
      <c r="C2025" s="5" t="str">
        <f t="shared" si="206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SUMPRODUCT(ISNUMBER(SEARCH("SUP_ELCH2*D",[2]OUT_SyntheticFuels!$C$4:$C$1000))*1,("Var_cap"=[2]OUT_SyntheticFuels!$B$4:$B$1000)*1,[2]OUT_SyntheticFuels!I$4:I$1000)</f>
        <v>0</v>
      </c>
      <c r="K2025" s="1" cm="1">
        <f t="array" ref="K2025">SUMPRODUCT(ISNUMBER(SEARCH("SUP_ELCH2*D",[2]OUT_SyntheticFuels!$C$4:$C$1000))*1,("Var_cap"=[2]OUT_SyntheticFuels!$B$4:$B$1000)*1,[2]OUT_SyntheticFuels!J$4:J$1000)</f>
        <v>0</v>
      </c>
      <c r="L2025" s="1" cm="1">
        <f t="array" ref="L2025">SUMPRODUCT(ISNUMBER(SEARCH("SUP_ELCH2*D",[2]OUT_SyntheticFuels!$C$4:$C$1000))*1,("Var_cap"=[2]OUT_SyntheticFuels!$B$4:$B$1000)*1,[2]OUT_SyntheticFuels!K$4:K$1000)</f>
        <v>0</v>
      </c>
      <c r="N2025" s="1"/>
    </row>
    <row r="2026" spans="2:14" x14ac:dyDescent="0.35">
      <c r="B2026" s="5" t="str">
        <f t="shared" si="2061"/>
        <v>SPS1</v>
      </c>
      <c r="C2026" s="5" t="str">
        <f t="shared" si="206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0</v>
      </c>
      <c r="L2026" s="1" cm="1">
        <f t="array" ref="L2026">SUMPRODUCT(ISNUMBER(SEARCH("SUP_ELCH2*SOEC*",[2]OUT_SyntheticFuels!$C$4:$C$1000))*1,("Var_cap"=[2]OUT_SyntheticFuels!$B$4:$B$1000)*1,[2]OUT_SyntheticFuels!K$4:K$1000)</f>
        <v>0</v>
      </c>
      <c r="N2026" s="1"/>
    </row>
    <row r="2027" spans="2:14" x14ac:dyDescent="0.35">
      <c r="B2027" s="5" t="str">
        <f t="shared" si="2061"/>
        <v>SPS1</v>
      </c>
      <c r="C2027" s="5" t="str">
        <f t="shared" si="2062"/>
        <v>CH</v>
      </c>
      <c r="D2027" t="s">
        <v>2148</v>
      </c>
      <c r="E2027" t="s">
        <v>2154</v>
      </c>
      <c r="F2027" s="1">
        <f t="shared" ref="F2027" si="2069">SUM(F2028:F2029)</f>
        <v>0</v>
      </c>
      <c r="G2027" s="1">
        <f t="shared" ref="G2027" si="2070">SUM(G2028:G2029)</f>
        <v>0</v>
      </c>
      <c r="H2027" s="1">
        <f t="shared" ref="H2027" si="2071">SUM(H2028:H2029)</f>
        <v>0</v>
      </c>
      <c r="I2027" s="1">
        <f t="shared" ref="I2027" si="2072">SUM(I2028:I2029)</f>
        <v>6.7159810430076696E-7</v>
      </c>
      <c r="J2027" s="1">
        <f t="shared" ref="J2027" si="2073">SUM(J2028:J2029)</f>
        <v>5.3908031632976106E-7</v>
      </c>
      <c r="K2027" s="1">
        <f t="shared" ref="K2027:L2027" si="2074">SUM(K2028:K2029)</f>
        <v>5.1690017484261204E-7</v>
      </c>
      <c r="L2027" s="1">
        <f t="shared" si="2074"/>
        <v>3.7792608187720508E-7</v>
      </c>
      <c r="N2027" s="1"/>
    </row>
    <row r="2028" spans="2:14" x14ac:dyDescent="0.35">
      <c r="B2028" s="5" t="str">
        <f t="shared" si="2061"/>
        <v>SPS1</v>
      </c>
      <c r="C2028" s="5" t="str">
        <f t="shared" si="206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SUMPRODUCT(ISNUMBER(SEARCH("SUP_NGAH2",[2]OUT_SyntheticFuels!$C$4:$C$1000))*1,("Var_cap"=[2]OUT_SyntheticFuels!$B$4:$B$1000)*1,[2]OUT_SyntheticFuels!I$4:I$1000)-J2029</f>
        <v>5.3908031632976106E-7</v>
      </c>
      <c r="K2028" s="1" cm="1">
        <f t="array" ref="K2028">SUMPRODUCT(ISNUMBER(SEARCH("SUP_NGAH2",[2]OUT_SyntheticFuels!$C$4:$C$1000))*1,("Var_cap"=[2]OUT_SyntheticFuels!$B$4:$B$1000)*1,[2]OUT_SyntheticFuels!J$4:J$1000)-K2029</f>
        <v>5.1690017484261204E-7</v>
      </c>
      <c r="L2028" s="1" cm="1">
        <f t="array" ref="L2028">SUMPRODUCT(ISNUMBER(SEARCH("SUP_NGAH2",[2]OUT_SyntheticFuels!$C$4:$C$1000))*1,("Var_cap"=[2]OUT_SyntheticFuels!$B$4:$B$1000)*1,[2]OUT_SyntheticFuels!K$4:K$1000)-L2029</f>
        <v>3.7792608187720508E-7</v>
      </c>
      <c r="N2028" s="1"/>
    </row>
    <row r="2029" spans="2:14" x14ac:dyDescent="0.35">
      <c r="B2029" s="5" t="str">
        <f t="shared" si="2061"/>
        <v>SPS1</v>
      </c>
      <c r="C2029" s="5" t="str">
        <f t="shared" si="206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1"/>
        <v>SPS1</v>
      </c>
      <c r="C2030" s="5" t="str">
        <f t="shared" si="2062"/>
        <v>CH</v>
      </c>
      <c r="D2030" t="s">
        <v>2151</v>
      </c>
      <c r="E2030" t="s">
        <v>2154</v>
      </c>
      <c r="F2030" s="1">
        <f t="shared" ref="F2030" si="2075">SUM(F2031:F2032)</f>
        <v>0</v>
      </c>
      <c r="G2030" s="1">
        <f t="shared" ref="G2030" si="2076">SUM(G2031:G2032)</f>
        <v>0</v>
      </c>
      <c r="H2030" s="1">
        <f t="shared" ref="H2030" si="2077">SUM(H2031:H2032)</f>
        <v>0</v>
      </c>
      <c r="I2030" s="1">
        <f t="shared" ref="I2030" si="2078">SUM(I2031:I2032)</f>
        <v>0</v>
      </c>
      <c r="J2030" s="1">
        <f t="shared" ref="J2030" si="2079">SUM(J2031:J2032)</f>
        <v>0</v>
      </c>
      <c r="K2030" s="1">
        <f t="shared" ref="K2030:L2030" si="2080">SUM(K2031:K2032)</f>
        <v>0</v>
      </c>
      <c r="L2030" s="1">
        <f t="shared" si="2080"/>
        <v>0</v>
      </c>
      <c r="N2030" s="1"/>
    </row>
    <row r="2031" spans="2:14" x14ac:dyDescent="0.35">
      <c r="B2031" s="5" t="str">
        <f t="shared" si="2061"/>
        <v>SPS1</v>
      </c>
      <c r="C2031" s="5" t="str">
        <f t="shared" si="206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1"/>
        <v>SPS1</v>
      </c>
      <c r="C2032" s="5" t="str">
        <f t="shared" si="206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1">B2033</f>
        <v>SPS1</v>
      </c>
      <c r="C2034" s="5" t="str">
        <f t="shared" ref="C2034:C2049" si="208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SUMPRODUCT(("CT_CWODBDS"=[2]OUT_SyntheticFuels!$C$4:$C$1000)*1,("Var_cap"=[2]OUT_SyntheticFuels!$B$4:$B$1000)*1,[2]OUT_SyntheticFuels!I$4:I$1000)</f>
        <v>-1.1519069649003344E-7</v>
      </c>
      <c r="K2034" s="7" cm="1">
        <f t="array" ref="K2034">SUMPRODUCT(("CT_CWODBDS"=[2]OUT_SyntheticFuels!$C$4:$C$1000)*1,("Var_cap"=[2]OUT_SyntheticFuels!$B$4:$B$1000)*1,[2]OUT_SyntheticFuels!J$4:J$1000)</f>
        <v>0</v>
      </c>
      <c r="L2034" s="7" cm="1">
        <f t="array" ref="L2034">SUMPRODUCT(("CT_CWODBDS"=[2]OUT_SyntheticFuels!$C$4:$C$1000)*1,("Var_cap"=[2]OUT_SyntheticFuels!$B$4:$B$1000)*1,[2]OUT_SyntheticFuels!K$4:K$1000)</f>
        <v>0</v>
      </c>
      <c r="N2034" s="1"/>
    </row>
    <row r="2035" spans="2:14" x14ac:dyDescent="0.35">
      <c r="B2035" s="5" t="str">
        <f t="shared" si="2081"/>
        <v>SPS1</v>
      </c>
      <c r="C2035" s="5" t="str">
        <f t="shared" si="208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1"/>
        <v>SPS1</v>
      </c>
      <c r="C2036" s="5" t="str">
        <f t="shared" si="208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SUMPRODUCT(("CT_CWODETH"=[2]OUT_SyntheticFuels!$C$4:$C$1000)*1,("Var_cap"=[2]OUT_SyntheticFuels!$B$4:$B$1000)*1,[2]OUT_SyntheticFuels!I$4:I$1000)</f>
        <v>0</v>
      </c>
      <c r="K2036" s="7" cm="1">
        <f t="array" ref="K2036">SUMPRODUCT(("CT_CWODETH"=[2]OUT_SyntheticFuels!$C$4:$C$1000)*1,("Var_cap"=[2]OUT_SyntheticFuels!$B$4:$B$1000)*1,[2]OUT_SyntheticFuels!J$4:J$1000)</f>
        <v>0</v>
      </c>
      <c r="L2036" s="7" cm="1">
        <f t="array" ref="L2036">SUMPRODUCT(("CT_CWODETH"=[2]OUT_SyntheticFuels!$C$4:$C$1000)*1,("Var_cap"=[2]OUT_SyntheticFuels!$B$4:$B$1000)*1,[2]OUT_SyntheticFuels!K$4:K$1000)</f>
        <v>0</v>
      </c>
      <c r="N2036" s="1"/>
    </row>
    <row r="2037" spans="2:14" x14ac:dyDescent="0.35">
      <c r="B2037" s="5" t="str">
        <f t="shared" si="2081"/>
        <v>SPS1</v>
      </c>
      <c r="C2037" s="5" t="str">
        <f t="shared" si="208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1"/>
        <v>SPS1</v>
      </c>
      <c r="C2038" s="5" t="str">
        <f t="shared" si="208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SUMPRODUCT(("SUP_MNRBIO"=[2]OUT_SyntheticFuels!$C$4:$C$1000)*1,("Var_cap"=[2]OUT_SyntheticFuels!$B$4:$B$1000)*1,[2]OUT_SyntheticFuels!I$4:I$1000)</f>
        <v>0.16240422563464965</v>
      </c>
      <c r="K2038" s="7" cm="1">
        <f t="array" ref="K2038">SUMPRODUCT(("SUP_MNRBIO"=[2]OUT_SyntheticFuels!$C$4:$C$1000)*1,("Var_cap"=[2]OUT_SyntheticFuels!$B$4:$B$1000)*1,[2]OUT_SyntheticFuels!J$4:J$1000)</f>
        <v>0.22095938664132089</v>
      </c>
      <c r="L2038" s="7" cm="1">
        <f t="array" ref="L2038">SUMPRODUCT(("SUP_MNRBIO"=[2]OUT_SyntheticFuels!$C$4:$C$1000)*1,("Var_cap"=[2]OUT_SyntheticFuels!$B$4:$B$1000)*1,[2]OUT_SyntheticFuels!K$4:K$1000)</f>
        <v>0.25215234218235122</v>
      </c>
      <c r="N2038" s="1"/>
    </row>
    <row r="2039" spans="2:14" x14ac:dyDescent="0.35">
      <c r="B2039" s="5" t="str">
        <f t="shared" si="2081"/>
        <v>SPS1</v>
      </c>
      <c r="C2039" s="5" t="str">
        <f t="shared" si="208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SUMPRODUCT(("SUP_WSTBIO"=[2]OUT_SyntheticFuels!$C$4:$C$1000)*1,("Var_cap"=[2]OUT_SyntheticFuels!$B$4:$B$1000)*1,[2]OUT_SyntheticFuels!I$4:I$1000)</f>
        <v>0.29244750898900612</v>
      </c>
      <c r="K2039" s="7" cm="1">
        <f t="array" ref="K2039">SUMPRODUCT(("SUP_WSTBIO"=[2]OUT_SyntheticFuels!$C$4:$C$1000)*1,("Var_cap"=[2]OUT_SyntheticFuels!$B$4:$B$1000)*1,[2]OUT_SyntheticFuels!J$4:J$1000)</f>
        <v>0.31763584355681451</v>
      </c>
      <c r="L2039" s="7" cm="1">
        <f t="array" ref="L2039">SUMPRODUCT(("SUP_WSTBIO"=[2]OUT_SyntheticFuels!$C$4:$C$1000)*1,("Var_cap"=[2]OUT_SyntheticFuels!$B$4:$B$1000)*1,[2]OUT_SyntheticFuels!K$4:K$1000)</f>
        <v>0.37190851017277471</v>
      </c>
      <c r="N2039" s="1"/>
    </row>
    <row r="2040" spans="2:14" x14ac:dyDescent="0.35">
      <c r="B2040" s="5" t="str">
        <f t="shared" si="2081"/>
        <v>SPS1</v>
      </c>
      <c r="C2040" s="5" t="str">
        <f t="shared" si="208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1"/>
        <v>SPS1</v>
      </c>
      <c r="C2041" s="5" t="str">
        <f t="shared" si="208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3.73180030938305E-3</v>
      </c>
      <c r="L2041" s="7" cm="1">
        <f t="array" ref="L2041">SUMPRODUCT(("SUP_WSTHTGBIO"=[2]OUT_SyntheticFuels!$C$4:$C$1000)*1,("Var_cap"=[2]OUT_SyntheticFuels!$B$4:$B$1000)*1,[2]OUT_SyntheticFuels!K$4:K$1000)</f>
        <v>4.3715793645094014E-3</v>
      </c>
      <c r="N2041" s="1"/>
    </row>
    <row r="2042" spans="2:14" x14ac:dyDescent="0.35">
      <c r="B2042" s="5" t="str">
        <f t="shared" si="2081"/>
        <v>SPS1</v>
      </c>
      <c r="C2042" s="5" t="str">
        <f t="shared" si="208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1"/>
        <v>SPS1</v>
      </c>
      <c r="C2043" s="5" t="str">
        <f t="shared" si="208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SUMPRODUCT(("SUP_WODBIO"=[2]OUT_SyntheticFuels!$C$4:$C$1000)*1,("Var_cap"=[2]OUT_SyntheticFuels!$B$4:$B$1000)*1,[2]OUT_SyntheticFuels!I$4:I$1000)</f>
        <v>0</v>
      </c>
      <c r="K2043" s="7" cm="1">
        <f t="array" ref="K2043">SUMPRODUCT(("SUP_WODBIO"=[2]OUT_SyntheticFuels!$C$4:$C$1000)*1,("Var_cap"=[2]OUT_SyntheticFuels!$B$4:$B$1000)*1,[2]OUT_SyntheticFuels!J$4:J$1000)</f>
        <v>0</v>
      </c>
      <c r="L2043" s="7" cm="1">
        <f t="array" ref="L2043">SUMPRODUCT(("SUP_WODBIO"=[2]OUT_SyntheticFuels!$C$4:$C$1000)*1,("Var_cap"=[2]OUT_SyntheticFuels!$B$4:$B$1000)*1,[2]OUT_SyntheticFuels!K$4:K$1000)</f>
        <v>0</v>
      </c>
      <c r="N2043" s="1"/>
    </row>
    <row r="2044" spans="2:14" x14ac:dyDescent="0.35">
      <c r="B2044" s="5" t="str">
        <f t="shared" si="2081"/>
        <v>SPS1</v>
      </c>
      <c r="C2044" s="5" t="str">
        <f t="shared" si="208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1"/>
        <v>SPS1</v>
      </c>
      <c r="C2045" s="5" t="str">
        <f t="shared" si="208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SUMPRODUCT(("SUP_BIONGA"=[2]OUT_SyntheticFuels!$C$4:$C$1000)*1,("Var_cap"=[2]OUT_SyntheticFuels!$B$4:$B$1000)*1,[2]OUT_SyntheticFuels!I$4:I$1000)</f>
        <v>0.14376578490708425</v>
      </c>
      <c r="K2045" s="7" cm="1">
        <f t="array" ref="K2045">SUMPRODUCT(("SUP_BIONGA"=[2]OUT_SyntheticFuels!$C$4:$C$1000)*1,("Var_cap"=[2]OUT_SyntheticFuels!$B$4:$B$1000)*1,[2]OUT_SyntheticFuels!J$4:J$1000)</f>
        <v>0.10336342738163956</v>
      </c>
      <c r="L2045" s="7" cm="1">
        <f t="array" ref="L2045">SUMPRODUCT(("SUP_BIONGA"=[2]OUT_SyntheticFuels!$C$4:$C$1000)*1,("Var_cap"=[2]OUT_SyntheticFuels!$B$4:$B$1000)*1,[2]OUT_SyntheticFuels!K$4:K$1000)</f>
        <v>0.17417806420841805</v>
      </c>
      <c r="N2045" s="1"/>
    </row>
    <row r="2046" spans="2:14" x14ac:dyDescent="0.35">
      <c r="B2046" s="5" t="str">
        <f t="shared" si="2081"/>
        <v>SPS1</v>
      </c>
      <c r="C2046" s="5" t="str">
        <f t="shared" si="208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SUMPRODUCT(("CT_CWODPLT"=[2]OUT_SyntheticFuels!$C$4:$C$1000)*1,("Var_cap"=[2]OUT_SyntheticFuels!$B$4:$B$1000)*1,[2]OUT_SyntheticFuels!I$4:I$1000)</f>
        <v>5.4687012094439574E-2</v>
      </c>
      <c r="K2046" s="7" cm="1">
        <f t="array" ref="K2046">SUMPRODUCT(("CT_CWODPLT"=[2]OUT_SyntheticFuels!$C$4:$C$1000)*1,("Var_cap"=[2]OUT_SyntheticFuels!$B$4:$B$1000)*1,[2]OUT_SyntheticFuels!J$4:J$1000)</f>
        <v>4.4505456911754504E-2</v>
      </c>
      <c r="L2046" s="7" cm="1">
        <f t="array" ref="L2046">SUMPRODUCT(("CT_CWODPLT"=[2]OUT_SyntheticFuels!$C$4:$C$1000)*1,("Var_cap"=[2]OUT_SyntheticFuels!$B$4:$B$1000)*1,[2]OUT_SyntheticFuels!K$4:K$1000)</f>
        <v>3.3420328452442832E-2</v>
      </c>
      <c r="N2046" s="1"/>
    </row>
    <row r="2047" spans="2:14" x14ac:dyDescent="0.35">
      <c r="B2047" s="5" t="str">
        <f t="shared" si="2081"/>
        <v>SPS1</v>
      </c>
      <c r="C2047" s="5" t="str">
        <f t="shared" si="208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SUMPRODUCT(("SUP_H2NGA"=[2]OUT_SyntheticFuels!$C$4:$C$1000)*1,("Var_cap"=[2]OUT_SyntheticFuels!$B$4:$B$1000)*1,[2]OUT_SyntheticFuels!I$4:I$1000)</f>
        <v>1.978707213567601E-6</v>
      </c>
      <c r="K2047" s="7" cm="1">
        <f t="array" ref="K2047">SUMPRODUCT(("SUP_H2NGA"=[2]OUT_SyntheticFuels!$C$4:$C$1000)*1,("Var_cap"=[2]OUT_SyntheticFuels!$B$4:$B$1000)*1,[2]OUT_SyntheticFuels!J$4:J$1000)</f>
        <v>2.002748043863261E-6</v>
      </c>
      <c r="L2047" s="7" cm="1">
        <f t="array" ref="L2047">SUMPRODUCT(("SUP_H2NGA"=[2]OUT_SyntheticFuels!$C$4:$C$1000)*1,("Var_cap"=[2]OUT_SyntheticFuels!$B$4:$B$1000)*1,[2]OUT_SyntheticFuels!K$4:K$1000)</f>
        <v>1.3186264412999202E-6</v>
      </c>
      <c r="N2047" s="1"/>
    </row>
    <row r="2048" spans="2:14" x14ac:dyDescent="0.35">
      <c r="B2048" s="5" t="str">
        <f t="shared" si="2081"/>
        <v>SPS1</v>
      </c>
      <c r="C2048" s="5" t="str">
        <f t="shared" si="208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SUMPRODUCT(("SUP_H2DSL"=[2]OUT_SyntheticFuels!$C$4:$C$1000)*1,("Var_cap"=[2]OUT_SyntheticFuels!$B$4:$B$1000)*1,[2]OUT_SyntheticFuels!I$4:I$1000)</f>
        <v>1.6201095150993949E-6</v>
      </c>
      <c r="K2048" s="7" cm="1">
        <f t="array" ref="K2048">SUMPRODUCT(("SUP_H2DSL"=[2]OUT_SyntheticFuels!$C$4:$C$1000)*1,("Var_cap"=[2]OUT_SyntheticFuels!$B$4:$B$1000)*1,[2]OUT_SyntheticFuels!J$4:J$1000)</f>
        <v>1.5947943902035E-6</v>
      </c>
      <c r="L2048" s="7" cm="1">
        <f t="array" ref="L2048">SUMPRODUCT(("SUP_H2DSL"=[2]OUT_SyntheticFuels!$C$4:$C$1000)*1,("Var_cap"=[2]OUT_SyntheticFuels!$B$4:$B$1000)*1,[2]OUT_SyntheticFuels!K$4:K$1000)</f>
        <v>1.1409112306807301E-6</v>
      </c>
      <c r="N2048" s="1"/>
    </row>
    <row r="2049" spans="2:14" x14ac:dyDescent="0.35">
      <c r="B2049" s="5" t="str">
        <f t="shared" si="2081"/>
        <v>SPS1</v>
      </c>
      <c r="C2049" s="5" t="str">
        <f t="shared" si="208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SUMPRODUCT(("SUP_H2GSL"=[2]OUT_SyntheticFuels!$C$4:$C$1000)*1,("Var_cap"=[2]OUT_SyntheticFuels!$B$4:$B$1000)*1,[2]OUT_SyntheticFuels!I$4:I$1000)</f>
        <v>1.632984474371268E-6</v>
      </c>
      <c r="K2049" s="7" cm="1">
        <f t="array" ref="K2049">SUMPRODUCT(("SUP_H2GSL"=[2]OUT_SyntheticFuels!$C$4:$C$1000)*1,("Var_cap"=[2]OUT_SyntheticFuels!$B$4:$B$1000)*1,[2]OUT_SyntheticFuels!J$4:J$1000)</f>
        <v>1.7237068506560657E-6</v>
      </c>
      <c r="L2049" s="7" cm="1">
        <f t="array" ref="L2049">SUMPRODUCT(("SUP_H2GSL"=[2]OUT_SyntheticFuels!$C$4:$C$1000)*1,("Var_cap"=[2]OUT_SyntheticFuels!$B$4:$B$1000)*1,[2]OUT_SyntheticFuels!K$4:K$1000)</f>
        <v>1.2010032252446201E-6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3">SUM(F2051,F2053,F2057,F2061,F2077,F2084,F2092,F2094,F2102,F2106,F2100)</f>
        <v>8.1828297110053388E-3</v>
      </c>
      <c r="G2050" s="3">
        <f t="shared" si="2083"/>
        <v>9.3931905837359428E-2</v>
      </c>
      <c r="H2050" s="3">
        <f t="shared" si="2083"/>
        <v>5.1589829781185843</v>
      </c>
      <c r="I2050" s="3">
        <f t="shared" si="2083"/>
        <v>0.59524709073887427</v>
      </c>
      <c r="J2050" s="3">
        <f t="shared" si="2083"/>
        <v>8.1843478300836878</v>
      </c>
      <c r="K2050" s="3">
        <f t="shared" si="2083"/>
        <v>6.6786104207058292</v>
      </c>
      <c r="L2050" s="3">
        <f t="shared" ref="L2050" si="2084">SUM(L2051,L2053,L2057,L2061,L2077,L2084,L2092,L2094,L2102,L2106,L2100)</f>
        <v>19.568894878904544</v>
      </c>
      <c r="N2050" s="1"/>
    </row>
    <row r="2051" spans="2:14" x14ac:dyDescent="0.35">
      <c r="B2051" s="5" t="str">
        <f>B2050</f>
        <v>SPS1</v>
      </c>
      <c r="C2051" s="5" t="str">
        <f t="shared" ref="C2051:C2113" si="2085">C2050</f>
        <v>CH</v>
      </c>
      <c r="D2051" t="s">
        <v>2180</v>
      </c>
      <c r="E2051" t="str">
        <f t="shared" ref="E2051:E2082" si="2086">E2050</f>
        <v>GWe/yr.</v>
      </c>
      <c r="F2051" s="1">
        <f t="shared" ref="F2051:L2051" si="2087">+F2052</f>
        <v>0</v>
      </c>
      <c r="G2051" s="1">
        <f t="shared" si="2087"/>
        <v>0</v>
      </c>
      <c r="H2051" s="1">
        <f t="shared" si="2087"/>
        <v>0</v>
      </c>
      <c r="I2051" s="1">
        <f t="shared" si="2087"/>
        <v>0</v>
      </c>
      <c r="J2051" s="1">
        <f t="shared" si="2087"/>
        <v>0</v>
      </c>
      <c r="K2051" s="1">
        <f t="shared" si="2087"/>
        <v>0</v>
      </c>
      <c r="L2051" s="1">
        <f t="shared" si="2087"/>
        <v>0</v>
      </c>
      <c r="N2051" s="1"/>
    </row>
    <row r="2052" spans="2:14" x14ac:dyDescent="0.35">
      <c r="B2052" s="5" t="str">
        <f t="shared" ref="B2052:B2113" si="2088">B2051</f>
        <v>SPS1</v>
      </c>
      <c r="C2052" s="5" t="str">
        <f t="shared" si="2085"/>
        <v>CH</v>
      </c>
      <c r="D2052" t="s">
        <v>2181</v>
      </c>
      <c r="E2052" t="str">
        <f t="shared" si="208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8"/>
        <v>SPS1</v>
      </c>
      <c r="C2053" s="5" t="str">
        <f t="shared" si="2085"/>
        <v>CH</v>
      </c>
      <c r="D2053" t="s">
        <v>2182</v>
      </c>
      <c r="E2053" t="str">
        <f t="shared" si="2086"/>
        <v>GWe/yr.</v>
      </c>
      <c r="F2053" s="1">
        <f t="shared" ref="F2053:K2053" si="2089">SUM(F2054:F2056)</f>
        <v>0</v>
      </c>
      <c r="G2053" s="1">
        <f t="shared" si="2089"/>
        <v>1.6514735638475012E-2</v>
      </c>
      <c r="H2053" s="1">
        <f t="shared" si="2089"/>
        <v>5.6094980234101446E-3</v>
      </c>
      <c r="I2053" s="1">
        <f t="shared" si="2089"/>
        <v>4.7546836659653549E-2</v>
      </c>
      <c r="J2053" s="1">
        <f t="shared" si="2089"/>
        <v>0.16721452033567002</v>
      </c>
      <c r="K2053" s="1">
        <f t="shared" si="2089"/>
        <v>0.21552186166945944</v>
      </c>
      <c r="L2053" s="1">
        <f t="shared" ref="L2053" si="2090">SUM(L2054:L2056)</f>
        <v>0.83259679133977338</v>
      </c>
      <c r="N2053" s="1"/>
    </row>
    <row r="2054" spans="2:14" x14ac:dyDescent="0.35">
      <c r="B2054" s="5" t="str">
        <f t="shared" si="2088"/>
        <v>SPS1</v>
      </c>
      <c r="C2054" s="5" t="str">
        <f t="shared" si="2085"/>
        <v>CH</v>
      </c>
      <c r="D2054" t="s">
        <v>2183</v>
      </c>
      <c r="E2054" t="str">
        <f t="shared" si="2086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'[2]Electricity and CHPs_NCAP'!F$15</f>
        <v>0.16326884054842891</v>
      </c>
      <c r="K2054" s="1">
        <f>'[2]Electricity and CHPs_NCAP'!G$15</f>
        <v>0.15193787050693314</v>
      </c>
      <c r="L2054" s="1">
        <f>'[2]Electricity and CHPs_NCAP'!H$15</f>
        <v>0.51146109356844405</v>
      </c>
      <c r="N2054" s="1"/>
    </row>
    <row r="2055" spans="2:14" x14ac:dyDescent="0.35">
      <c r="B2055" s="5" t="str">
        <f t="shared" si="2088"/>
        <v>SPS1</v>
      </c>
      <c r="C2055" s="5" t="str">
        <f t="shared" si="2085"/>
        <v>CH</v>
      </c>
      <c r="D2055" t="s">
        <v>2184</v>
      </c>
      <c r="E2055" t="str">
        <f t="shared" si="2086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'[2]Electricity and CHPs_NCAP'!F$16</f>
        <v>3.9456354118195189E-3</v>
      </c>
      <c r="K2055" s="1">
        <f>'[2]Electricity and CHPs_NCAP'!G$16</f>
        <v>6.3583923758462613E-2</v>
      </c>
      <c r="L2055" s="1">
        <f>'[2]Electricity and CHPs_NCAP'!H$16</f>
        <v>0.32113547954692251</v>
      </c>
      <c r="N2055" s="1"/>
    </row>
    <row r="2056" spans="2:14" x14ac:dyDescent="0.35">
      <c r="B2056" s="5" t="str">
        <f t="shared" si="2088"/>
        <v>SPS1</v>
      </c>
      <c r="C2056" s="5" t="str">
        <f t="shared" si="2085"/>
        <v>CH</v>
      </c>
      <c r="D2056" t="s">
        <v>2185</v>
      </c>
      <c r="E2056" t="str">
        <f t="shared" si="2086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'[2]Electricity and CHPs_NCAP'!F$17</f>
        <v>4.43754215835785E-8</v>
      </c>
      <c r="K2056" s="1">
        <f>'[2]Electricity and CHPs_NCAP'!G$17</f>
        <v>6.7404063700353896E-8</v>
      </c>
      <c r="L2056" s="1">
        <f>'[2]Electricity and CHPs_NCAP'!H$17</f>
        <v>2.1822440671802999E-7</v>
      </c>
      <c r="N2056" s="1"/>
    </row>
    <row r="2057" spans="2:14" x14ac:dyDescent="0.35">
      <c r="B2057" s="5" t="str">
        <f t="shared" si="2088"/>
        <v>SPS1</v>
      </c>
      <c r="C2057" s="5" t="str">
        <f t="shared" si="2085"/>
        <v>CH</v>
      </c>
      <c r="D2057" t="s">
        <v>2186</v>
      </c>
      <c r="E2057" t="str">
        <f t="shared" si="2086"/>
        <v>GWe/yr.</v>
      </c>
      <c r="F2057" s="1">
        <f t="shared" ref="F2057:K2057" si="2091">SUM(F2058:F2060)</f>
        <v>0</v>
      </c>
      <c r="G2057" s="1">
        <f t="shared" si="2091"/>
        <v>1.1949601618586112E-2</v>
      </c>
      <c r="H2057" s="1">
        <f t="shared" si="2091"/>
        <v>2.5799770126144661E-3</v>
      </c>
      <c r="I2057" s="1">
        <f t="shared" si="2091"/>
        <v>1.1610697468061483E-2</v>
      </c>
      <c r="J2057" s="1">
        <f t="shared" si="2091"/>
        <v>1.0432054520972116E-3</v>
      </c>
      <c r="K2057" s="1">
        <f t="shared" si="2091"/>
        <v>1.9985580146928414E-5</v>
      </c>
      <c r="L2057" s="1">
        <f t="shared" ref="L2057" si="2092">SUM(L2058:L2060)</f>
        <v>4.4760541098620044E-2</v>
      </c>
      <c r="N2057" s="1"/>
    </row>
    <row r="2058" spans="2:14" x14ac:dyDescent="0.35">
      <c r="B2058" s="5" t="str">
        <f t="shared" si="2088"/>
        <v>SPS1</v>
      </c>
      <c r="C2058" s="5" t="str">
        <f t="shared" si="2085"/>
        <v>CH</v>
      </c>
      <c r="D2058" t="s">
        <v>2187</v>
      </c>
      <c r="E2058" t="str">
        <f t="shared" si="2086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'[2]Electricity and CHPs_NCAP'!F$18</f>
        <v>8.8184135367128601E-4</v>
      </c>
      <c r="K2058" s="1">
        <f>'[2]Electricity and CHPs_NCAP'!G$18</f>
        <v>2.1986936004407099E-6</v>
      </c>
      <c r="L2058" s="1">
        <f>'[2]Electricity and CHPs_NCAP'!H$18</f>
        <v>2.4141545140211899E-6</v>
      </c>
      <c r="N2058" s="1"/>
    </row>
    <row r="2059" spans="2:14" x14ac:dyDescent="0.35">
      <c r="B2059" s="5" t="str">
        <f t="shared" si="2088"/>
        <v>SPS1</v>
      </c>
      <c r="C2059" s="5" t="str">
        <f t="shared" si="2085"/>
        <v>CH</v>
      </c>
      <c r="D2059" t="s">
        <v>2188</v>
      </c>
      <c r="E2059" t="str">
        <f t="shared" si="2086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'[2]Electricity and CHPs_NCAP'!F$28</f>
        <v>6.4683821994216099E-6</v>
      </c>
      <c r="K2059" s="1">
        <f>'[2]Electricity and CHPs_NCAP'!G$28</f>
        <v>1.7328864000731299E-5</v>
      </c>
      <c r="L2059" s="1">
        <f>'[2]Electricity and CHPs_NCAP'!H$28</f>
        <v>3.7321203594020499E-5</v>
      </c>
      <c r="N2059" s="1"/>
    </row>
    <row r="2060" spans="2:14" x14ac:dyDescent="0.35">
      <c r="B2060" s="5" t="str">
        <f t="shared" si="2088"/>
        <v>SPS1</v>
      </c>
      <c r="C2060" s="5" t="str">
        <f t="shared" si="2085"/>
        <v>CH</v>
      </c>
      <c r="D2060" t="s">
        <v>2189</v>
      </c>
      <c r="E2060" t="str">
        <f t="shared" si="2086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'[2]Electricity and CHPs_NCAP'!F$41</f>
        <v>1.5489571622650399E-4</v>
      </c>
      <c r="K2060" s="1">
        <f>'[2]Electricity and CHPs_NCAP'!G$41</f>
        <v>4.5802254575640798E-7</v>
      </c>
      <c r="L2060" s="1">
        <f>'[2]Electricity and CHPs_NCAP'!H$41</f>
        <v>4.4720805740512001E-2</v>
      </c>
      <c r="N2060" s="1"/>
    </row>
    <row r="2061" spans="2:14" x14ac:dyDescent="0.35">
      <c r="B2061" s="5" t="str">
        <f t="shared" si="2088"/>
        <v>SPS1</v>
      </c>
      <c r="C2061" s="5" t="str">
        <f t="shared" si="2085"/>
        <v>CH</v>
      </c>
      <c r="D2061" t="s">
        <v>2190</v>
      </c>
      <c r="E2061" t="str">
        <f t="shared" si="2086"/>
        <v>GWe/yr.</v>
      </c>
      <c r="F2061" s="1">
        <f t="shared" ref="F2061:K2061" si="2093">SUM(F2062:F2076)</f>
        <v>0</v>
      </c>
      <c r="G2061" s="1">
        <f t="shared" si="2093"/>
        <v>5.3664997445540971E-2</v>
      </c>
      <c r="H2061" s="1">
        <f t="shared" si="2093"/>
        <v>4.949008152430262E-2</v>
      </c>
      <c r="I2061" s="1">
        <f t="shared" si="2093"/>
        <v>0.16186518698682087</v>
      </c>
      <c r="J2061" s="1">
        <f t="shared" si="2093"/>
        <v>8.7723104087781584E-2</v>
      </c>
      <c r="K2061" s="1">
        <f t="shared" si="2093"/>
        <v>0.12456710430699793</v>
      </c>
      <c r="L2061" s="1">
        <f t="shared" ref="L2061" si="2094">SUM(L2062:L2076)</f>
        <v>0.79029147627883023</v>
      </c>
      <c r="N2061" s="1"/>
    </row>
    <row r="2062" spans="2:14" x14ac:dyDescent="0.35">
      <c r="B2062" s="5" t="str">
        <f t="shared" si="2088"/>
        <v>SPS1</v>
      </c>
      <c r="C2062" s="5" t="str">
        <f t="shared" si="2085"/>
        <v>CH</v>
      </c>
      <c r="D2062" t="s">
        <v>2191</v>
      </c>
      <c r="E2062" t="str">
        <f t="shared" si="208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8.2291672657865906E-5</v>
      </c>
      <c r="L2062" s="1">
        <f>'[2]Electricity and CHPs_NCAP'!H$21</f>
        <v>2.4363729121685599E-3</v>
      </c>
      <c r="N2062" s="1"/>
    </row>
    <row r="2063" spans="2:14" x14ac:dyDescent="0.35">
      <c r="B2063" s="5" t="str">
        <f t="shared" si="2088"/>
        <v>SPS1</v>
      </c>
      <c r="C2063" s="5" t="str">
        <f t="shared" si="2085"/>
        <v>CH</v>
      </c>
      <c r="D2063" t="s">
        <v>2192</v>
      </c>
      <c r="E2063" t="str">
        <f t="shared" si="208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'[2]Electricity and CHPs_NCAP'!F$22</f>
        <v>5.28863619988007E-6</v>
      </c>
      <c r="K2063" s="1">
        <f>'[2]Electricity and CHPs_NCAP'!G$22</f>
        <v>6.6025014740552299E-6</v>
      </c>
      <c r="L2063" s="1">
        <f>'[2]Electricity and CHPs_NCAP'!H$22</f>
        <v>4.6031730238975002E-5</v>
      </c>
      <c r="N2063" s="1"/>
    </row>
    <row r="2064" spans="2:14" x14ac:dyDescent="0.35">
      <c r="B2064" s="5" t="str">
        <f t="shared" si="2088"/>
        <v>SPS1</v>
      </c>
      <c r="C2064" s="5" t="str">
        <f t="shared" si="2085"/>
        <v>CH</v>
      </c>
      <c r="D2064" t="s">
        <v>2193</v>
      </c>
      <c r="E2064" t="str">
        <f t="shared" si="208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9.5634631010378093E-7</v>
      </c>
      <c r="L2064" s="1">
        <f>'[2]Electricity and CHPs_NCAP'!H$23</f>
        <v>0.145998986574877</v>
      </c>
      <c r="N2064" s="1"/>
    </row>
    <row r="2065" spans="2:14" x14ac:dyDescent="0.35">
      <c r="B2065" s="5" t="str">
        <f t="shared" si="2088"/>
        <v>SPS1</v>
      </c>
      <c r="C2065" s="5" t="str">
        <f t="shared" si="2085"/>
        <v>CH</v>
      </c>
      <c r="D2065" t="s">
        <v>2194</v>
      </c>
      <c r="E2065" t="str">
        <f t="shared" si="2086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'[2]Electricity and CHPs_NCAP'!F$24</f>
        <v>1.6388585263547501E-6</v>
      </c>
      <c r="K2065" s="1">
        <f>'[2]Electricity and CHPs_NCAP'!G$24</f>
        <v>8.5456945668313503E-7</v>
      </c>
      <c r="L2065" s="1">
        <f>'[2]Electricity and CHPs_NCAP'!H$24</f>
        <v>5.1463835567030604E-3</v>
      </c>
      <c r="N2065" s="1"/>
    </row>
    <row r="2066" spans="2:14" x14ac:dyDescent="0.35">
      <c r="B2066" s="5" t="str">
        <f t="shared" si="2088"/>
        <v>SPS1</v>
      </c>
      <c r="C2066" s="5" t="str">
        <f t="shared" si="2085"/>
        <v>CH</v>
      </c>
      <c r="D2066" t="s">
        <v>2195</v>
      </c>
      <c r="E2066" t="str">
        <f t="shared" si="208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1.1891811942984199E-5</v>
      </c>
      <c r="L2066" s="1">
        <f>'[2]Electricity and CHPs_NCAP'!H$29</f>
        <v>3.9639264934504898E-2</v>
      </c>
      <c r="N2066" s="1"/>
    </row>
    <row r="2067" spans="2:14" x14ac:dyDescent="0.35">
      <c r="B2067" s="5" t="str">
        <f t="shared" si="2088"/>
        <v>SPS1</v>
      </c>
      <c r="C2067" s="5" t="str">
        <f t="shared" si="2085"/>
        <v>CH</v>
      </c>
      <c r="D2067" t="s">
        <v>2196</v>
      </c>
      <c r="E2067" t="str">
        <f t="shared" si="2086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'[2]Electricity and CHPs_NCAP'!F$39</f>
        <v>6.9058747299375397E-4</v>
      </c>
      <c r="K2067" s="1">
        <f>'[2]Electricity and CHPs_NCAP'!G$39</f>
        <v>4.6894305573325697E-7</v>
      </c>
      <c r="L2067" s="1">
        <f>'[2]Electricity and CHPs_NCAP'!H$39</f>
        <v>3.7259175025020604E-3</v>
      </c>
      <c r="N2067" s="1"/>
    </row>
    <row r="2068" spans="2:14" x14ac:dyDescent="0.35">
      <c r="B2068" s="5" t="str">
        <f t="shared" si="2088"/>
        <v>SPS1</v>
      </c>
      <c r="C2068" s="5" t="str">
        <f t="shared" si="2085"/>
        <v>CH</v>
      </c>
      <c r="D2068" t="s">
        <v>2197</v>
      </c>
      <c r="E2068" t="str">
        <f t="shared" si="208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1.42624480174558E-3</v>
      </c>
      <c r="N2068" s="1"/>
    </row>
    <row r="2069" spans="2:14" x14ac:dyDescent="0.35">
      <c r="B2069" s="5" t="str">
        <f t="shared" si="2088"/>
        <v>SPS1</v>
      </c>
      <c r="C2069" s="5" t="str">
        <f t="shared" si="2085"/>
        <v>CH</v>
      </c>
      <c r="D2069" t="s">
        <v>2198</v>
      </c>
      <c r="E2069" t="str">
        <f t="shared" si="208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7.7162725609854405E-5</v>
      </c>
      <c r="K2069" s="1">
        <f>'[2]Electricity and CHPs_NCAP'!G$47</f>
        <v>9.7743769871090206E-8</v>
      </c>
      <c r="L2069" s="1">
        <f>'[2]Electricity and CHPs_NCAP'!H$47</f>
        <v>0.39513492751561502</v>
      </c>
      <c r="N2069" s="1"/>
    </row>
    <row r="2070" spans="2:14" x14ac:dyDescent="0.35">
      <c r="B2070" s="5" t="str">
        <f t="shared" si="2088"/>
        <v>SPS1</v>
      </c>
      <c r="C2070" s="5" t="str">
        <f t="shared" si="2085"/>
        <v>CH</v>
      </c>
      <c r="D2070" t="s">
        <v>2199</v>
      </c>
      <c r="E2070" t="str">
        <f t="shared" si="2086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'[2]Electricity and CHPs_NCAP'!F$48</f>
        <v>8.279851627430646E-6</v>
      </c>
      <c r="K2070" s="1">
        <f>'[2]Electricity and CHPs_NCAP'!G$48</f>
        <v>3.7373944170297503E-7</v>
      </c>
      <c r="L2070" s="1">
        <f>'[2]Electricity and CHPs_NCAP'!H$48</f>
        <v>1.32239236884303E-4</v>
      </c>
      <c r="N2070" s="1"/>
    </row>
    <row r="2071" spans="2:14" x14ac:dyDescent="0.35">
      <c r="B2071" s="5" t="str">
        <f t="shared" si="2088"/>
        <v>SPS1</v>
      </c>
      <c r="C2071" s="5" t="str">
        <f t="shared" si="2085"/>
        <v>CH</v>
      </c>
      <c r="D2071" t="s">
        <v>2200</v>
      </c>
      <c r="E2071" t="str">
        <f t="shared" si="208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'[2]Electricity and CHPs_NCAP'!F$49</f>
        <v>5.8280648891426802E-5</v>
      </c>
      <c r="K2071" s="1">
        <f>'[2]Electricity and CHPs_NCAP'!G$49</f>
        <v>6.8023536620434398E-7</v>
      </c>
      <c r="L2071" s="1">
        <f>'[2]Electricity and CHPs_NCAP'!H$49</f>
        <v>1.283584486377701E-5</v>
      </c>
      <c r="N2071" s="1"/>
    </row>
    <row r="2072" spans="2:14" x14ac:dyDescent="0.35">
      <c r="B2072" s="5" t="str">
        <f t="shared" si="2088"/>
        <v>SPS1</v>
      </c>
      <c r="C2072" s="5" t="str">
        <f t="shared" si="2085"/>
        <v>CH</v>
      </c>
      <c r="D2072" t="s">
        <v>2201</v>
      </c>
      <c r="E2072" t="str">
        <f t="shared" si="2086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'[2]Electricity and CHPs_NCAP'!F$51</f>
        <v>2.8389258466396503E-7</v>
      </c>
      <c r="K2072" s="1">
        <f>'[2]Electricity and CHPs_NCAP'!G$51</f>
        <v>3.6079855591804104E-7</v>
      </c>
      <c r="L2072" s="1">
        <f>'[2]Electricity and CHPs_NCAP'!H$51</f>
        <v>6.7367132875566402E-6</v>
      </c>
      <c r="N2072" s="1"/>
    </row>
    <row r="2073" spans="2:14" x14ac:dyDescent="0.35">
      <c r="B2073" s="5" t="str">
        <f t="shared" si="2088"/>
        <v>SPS1</v>
      </c>
      <c r="C2073" s="5" t="str">
        <f t="shared" si="2085"/>
        <v>CH</v>
      </c>
      <c r="D2073" t="s">
        <v>2202</v>
      </c>
      <c r="E2073" t="str">
        <f t="shared" si="208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'[2]Electricity and CHPs_NCAP'!F$52</f>
        <v>4.2757610917851498E-2</v>
      </c>
      <c r="K2073" s="1">
        <f>'[2]Electricity and CHPs_NCAP'!G$52</f>
        <v>9.3309336148758804E-2</v>
      </c>
      <c r="L2073" s="1">
        <f>'[2]Electricity and CHPs_NCAP'!H$52</f>
        <v>5.18437576348258E-2</v>
      </c>
      <c r="N2073" s="1"/>
    </row>
    <row r="2074" spans="2:14" x14ac:dyDescent="0.35">
      <c r="B2074" s="5" t="str">
        <f t="shared" si="2088"/>
        <v>SPS1</v>
      </c>
      <c r="C2074" s="5" t="str">
        <f t="shared" si="2085"/>
        <v>CH</v>
      </c>
      <c r="D2074" t="s">
        <v>2203</v>
      </c>
      <c r="E2074" t="str">
        <f t="shared" si="2086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'[2]Electricity and CHPs_NCAP'!F$54</f>
        <v>4.4081480250725301E-2</v>
      </c>
      <c r="K2074" s="1">
        <f>'[2]Electricity and CHPs_NCAP'!G$54</f>
        <v>3.1152288706673501E-2</v>
      </c>
      <c r="L2074" s="1">
        <f>'[2]Electricity and CHPs_NCAP'!H$54</f>
        <v>4.3489036545897898E-2</v>
      </c>
      <c r="N2074" s="1"/>
    </row>
    <row r="2075" spans="2:14" x14ac:dyDescent="0.35">
      <c r="B2075" s="5" t="str">
        <f t="shared" si="2088"/>
        <v>SPS1</v>
      </c>
      <c r="C2075" s="5" t="str">
        <f t="shared" si="2085"/>
        <v>CH</v>
      </c>
      <c r="D2075" t="s">
        <v>2204</v>
      </c>
      <c r="E2075" t="str">
        <f t="shared" si="2086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'[2]Electricity and CHPs_NCAP'!F$55</f>
        <v>1.8740369010312101E-7</v>
      </c>
      <c r="K2075" s="1">
        <f>'[2]Electricity and CHPs_NCAP'!G$55</f>
        <v>4.5757723186114998E-7</v>
      </c>
      <c r="L2075" s="1">
        <f>'[2]Electricity and CHPs_NCAP'!H$55</f>
        <v>3.6055934065665898E-5</v>
      </c>
      <c r="N2075" s="1"/>
    </row>
    <row r="2076" spans="2:14" x14ac:dyDescent="0.35">
      <c r="B2076" s="5" t="str">
        <f t="shared" si="2088"/>
        <v>SPS1</v>
      </c>
      <c r="C2076" s="5" t="str">
        <f t="shared" si="2085"/>
        <v>CH</v>
      </c>
      <c r="D2076" t="s">
        <v>2205</v>
      </c>
      <c r="E2076" t="str">
        <f t="shared" si="208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'[2]Electricity and CHPs_NCAP'!F$58</f>
        <v>4.2303429081303303E-5</v>
      </c>
      <c r="K2076" s="1">
        <f>'[2]Electricity and CHPs_NCAP'!G$58</f>
        <v>4.4351230265214302E-7</v>
      </c>
      <c r="L2076" s="1">
        <f>'[2]Electricity and CHPs_NCAP'!H$58</f>
        <v>0.10121668484065</v>
      </c>
      <c r="N2076" s="1"/>
    </row>
    <row r="2077" spans="2:14" x14ac:dyDescent="0.35">
      <c r="B2077" s="5" t="str">
        <f t="shared" si="2088"/>
        <v>SPS1</v>
      </c>
      <c r="C2077" s="5" t="str">
        <f t="shared" si="2085"/>
        <v>CH</v>
      </c>
      <c r="D2077" t="s">
        <v>2206</v>
      </c>
      <c r="E2077" t="str">
        <f t="shared" si="2086"/>
        <v>GWe/yr.</v>
      </c>
      <c r="F2077" s="1">
        <f t="shared" ref="F2077:K2077" si="2095">SUM(F2078:F2083)</f>
        <v>0</v>
      </c>
      <c r="G2077" s="1">
        <f t="shared" si="2095"/>
        <v>1.118286009261264E-6</v>
      </c>
      <c r="H2077" s="1">
        <f t="shared" si="2095"/>
        <v>3.3386329394525238E-2</v>
      </c>
      <c r="I2077" s="1">
        <f t="shared" si="2095"/>
        <v>3.5748167520976704E-2</v>
      </c>
      <c r="J2077" s="1">
        <f t="shared" si="2095"/>
        <v>9.8611496772737728E-2</v>
      </c>
      <c r="K2077" s="1">
        <f t="shared" si="2095"/>
        <v>5.5528663592986E-2</v>
      </c>
      <c r="L2077" s="1">
        <f t="shared" ref="L2077" si="2096">SUM(L2078:L2083)</f>
        <v>0.44150522475777537</v>
      </c>
      <c r="N2077" s="1"/>
    </row>
    <row r="2078" spans="2:14" x14ac:dyDescent="0.35">
      <c r="B2078" s="5" t="str">
        <f t="shared" si="2088"/>
        <v>SPS1</v>
      </c>
      <c r="C2078" s="5" t="str">
        <f t="shared" si="2085"/>
        <v>CH</v>
      </c>
      <c r="D2078" t="s">
        <v>2207</v>
      </c>
      <c r="E2078" t="str">
        <f t="shared" si="2086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'[2]Electricity and CHPs_NCAP'!F$19</f>
        <v>9.2251537098662198E-2</v>
      </c>
      <c r="K2078" s="1">
        <f>'[2]Electricity and CHPs_NCAP'!G$19</f>
        <v>3.65788224757383E-2</v>
      </c>
      <c r="L2078" s="1">
        <f>'[2]Electricity and CHPs_NCAP'!H$19</f>
        <v>2.4747597632511499E-8</v>
      </c>
      <c r="N2078" s="1"/>
    </row>
    <row r="2079" spans="2:14" x14ac:dyDescent="0.35">
      <c r="B2079" s="5" t="str">
        <f t="shared" si="2088"/>
        <v>SPS1</v>
      </c>
      <c r="C2079" s="5" t="str">
        <f t="shared" si="2085"/>
        <v>CH</v>
      </c>
      <c r="D2079" t="s">
        <v>2208</v>
      </c>
      <c r="E2079" t="str">
        <f t="shared" si="208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0.34495556744675399</v>
      </c>
      <c r="N2079" s="1"/>
    </row>
    <row r="2080" spans="2:14" x14ac:dyDescent="0.35">
      <c r="B2080" s="5" t="str">
        <f t="shared" si="2088"/>
        <v>SPS1</v>
      </c>
      <c r="C2080" s="5" t="str">
        <f t="shared" si="2085"/>
        <v>CH</v>
      </c>
      <c r="D2080" t="s">
        <v>2209</v>
      </c>
      <c r="E2080" t="str">
        <f t="shared" si="2086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'[2]Electricity and CHPs_NCAP'!F$26</f>
        <v>6.3593727096775904E-3</v>
      </c>
      <c r="K2080" s="1">
        <f>'[2]Electricity and CHPs_NCAP'!G$26</f>
        <v>1.8907920093343401E-2</v>
      </c>
      <c r="L2080" s="1">
        <f>'[2]Electricity and CHPs_NCAP'!H$26</f>
        <v>2.6255004203416799E-8</v>
      </c>
      <c r="N2080" s="1"/>
    </row>
    <row r="2081" spans="2:14" x14ac:dyDescent="0.35">
      <c r="B2081" s="5" t="str">
        <f t="shared" si="2088"/>
        <v>SPS1</v>
      </c>
      <c r="C2081" s="5" t="str">
        <f t="shared" si="2085"/>
        <v>CH</v>
      </c>
      <c r="D2081" t="s">
        <v>2210</v>
      </c>
      <c r="E2081" t="str">
        <f t="shared" si="208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6.7430510013894898E-2</v>
      </c>
      <c r="N2081" s="1"/>
    </row>
    <row r="2082" spans="2:14" x14ac:dyDescent="0.35">
      <c r="B2082" s="5" t="str">
        <f t="shared" si="2088"/>
        <v>SPS1</v>
      </c>
      <c r="C2082" s="5" t="str">
        <f t="shared" si="2085"/>
        <v>CH</v>
      </c>
      <c r="D2082" t="s">
        <v>2211</v>
      </c>
      <c r="E2082" t="str">
        <f t="shared" si="2086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'[2]Electricity and CHPs_NCAP'!F$44</f>
        <v>5.86964397936557E-7</v>
      </c>
      <c r="K2082" s="1">
        <f>'[2]Electricity and CHPs_NCAP'!G$44</f>
        <v>4.1921023904296098E-5</v>
      </c>
      <c r="L2082" s="1">
        <f>'[2]Electricity and CHPs_NCAP'!H$44</f>
        <v>3.3126371026456099E-8</v>
      </c>
      <c r="N2082" s="1"/>
    </row>
    <row r="2083" spans="2:14" x14ac:dyDescent="0.35">
      <c r="B2083" s="5" t="str">
        <f t="shared" si="2088"/>
        <v>SPS1</v>
      </c>
      <c r="C2083" s="5" t="str">
        <f t="shared" si="2085"/>
        <v>CH</v>
      </c>
      <c r="D2083" t="s">
        <v>2212</v>
      </c>
      <c r="E2083" t="str">
        <f t="shared" ref="E2083:E2113" si="209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2.9119063168153599E-2</v>
      </c>
      <c r="N2083" s="1"/>
    </row>
    <row r="2084" spans="2:14" x14ac:dyDescent="0.35">
      <c r="B2084" s="5" t="str">
        <f t="shared" si="2088"/>
        <v>SPS1</v>
      </c>
      <c r="C2084" s="5" t="str">
        <f t="shared" si="2085"/>
        <v>CH</v>
      </c>
      <c r="D2084" t="s">
        <v>2213</v>
      </c>
      <c r="E2084" t="str">
        <f t="shared" si="2097"/>
        <v>GWe/yr.</v>
      </c>
      <c r="F2084" s="1">
        <f t="shared" ref="F2084:K2084" si="2098">SUM(F2085:F2091)</f>
        <v>0</v>
      </c>
      <c r="G2084" s="1">
        <f t="shared" si="2098"/>
        <v>4.6252370145991109E-3</v>
      </c>
      <c r="H2084" s="1">
        <f t="shared" si="2098"/>
        <v>4.7112625517248465E-2</v>
      </c>
      <c r="I2084" s="1">
        <f t="shared" si="2098"/>
        <v>6.3541875139732223E-2</v>
      </c>
      <c r="J2084" s="1">
        <f t="shared" si="2098"/>
        <v>6.3229740374912233E-2</v>
      </c>
      <c r="K2084" s="1">
        <f t="shared" si="2098"/>
        <v>0.14058662287117382</v>
      </c>
      <c r="L2084" s="1">
        <f t="shared" ref="L2084" si="2099">SUM(L2085:L2091)</f>
        <v>0.20375172823579615</v>
      </c>
      <c r="N2084" s="1"/>
    </row>
    <row r="2085" spans="2:14" x14ac:dyDescent="0.35">
      <c r="B2085" s="5" t="str">
        <f t="shared" si="2088"/>
        <v>SPS1</v>
      </c>
      <c r="C2085" s="5" t="str">
        <f t="shared" si="2085"/>
        <v>CH</v>
      </c>
      <c r="D2085" t="s">
        <v>2214</v>
      </c>
      <c r="E2085" t="str">
        <f t="shared" si="2097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'[2]Electricity and CHPs_NCAP'!F$25</f>
        <v>4.5815226920413596E-6</v>
      </c>
      <c r="K2085" s="1">
        <f>'[2]Electricity and CHPs_NCAP'!G$25</f>
        <v>1.0446223166520901E-4</v>
      </c>
      <c r="L2085" s="1">
        <f>'[2]Electricity and CHPs_NCAP'!H$25</f>
        <v>1.2063423738071799E-6</v>
      </c>
      <c r="N2085" s="1"/>
    </row>
    <row r="2086" spans="2:14" x14ac:dyDescent="0.35">
      <c r="B2086" s="5" t="str">
        <f t="shared" si="2088"/>
        <v>SPS1</v>
      </c>
      <c r="C2086" s="5" t="str">
        <f t="shared" si="2085"/>
        <v>CH</v>
      </c>
      <c r="D2086" t="s">
        <v>2215</v>
      </c>
      <c r="E2086" t="str">
        <f t="shared" si="209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5.4486578054764505E-7</v>
      </c>
      <c r="L2086" s="1">
        <f>'[2]Electricity and CHPs_NCAP'!H$31</f>
        <v>0.15356885456748701</v>
      </c>
      <c r="N2086" s="1"/>
    </row>
    <row r="2087" spans="2:14" x14ac:dyDescent="0.35">
      <c r="B2087" s="5" t="str">
        <f t="shared" si="2088"/>
        <v>SPS1</v>
      </c>
      <c r="C2087" s="5" t="str">
        <f t="shared" si="2085"/>
        <v>CH</v>
      </c>
      <c r="D2087" t="s">
        <v>2216</v>
      </c>
      <c r="E2087" t="str">
        <f t="shared" si="2097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'[2]Electricity and CHPs_NCAP'!F$42</f>
        <v>6.05809927254643E-2</v>
      </c>
      <c r="K2087" s="1">
        <f>'[2]Electricity and CHPs_NCAP'!G$42</f>
        <v>7.2959609830884606E-2</v>
      </c>
      <c r="L2087" s="1">
        <f>'[2]Electricity and CHPs_NCAP'!H$42</f>
        <v>8.6531388163499594E-8</v>
      </c>
      <c r="N2087" s="1"/>
    </row>
    <row r="2088" spans="2:14" x14ac:dyDescent="0.35">
      <c r="B2088" s="5" t="str">
        <f t="shared" si="2088"/>
        <v>SPS1</v>
      </c>
      <c r="C2088" s="5" t="str">
        <f t="shared" si="2085"/>
        <v>CH</v>
      </c>
      <c r="D2088" t="s">
        <v>2217</v>
      </c>
      <c r="E2088" t="str">
        <f t="shared" si="209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5.0167537121142199E-2</v>
      </c>
      <c r="N2088" s="1"/>
    </row>
    <row r="2089" spans="2:14" x14ac:dyDescent="0.35">
      <c r="B2089" s="5" t="str">
        <f t="shared" si="2088"/>
        <v>SPS1</v>
      </c>
      <c r="C2089" s="5" t="str">
        <f t="shared" si="2085"/>
        <v>CH</v>
      </c>
      <c r="D2089" t="s">
        <v>2218</v>
      </c>
      <c r="E2089" t="str">
        <f t="shared" si="209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'[2]Electricity and CHPs_NCAP'!F$50</f>
        <v>1.0429455220843991E-4</v>
      </c>
      <c r="K2089" s="1">
        <f>'[2]Electricity and CHPs_NCAP'!G$50</f>
        <v>1.0381460296273891E-4</v>
      </c>
      <c r="L2089" s="1">
        <f>'[2]Electricity and CHPs_NCAP'!H$50</f>
        <v>3.6286834663452901E-7</v>
      </c>
      <c r="N2089" s="1"/>
    </row>
    <row r="2090" spans="2:14" x14ac:dyDescent="0.35">
      <c r="B2090" s="5" t="str">
        <f t="shared" si="2088"/>
        <v>SPS1</v>
      </c>
      <c r="C2090" s="5" t="str">
        <f t="shared" si="2085"/>
        <v>CH</v>
      </c>
      <c r="D2090" t="s">
        <v>2219</v>
      </c>
      <c r="E2090" t="str">
        <f t="shared" si="209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'[2]Electricity and CHPs_NCAP'!F$53</f>
        <v>2.5102725870341999E-3</v>
      </c>
      <c r="K2090" s="1">
        <f>'[2]Electricity and CHPs_NCAP'!G$53</f>
        <v>6.73979653099325E-2</v>
      </c>
      <c r="L2090" s="1">
        <f>'[2]Electricity and CHPs_NCAP'!H$53</f>
        <v>1.2696974030059671E-7</v>
      </c>
      <c r="N2090" s="1"/>
    </row>
    <row r="2091" spans="2:14" x14ac:dyDescent="0.35">
      <c r="B2091" s="5" t="str">
        <f t="shared" si="2088"/>
        <v>SPS1</v>
      </c>
      <c r="C2091" s="5" t="str">
        <f t="shared" si="2085"/>
        <v>CH</v>
      </c>
      <c r="D2091" t="s">
        <v>2220</v>
      </c>
      <c r="E2091" t="str">
        <f t="shared" si="209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'[2]Electricity and CHPs_NCAP'!F$56</f>
        <v>2.95989875132622E-5</v>
      </c>
      <c r="K2091" s="1">
        <f>'[2]Electricity and CHPs_NCAP'!G$56</f>
        <v>2.0226029948223801E-5</v>
      </c>
      <c r="L2091" s="1">
        <f>'[2]Electricity and CHPs_NCAP'!H$56</f>
        <v>1.3553835318042399E-5</v>
      </c>
      <c r="N2091" s="1"/>
    </row>
    <row r="2092" spans="2:14" x14ac:dyDescent="0.35">
      <c r="B2092" s="5" t="str">
        <f t="shared" si="2088"/>
        <v>SPS1</v>
      </c>
      <c r="C2092" s="5" t="str">
        <f t="shared" si="2085"/>
        <v>CH</v>
      </c>
      <c r="D2092" t="s">
        <v>2221</v>
      </c>
      <c r="E2092" t="str">
        <f t="shared" si="2097"/>
        <v>GWe/yr.</v>
      </c>
      <c r="F2092" s="1">
        <f t="shared" ref="F2092:L2092" si="2100">F2093</f>
        <v>0</v>
      </c>
      <c r="G2092" s="1">
        <f t="shared" si="2100"/>
        <v>7.1321505844187403E-3</v>
      </c>
      <c r="H2092" s="1">
        <f t="shared" si="2100"/>
        <v>0.20964763382690499</v>
      </c>
      <c r="I2092" s="1">
        <f t="shared" si="2100"/>
        <v>0.24874828815282801</v>
      </c>
      <c r="J2092" s="1">
        <f t="shared" si="2100"/>
        <v>0.31878777047204099</v>
      </c>
      <c r="K2092" s="1">
        <f t="shared" si="2100"/>
        <v>3.3713285574055398E-6</v>
      </c>
      <c r="L2092" s="1">
        <f t="shared" si="2100"/>
        <v>0.673418204152607</v>
      </c>
      <c r="N2092" s="1"/>
    </row>
    <row r="2093" spans="2:14" x14ac:dyDescent="0.35">
      <c r="B2093" s="5" t="str">
        <f t="shared" si="2088"/>
        <v>SPS1</v>
      </c>
      <c r="C2093" s="5" t="str">
        <f t="shared" si="2085"/>
        <v>CH</v>
      </c>
      <c r="D2093" t="s">
        <v>2222</v>
      </c>
      <c r="E2093" t="str">
        <f t="shared" si="2097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'[2]Electricity and CHPs_NCAP'!F$33</f>
        <v>0.31878777047204099</v>
      </c>
      <c r="K2093" s="1">
        <f>'[2]Electricity and CHPs_NCAP'!G$33</f>
        <v>3.3713285574055398E-6</v>
      </c>
      <c r="L2093" s="1">
        <f>'[2]Electricity and CHPs_NCAP'!H$33</f>
        <v>0.673418204152607</v>
      </c>
      <c r="N2093" s="1"/>
    </row>
    <row r="2094" spans="2:14" x14ac:dyDescent="0.35">
      <c r="B2094" s="5" t="str">
        <f t="shared" si="2088"/>
        <v>SPS1</v>
      </c>
      <c r="C2094" s="5" t="str">
        <f t="shared" si="2085"/>
        <v>CH</v>
      </c>
      <c r="D2094" t="s">
        <v>2223</v>
      </c>
      <c r="E2094" t="str">
        <f t="shared" si="2097"/>
        <v>GWe/yr.</v>
      </c>
      <c r="F2094" s="1">
        <f t="shared" ref="F2094:K2094" si="2101">SUM(F2095:F2099)</f>
        <v>0</v>
      </c>
      <c r="G2094" s="1">
        <f t="shared" si="2101"/>
        <v>2.9929045591440932E-5</v>
      </c>
      <c r="H2094" s="1">
        <f t="shared" si="2101"/>
        <v>4.4481455928460676</v>
      </c>
      <c r="I2094" s="1">
        <f t="shared" si="2101"/>
        <v>6.2267572063686806E-6</v>
      </c>
      <c r="J2094" s="1">
        <f t="shared" si="2101"/>
        <v>6.9903560863088119</v>
      </c>
      <c r="K2094" s="1">
        <f t="shared" si="2101"/>
        <v>5.6805588431391412</v>
      </c>
      <c r="L2094" s="1">
        <f t="shared" ref="L2094" si="2102">SUM(L2095:L2099)</f>
        <v>14.693485791655927</v>
      </c>
      <c r="N2094" s="1"/>
    </row>
    <row r="2095" spans="2:14" x14ac:dyDescent="0.35">
      <c r="B2095" s="5" t="str">
        <f t="shared" si="2088"/>
        <v>SPS1</v>
      </c>
      <c r="C2095" s="5" t="str">
        <f t="shared" si="2085"/>
        <v>CH</v>
      </c>
      <c r="D2095" t="s">
        <v>2224</v>
      </c>
      <c r="E2095" t="str">
        <f t="shared" si="209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'[2]Electricity and CHPs_NCAP'!F$34</f>
        <v>0.19423479220490342</v>
      </c>
      <c r="K2095" s="1">
        <f>'[2]Electricity and CHPs_NCAP'!G$34</f>
        <v>0.17054182367017753</v>
      </c>
      <c r="L2095" s="1">
        <f>'[2]Electricity and CHPs_NCAP'!H$34</f>
        <v>0.14851507215936841</v>
      </c>
      <c r="N2095" s="1"/>
    </row>
    <row r="2096" spans="2:14" x14ac:dyDescent="0.35">
      <c r="B2096" s="5" t="str">
        <f t="shared" si="2088"/>
        <v>SPS1</v>
      </c>
      <c r="C2096" s="5" t="str">
        <f t="shared" si="2085"/>
        <v>CH</v>
      </c>
      <c r="D2096" t="s">
        <v>2225</v>
      </c>
      <c r="E2096" t="str">
        <f t="shared" si="2097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'[2]Electricity and CHPs_NCAP'!F$35</f>
        <v>5.71502990280523</v>
      </c>
      <c r="K2096" s="1">
        <f>'[2]Electricity and CHPs_NCAP'!G$35</f>
        <v>3.7926811486306899</v>
      </c>
      <c r="L2096" s="1">
        <f>'[2]Electricity and CHPs_NCAP'!H$35</f>
        <v>10.183911338489899</v>
      </c>
      <c r="N2096" s="1"/>
    </row>
    <row r="2097" spans="2:14" x14ac:dyDescent="0.35">
      <c r="B2097" s="5" t="str">
        <f t="shared" si="2088"/>
        <v>SPS1</v>
      </c>
      <c r="C2097" s="5" t="str">
        <f t="shared" si="2085"/>
        <v>CH</v>
      </c>
      <c r="D2097" t="s">
        <v>2226</v>
      </c>
      <c r="E2097" t="str">
        <f t="shared" si="2097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'[2]Electricity and CHPs_NCAP'!F$36</f>
        <v>0.29987912209997686</v>
      </c>
      <c r="K2097" s="1">
        <f>'[2]Electricity and CHPs_NCAP'!G$36</f>
        <v>0.66482595526196975</v>
      </c>
      <c r="L2097" s="1">
        <f>'[2]Electricity and CHPs_NCAP'!H$36</f>
        <v>0.68641356460546243</v>
      </c>
      <c r="N2097" s="1"/>
    </row>
    <row r="2098" spans="2:14" x14ac:dyDescent="0.35">
      <c r="B2098" s="5" t="str">
        <f t="shared" si="2088"/>
        <v>SPS1</v>
      </c>
      <c r="C2098" s="5" t="str">
        <f t="shared" si="2085"/>
        <v>CH</v>
      </c>
      <c r="D2098" t="s">
        <v>2227</v>
      </c>
      <c r="E2098" t="str">
        <f t="shared" si="2097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'[2]Electricity and CHPs_NCAP'!F$37</f>
        <v>0.14464672094251518</v>
      </c>
      <c r="K2098" s="1">
        <f>'[2]Electricity and CHPs_NCAP'!G$37</f>
        <v>0.28405245767589471</v>
      </c>
      <c r="L2098" s="1">
        <f>'[2]Electricity and CHPs_NCAP'!H$37</f>
        <v>0.94484107860897804</v>
      </c>
      <c r="N2098" s="1"/>
    </row>
    <row r="2099" spans="2:14" x14ac:dyDescent="0.35">
      <c r="B2099" s="5" t="str">
        <f t="shared" si="2088"/>
        <v>SPS1</v>
      </c>
      <c r="C2099" s="5" t="str">
        <f t="shared" si="2085"/>
        <v>CH</v>
      </c>
      <c r="D2099" t="s">
        <v>2228</v>
      </c>
      <c r="E2099" t="str">
        <f t="shared" si="2097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'[2]Electricity and CHPs_NCAP'!F$38</f>
        <v>0.63656554825618605</v>
      </c>
      <c r="K2099" s="1">
        <f>'[2]Electricity and CHPs_NCAP'!G$38</f>
        <v>0.76845745790040998</v>
      </c>
      <c r="L2099" s="1">
        <f>'[2]Electricity and CHPs_NCAP'!H$38</f>
        <v>2.7298047377922199</v>
      </c>
      <c r="N2099" s="1"/>
    </row>
    <row r="2100" spans="2:14" x14ac:dyDescent="0.35">
      <c r="B2100" s="5" t="str">
        <f t="shared" si="2088"/>
        <v>SPS1</v>
      </c>
      <c r="C2100" s="5" t="str">
        <f t="shared" si="2085"/>
        <v>CH</v>
      </c>
      <c r="D2100" t="s">
        <v>2229</v>
      </c>
      <c r="E2100" t="str">
        <f t="shared" si="209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</v>
      </c>
      <c r="L2100" s="1">
        <f>'[2]Electricity and CHPs_NCAP'!H$32</f>
        <v>0</v>
      </c>
      <c r="N2100" s="1"/>
    </row>
    <row r="2101" spans="2:14" x14ac:dyDescent="0.35">
      <c r="B2101" s="5" t="str">
        <f t="shared" si="2088"/>
        <v>SPS1</v>
      </c>
      <c r="C2101" s="5" t="str">
        <f t="shared" si="2085"/>
        <v>CH</v>
      </c>
      <c r="D2101" t="s">
        <v>2230</v>
      </c>
      <c r="E2101" t="str">
        <f t="shared" si="2097"/>
        <v>GWe/yr.</v>
      </c>
      <c r="F2101" s="1">
        <f t="shared" ref="F2101:K2101" si="2103">F2100</f>
        <v>0</v>
      </c>
      <c r="G2101" s="1">
        <f t="shared" si="2103"/>
        <v>0</v>
      </c>
      <c r="H2101" s="1">
        <f t="shared" si="2103"/>
        <v>0</v>
      </c>
      <c r="I2101" s="1">
        <f t="shared" si="2103"/>
        <v>0</v>
      </c>
      <c r="J2101" s="1">
        <f t="shared" si="2103"/>
        <v>0</v>
      </c>
      <c r="K2101" s="1">
        <f t="shared" si="2103"/>
        <v>0</v>
      </c>
      <c r="L2101" s="1">
        <f t="shared" ref="L2101" si="2104">L2100</f>
        <v>0</v>
      </c>
      <c r="N2101" s="1"/>
    </row>
    <row r="2102" spans="2:14" x14ac:dyDescent="0.35">
      <c r="B2102" s="5" t="str">
        <f t="shared" si="2088"/>
        <v>SPS1</v>
      </c>
      <c r="C2102" s="5" t="str">
        <f t="shared" si="2085"/>
        <v>CH</v>
      </c>
      <c r="D2102" t="s">
        <v>2231</v>
      </c>
      <c r="E2102" t="str">
        <f t="shared" si="2097"/>
        <v>GWe/yr.</v>
      </c>
      <c r="F2102" s="1">
        <f t="shared" ref="F2102:K2102" si="2105">SUM(F2103:F2105)</f>
        <v>0</v>
      </c>
      <c r="G2102" s="1">
        <f t="shared" si="2105"/>
        <v>0</v>
      </c>
      <c r="H2102" s="1">
        <f t="shared" si="2105"/>
        <v>0</v>
      </c>
      <c r="I2102" s="1">
        <f t="shared" si="2105"/>
        <v>2.0528716316637301E-4</v>
      </c>
      <c r="J2102" s="1">
        <f t="shared" si="2105"/>
        <v>2.4860851245398879E-4</v>
      </c>
      <c r="K2102" s="1">
        <f t="shared" si="2105"/>
        <v>1.5565321806635102E-2</v>
      </c>
      <c r="L2102" s="1">
        <f t="shared" ref="L2102" si="2106">SUM(L2103:L2105)</f>
        <v>3.0369525050831167E-3</v>
      </c>
      <c r="N2102" s="1"/>
    </row>
    <row r="2103" spans="2:14" x14ac:dyDescent="0.35">
      <c r="B2103" s="5" t="str">
        <f t="shared" si="2088"/>
        <v>SPS1</v>
      </c>
      <c r="C2103" s="5" t="str">
        <f t="shared" si="2085"/>
        <v>CH</v>
      </c>
      <c r="D2103" t="s">
        <v>2232</v>
      </c>
      <c r="E2103" t="str">
        <f t="shared" si="209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1.5528399255084299E-2</v>
      </c>
      <c r="L2103" s="1">
        <f>'[2]Electricity and CHPs_NCAP'!H$30</f>
        <v>2.7726836389533899E-3</v>
      </c>
      <c r="N2103" s="1"/>
    </row>
    <row r="2104" spans="2:14" x14ac:dyDescent="0.35">
      <c r="B2104" s="5" t="str">
        <f t="shared" si="2088"/>
        <v>SPS1</v>
      </c>
      <c r="C2104" s="5" t="str">
        <f t="shared" si="2085"/>
        <v>CH</v>
      </c>
      <c r="D2104" t="s">
        <v>2233</v>
      </c>
      <c r="E2104" t="str">
        <f t="shared" si="209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2.4843775676147597E-4</v>
      </c>
      <c r="K2104" s="1">
        <f>'[2]Electricity and CHPs_NCAP'!G$46</f>
        <v>3.6281605623066101E-5</v>
      </c>
      <c r="L2104" s="1">
        <f>'[2]Electricity and CHPs_NCAP'!H$46</f>
        <v>7.1665067375584901E-5</v>
      </c>
      <c r="N2104" s="1"/>
    </row>
    <row r="2105" spans="2:14" x14ac:dyDescent="0.35">
      <c r="B2105" s="5" t="str">
        <f t="shared" si="2088"/>
        <v>SPS1</v>
      </c>
      <c r="C2105" s="5" t="str">
        <f t="shared" si="2085"/>
        <v>CH</v>
      </c>
      <c r="D2105" t="s">
        <v>2234</v>
      </c>
      <c r="E2105" t="str">
        <f t="shared" si="209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'[2]Electricity and CHPs_NCAP'!F$57</f>
        <v>1.7075569251282799E-7</v>
      </c>
      <c r="K2105" s="1">
        <f>'[2]Electricity and CHPs_NCAP'!G$57</f>
        <v>6.4094592773673097E-7</v>
      </c>
      <c r="L2105" s="1">
        <f>'[2]Electricity and CHPs_NCAP'!H$57</f>
        <v>1.92603798754142E-4</v>
      </c>
      <c r="N2105" s="1"/>
    </row>
    <row r="2106" spans="2:14" x14ac:dyDescent="0.35">
      <c r="B2106" s="5" t="str">
        <f t="shared" si="2088"/>
        <v>SPS1</v>
      </c>
      <c r="C2106" s="5" t="str">
        <f t="shared" si="2085"/>
        <v>CH</v>
      </c>
      <c r="D2106" t="s">
        <v>2235</v>
      </c>
      <c r="E2106" t="str">
        <f t="shared" si="2097"/>
        <v>GWe/yr.</v>
      </c>
      <c r="F2106" s="1">
        <f t="shared" ref="F2106:K2106" si="2107">SUM(F2107:F2113)</f>
        <v>8.1828297110053388E-3</v>
      </c>
      <c r="G2106" s="1">
        <f t="shared" si="2107"/>
        <v>1.4136204138790099E-5</v>
      </c>
      <c r="H2106" s="1">
        <f t="shared" si="2107"/>
        <v>0.36301123997351059</v>
      </c>
      <c r="I2106" s="1">
        <f t="shared" si="2107"/>
        <v>2.5974524890428643E-2</v>
      </c>
      <c r="J2106" s="1">
        <f t="shared" si="2107"/>
        <v>0.4571332977671817</v>
      </c>
      <c r="K2106" s="1">
        <f t="shared" si="2107"/>
        <v>0.44625864641073171</v>
      </c>
      <c r="L2106" s="1">
        <f t="shared" ref="L2106" si="2108">SUM(L2107:L2113)</f>
        <v>1.8860481688801316</v>
      </c>
      <c r="N2106" s="1"/>
    </row>
    <row r="2107" spans="2:14" x14ac:dyDescent="0.35">
      <c r="B2107" s="5" t="str">
        <f t="shared" si="2088"/>
        <v>SPS1</v>
      </c>
      <c r="C2107" s="5" t="str">
        <f t="shared" si="2085"/>
        <v>CH</v>
      </c>
      <c r="D2107" t="s">
        <v>2236</v>
      </c>
      <c r="E2107" t="str">
        <f t="shared" si="2097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'[2]Electricity and CHPs_NCAP'!F$63</f>
        <v>5.3130680028142701E-7</v>
      </c>
      <c r="K2107" s="1">
        <f>'[2]Electricity and CHPs_NCAP'!G$63</f>
        <v>9.1518042458994804E-7</v>
      </c>
      <c r="L2107" s="1">
        <f>'[2]Electricity and CHPs_NCAP'!H$63</f>
        <v>5.8174252737048795E-7</v>
      </c>
      <c r="N2107" s="1"/>
    </row>
    <row r="2108" spans="2:14" x14ac:dyDescent="0.35">
      <c r="B2108" s="5" t="str">
        <f t="shared" si="2088"/>
        <v>SPS1</v>
      </c>
      <c r="C2108" s="5" t="str">
        <f t="shared" si="2085"/>
        <v>CH</v>
      </c>
      <c r="D2108" t="s">
        <v>2237</v>
      </c>
      <c r="E2108" t="str">
        <f t="shared" si="2097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'[2]Electricity and CHPs_NCAP'!F$64</f>
        <v>2.52528346136539E-2</v>
      </c>
      <c r="K2108" s="1">
        <f>'[2]Electricity and CHPs_NCAP'!G$64</f>
        <v>6.4604066192750206E-2</v>
      </c>
      <c r="L2108" s="1">
        <f>'[2]Electricity and CHPs_NCAP'!H$64</f>
        <v>0.89525792029880602</v>
      </c>
      <c r="N2108" s="1"/>
    </row>
    <row r="2109" spans="2:14" x14ac:dyDescent="0.35">
      <c r="B2109" s="5" t="str">
        <f t="shared" si="2088"/>
        <v>SPS1</v>
      </c>
      <c r="C2109" s="5" t="str">
        <f t="shared" si="2085"/>
        <v>CH</v>
      </c>
      <c r="D2109" t="s">
        <v>2238</v>
      </c>
      <c r="E2109" t="str">
        <f t="shared" si="2097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'[2]Electricity and CHPs_NCAP'!F$65</f>
        <v>1.7162902784977199E-2</v>
      </c>
      <c r="K2109" s="1">
        <f>'[2]Electricity and CHPs_NCAP'!G$65</f>
        <v>2.3073018624111E-2</v>
      </c>
      <c r="L2109" s="1">
        <f>'[2]Electricity and CHPs_NCAP'!H$65</f>
        <v>4.0703192157336102E-2</v>
      </c>
      <c r="N2109" s="1"/>
    </row>
    <row r="2110" spans="2:14" x14ac:dyDescent="0.35">
      <c r="B2110" s="5" t="str">
        <f t="shared" si="2088"/>
        <v>SPS1</v>
      </c>
      <c r="C2110" s="5" t="str">
        <f t="shared" si="2085"/>
        <v>CH</v>
      </c>
      <c r="D2110" t="s">
        <v>2239</v>
      </c>
      <c r="E2110" t="str">
        <f t="shared" si="2097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'[2]Electricity and CHPs_NCAP'!F$66</f>
        <v>0.20980569061604201</v>
      </c>
      <c r="K2110" s="1">
        <f>'[2]Electricity and CHPs_NCAP'!G$66</f>
        <v>0.20351644690962201</v>
      </c>
      <c r="L2110" s="1">
        <f>'[2]Electricity and CHPs_NCAP'!H$66</f>
        <v>0.62261470057144097</v>
      </c>
      <c r="N2110" s="1"/>
    </row>
    <row r="2111" spans="2:14" x14ac:dyDescent="0.35">
      <c r="B2111" s="5" t="str">
        <f t="shared" si="2088"/>
        <v>SPS1</v>
      </c>
      <c r="C2111" s="5" t="str">
        <f t="shared" si="2085"/>
        <v>CH</v>
      </c>
      <c r="D2111" t="s">
        <v>2240</v>
      </c>
      <c r="E2111" t="str">
        <f t="shared" si="2097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'[2]Electricity and CHPs_NCAP'!F$67</f>
        <v>8.5537491985572006E-2</v>
      </c>
      <c r="K2111" s="1">
        <f>'[2]Electricity and CHPs_NCAP'!G$67</f>
        <v>6.8665861932474495E-2</v>
      </c>
      <c r="L2111" s="1">
        <f>'[2]Electricity and CHPs_NCAP'!H$67</f>
        <v>0.141775945615878</v>
      </c>
      <c r="N2111" s="1"/>
    </row>
    <row r="2112" spans="2:14" x14ac:dyDescent="0.35">
      <c r="B2112" s="5" t="str">
        <f t="shared" si="2088"/>
        <v>SPS1</v>
      </c>
      <c r="C2112" s="5" t="str">
        <f t="shared" si="2085"/>
        <v>CH</v>
      </c>
      <c r="D2112" t="s">
        <v>2241</v>
      </c>
      <c r="E2112" t="str">
        <f t="shared" si="2097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'[2]Electricity and CHPs_NCAP'!F$68</f>
        <v>2.95283622912011E-2</v>
      </c>
      <c r="K2112" s="1">
        <f>'[2]Electricity and CHPs_NCAP'!G$68</f>
        <v>2.06930126678582E-2</v>
      </c>
      <c r="L2112" s="1">
        <f>'[2]Electricity and CHPs_NCAP'!H$68</f>
        <v>4.5107948988337199E-2</v>
      </c>
      <c r="N2112" s="1"/>
    </row>
    <row r="2113" spans="2:14" x14ac:dyDescent="0.35">
      <c r="B2113" s="5" t="str">
        <f t="shared" si="2088"/>
        <v>SPS1</v>
      </c>
      <c r="C2113" s="5" t="str">
        <f t="shared" si="2085"/>
        <v>CH</v>
      </c>
      <c r="D2113" t="s">
        <v>2242</v>
      </c>
      <c r="E2113" t="str">
        <f t="shared" si="2097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'[2]Electricity and CHPs_NCAP'!F$69</f>
        <v>8.9845484168935202E-2</v>
      </c>
      <c r="K2113" s="1">
        <f>'[2]Electricity and CHPs_NCAP'!G$69</f>
        <v>6.5705324903491194E-2</v>
      </c>
      <c r="L2113" s="1">
        <f>'[2]Electricity and CHPs_NCAP'!H$69</f>
        <v>0.14058787950580601</v>
      </c>
      <c r="N2113" s="1"/>
    </row>
    <row r="2114" spans="2:14" x14ac:dyDescent="0.35">
      <c r="B2114" s="5" t="str">
        <f>SPS3_SOC_Mid!B1902</f>
        <v>SPS1</v>
      </c>
      <c r="C2114" s="5" t="str">
        <f>SPS3_SOC_Mid!C1902</f>
        <v>CH</v>
      </c>
      <c r="D2114" s="2" t="s">
        <v>2243</v>
      </c>
      <c r="E2114" s="2" t="s">
        <v>1972</v>
      </c>
      <c r="F2114" s="3">
        <f t="shared" ref="F2114:K2114" si="2109">SUM(F2115:F2164)</f>
        <v>4.3972920200741782E-4</v>
      </c>
      <c r="G2114" s="3">
        <f t="shared" si="2109"/>
        <v>0.48004085704344951</v>
      </c>
      <c r="H2114" s="3">
        <f t="shared" si="2109"/>
        <v>0.86786562753256369</v>
      </c>
      <c r="I2114" s="3">
        <f t="shared" si="2109"/>
        <v>2.0706848765251058</v>
      </c>
      <c r="J2114" s="3">
        <f t="shared" si="2109"/>
        <v>3.3241529560006238</v>
      </c>
      <c r="K2114" s="3">
        <f t="shared" si="2109"/>
        <v>2.3323201522070027</v>
      </c>
      <c r="L2114" s="3">
        <f t="shared" ref="L2114" si="2110">SUM(L2115:L2164)</f>
        <v>5.3081571803924961</v>
      </c>
      <c r="N2114" s="1"/>
    </row>
    <row r="2115" spans="2:14" x14ac:dyDescent="0.35">
      <c r="B2115" s="5" t="str">
        <f t="shared" ref="B2115:B2146" si="2111">B2114</f>
        <v>SPS1</v>
      </c>
      <c r="C2115" s="5" t="str">
        <f t="shared" ref="C2115:C2146" si="2112">C2114</f>
        <v>CH</v>
      </c>
      <c r="D2115" t="s">
        <v>2244</v>
      </c>
      <c r="E2115" t="str">
        <f t="shared" ref="E2115:E2146" si="211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1"/>
        <v>SPS1</v>
      </c>
      <c r="C2116" s="5" t="str">
        <f t="shared" si="2112"/>
        <v>CH</v>
      </c>
      <c r="D2116" t="s">
        <v>2245</v>
      </c>
      <c r="E2116" t="str">
        <f t="shared" si="211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1.09180389620904E-4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2.1740413969901899E-4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0.47255793584438799</v>
      </c>
      <c r="N2116" s="1"/>
    </row>
    <row r="2117" spans="2:14" x14ac:dyDescent="0.35">
      <c r="B2117" s="5" t="str">
        <f t="shared" si="2111"/>
        <v>SPS1</v>
      </c>
      <c r="C2117" s="5" t="str">
        <f t="shared" si="2112"/>
        <v>CH</v>
      </c>
      <c r="D2117" t="s">
        <v>2246</v>
      </c>
      <c r="E2117" t="str">
        <f t="shared" si="211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0.77817653091706396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1.1111169056861301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1.5331384946973099</v>
      </c>
      <c r="N2117" s="1"/>
    </row>
    <row r="2118" spans="2:14" x14ac:dyDescent="0.35">
      <c r="B2118" s="5" t="str">
        <f t="shared" si="2111"/>
        <v>SPS1</v>
      </c>
      <c r="C2118" s="5" t="str">
        <f t="shared" si="2112"/>
        <v>CH</v>
      </c>
      <c r="D2118" t="s">
        <v>2247</v>
      </c>
      <c r="E2118" t="str">
        <f t="shared" si="211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0.86442464829280397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0.44871502666483298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0.97348005715305996</v>
      </c>
      <c r="N2118" s="1"/>
    </row>
    <row r="2119" spans="2:14" x14ac:dyDescent="0.35">
      <c r="B2119" s="5" t="str">
        <f t="shared" si="2111"/>
        <v>SPS1</v>
      </c>
      <c r="C2119" s="5" t="str">
        <f t="shared" si="2112"/>
        <v>CH</v>
      </c>
      <c r="D2119" t="s">
        <v>2248</v>
      </c>
      <c r="E2119" t="str">
        <f t="shared" si="211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0.78843361907818199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0.61674743565137202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2.3289780200827899</v>
      </c>
      <c r="N2119" s="1"/>
    </row>
    <row r="2120" spans="2:14" x14ac:dyDescent="0.35">
      <c r="B2120" s="5" t="str">
        <f t="shared" si="2111"/>
        <v>SPS1</v>
      </c>
      <c r="C2120" s="5" t="str">
        <f t="shared" si="2112"/>
        <v>CH</v>
      </c>
      <c r="D2120" t="s">
        <v>2249</v>
      </c>
      <c r="E2120" t="str">
        <f t="shared" si="211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6.3476009698984698E-5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2.4198481639753001E-5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1"/>
        <v>SPS1</v>
      </c>
      <c r="C2121" s="5" t="str">
        <f t="shared" si="2112"/>
        <v>CH</v>
      </c>
      <c r="D2121" t="s">
        <v>2250</v>
      </c>
      <c r="E2121" t="str">
        <f t="shared" si="211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7.8526733799763506E-5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7.0912562786855997E-6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1"/>
        <v>SPS1</v>
      </c>
      <c r="C2122" s="5" t="str">
        <f t="shared" si="2112"/>
        <v>CH</v>
      </c>
      <c r="D2122" t="s">
        <v>2251</v>
      </c>
      <c r="E2122" t="str">
        <f t="shared" si="211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8.2122586775013097E-5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1.1707963035796499E-5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1"/>
        <v>SPS1</v>
      </c>
      <c r="C2123" s="5" t="str">
        <f t="shared" si="2112"/>
        <v>CH</v>
      </c>
      <c r="D2123" t="s">
        <v>2252</v>
      </c>
      <c r="E2123" t="str">
        <f t="shared" si="211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7.5802044316745603E-5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1.23112318684611E-5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1"/>
        <v>SPS1</v>
      </c>
      <c r="C2124" s="5" t="str">
        <f t="shared" si="2112"/>
        <v>CH</v>
      </c>
      <c r="D2124" t="s">
        <v>2253</v>
      </c>
      <c r="E2124" t="str">
        <f t="shared" si="211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6.9358850013493195E-5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2.48544512296971E-5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1"/>
        <v>SPS1</v>
      </c>
      <c r="C2125" s="5" t="str">
        <f t="shared" si="2112"/>
        <v>CH</v>
      </c>
      <c r="D2125" t="s">
        <v>2254</v>
      </c>
      <c r="E2125" t="str">
        <f t="shared" si="211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9.5645073209872202E-5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6.98519227052752E-6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1"/>
        <v>SPS1</v>
      </c>
      <c r="C2126" s="5" t="str">
        <f t="shared" si="2112"/>
        <v>CH</v>
      </c>
      <c r="D2126" t="s">
        <v>2255</v>
      </c>
      <c r="E2126" t="str">
        <f t="shared" si="211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1.04507509715758E-4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1.1828066856955299E-5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1"/>
        <v>SPS1</v>
      </c>
      <c r="C2127" s="5" t="str">
        <f t="shared" si="2112"/>
        <v>CH</v>
      </c>
      <c r="D2127" t="s">
        <v>2256</v>
      </c>
      <c r="E2127" t="str">
        <f t="shared" si="211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9.0076537093355098E-5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1.22660472460577E-5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1"/>
        <v>SPS1</v>
      </c>
      <c r="C2128" s="5" t="str">
        <f t="shared" si="2112"/>
        <v>CH</v>
      </c>
      <c r="D2128" t="s">
        <v>2257</v>
      </c>
      <c r="E2128" t="str">
        <f t="shared" si="211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7.8443496466163199E-7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4.6371199665692599E-7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6.13501147012112E-7</v>
      </c>
      <c r="N2128" s="1"/>
    </row>
    <row r="2129" spans="2:14" x14ac:dyDescent="0.35">
      <c r="B2129" s="5" t="str">
        <f t="shared" si="2111"/>
        <v>SPS1</v>
      </c>
      <c r="C2129" s="5" t="str">
        <f t="shared" si="2112"/>
        <v>CH</v>
      </c>
      <c r="D2129" t="s">
        <v>2258</v>
      </c>
      <c r="E2129" t="str">
        <f t="shared" si="211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4.5161424279253902E-7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4.1974003727373903E-7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6.4511683692497804E-7</v>
      </c>
      <c r="N2129" s="1"/>
    </row>
    <row r="2130" spans="2:14" x14ac:dyDescent="0.35">
      <c r="B2130" s="5" t="str">
        <f t="shared" si="2111"/>
        <v>SPS1</v>
      </c>
      <c r="C2130" s="5" t="str">
        <f t="shared" si="2112"/>
        <v>CH</v>
      </c>
      <c r="D2130" t="s">
        <v>2259</v>
      </c>
      <c r="E2130" t="str">
        <f t="shared" si="211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3.46137492189415E-7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3.6918789306797801E-7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6.8304190992781305E-7</v>
      </c>
      <c r="N2130" s="1"/>
    </row>
    <row r="2131" spans="2:14" x14ac:dyDescent="0.35">
      <c r="B2131" s="5" t="str">
        <f t="shared" si="2111"/>
        <v>SPS1</v>
      </c>
      <c r="C2131" s="5" t="str">
        <f t="shared" si="2112"/>
        <v>CH</v>
      </c>
      <c r="D2131" t="s">
        <v>2260</v>
      </c>
      <c r="E2131" t="str">
        <f t="shared" si="211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4.2919560138886699E-7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4.1653331436097801E-7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7.3095505357002202E-7</v>
      </c>
      <c r="N2131" s="1"/>
    </row>
    <row r="2132" spans="2:14" x14ac:dyDescent="0.35">
      <c r="B2132" s="5" t="str">
        <f t="shared" si="2111"/>
        <v>SPS1</v>
      </c>
      <c r="C2132" s="5" t="str">
        <f t="shared" si="2112"/>
        <v>CH</v>
      </c>
      <c r="D2132" t="s">
        <v>2261</v>
      </c>
      <c r="E2132" t="str">
        <f t="shared" si="211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1"/>
        <v>SPS1</v>
      </c>
      <c r="C2133" s="5" t="str">
        <f t="shared" si="2112"/>
        <v>CH</v>
      </c>
      <c r="D2133" t="s">
        <v>2262</v>
      </c>
      <c r="E2133" t="str">
        <f t="shared" si="211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0.15781696002766901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8.3284527076048101E-4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1"/>
        <v>SPS1</v>
      </c>
      <c r="C2134" s="5" t="str">
        <f t="shared" si="2112"/>
        <v>CH</v>
      </c>
      <c r="D2134" t="s">
        <v>2263</v>
      </c>
      <c r="E2134" t="str">
        <f t="shared" si="211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1.1790251035899699E-3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1.96395224717397E-5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1"/>
        <v>SPS1</v>
      </c>
      <c r="C2135" s="5" t="str">
        <f t="shared" si="2112"/>
        <v>CH</v>
      </c>
      <c r="D2135" t="s">
        <v>2264</v>
      </c>
      <c r="E2135" t="str">
        <f t="shared" si="211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1.8941719583769399E-5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4.96052062465108E-6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1"/>
        <v>SPS1</v>
      </c>
      <c r="C2136" s="5" t="str">
        <f t="shared" si="2112"/>
        <v>CH</v>
      </c>
      <c r="D2136" t="s">
        <v>2265</v>
      </c>
      <c r="E2136" t="str">
        <f t="shared" si="211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2.7329025716400199E-5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7.2578612128086402E-6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1"/>
        <v>SPS1</v>
      </c>
      <c r="C2137" s="5" t="str">
        <f t="shared" si="2112"/>
        <v>CH</v>
      </c>
      <c r="D2137" t="s">
        <v>2266</v>
      </c>
      <c r="E2137" t="str">
        <f t="shared" si="211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1"/>
        <v>SPS1</v>
      </c>
      <c r="C2138" s="5" t="str">
        <f t="shared" si="2112"/>
        <v>CH</v>
      </c>
      <c r="D2138" t="s">
        <v>2267</v>
      </c>
      <c r="E2138" t="str">
        <f t="shared" si="211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3.52345378534313E-4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1"/>
        <v>SPS1</v>
      </c>
      <c r="C2139" s="5" t="str">
        <f t="shared" si="2112"/>
        <v>CH</v>
      </c>
      <c r="D2139" t="s">
        <v>2268</v>
      </c>
      <c r="E2139" t="str">
        <f t="shared" si="211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1.9737193344623801E-4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1"/>
        <v>SPS1</v>
      </c>
      <c r="C2140" s="5" t="str">
        <f t="shared" si="2112"/>
        <v>CH</v>
      </c>
      <c r="D2140" t="s">
        <v>2269</v>
      </c>
      <c r="E2140" t="str">
        <f t="shared" si="211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4.43553251108952E-5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1"/>
        <v>SPS1</v>
      </c>
      <c r="C2141" s="5" t="str">
        <f t="shared" si="2112"/>
        <v>CH</v>
      </c>
      <c r="D2141" t="s">
        <v>2270</v>
      </c>
      <c r="E2141" t="str">
        <f t="shared" si="211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0.58414219554188596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1"/>
        <v>SPS1</v>
      </c>
      <c r="C2142" s="5" t="str">
        <f t="shared" si="2112"/>
        <v>CH</v>
      </c>
      <c r="D2142" t="s">
        <v>2271</v>
      </c>
      <c r="E2142" t="str">
        <f t="shared" si="211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1"/>
        <v>SPS1</v>
      </c>
      <c r="C2143" s="5" t="str">
        <f t="shared" si="2112"/>
        <v>CH</v>
      </c>
      <c r="D2143" t="s">
        <v>2272</v>
      </c>
      <c r="E2143" t="str">
        <f t="shared" si="211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1"/>
        <v>SPS1</v>
      </c>
      <c r="C2144" s="5" t="str">
        <f t="shared" si="2112"/>
        <v>CH</v>
      </c>
      <c r="D2144" t="s">
        <v>2273</v>
      </c>
      <c r="E2144" t="str">
        <f t="shared" si="211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1"/>
        <v>SPS1</v>
      </c>
      <c r="C2145" s="5" t="str">
        <f t="shared" si="2112"/>
        <v>CH</v>
      </c>
      <c r="D2145" t="s">
        <v>2274</v>
      </c>
      <c r="E2145" t="str">
        <f t="shared" si="211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1"/>
        <v>SPS1</v>
      </c>
      <c r="C2146" s="5" t="str">
        <f t="shared" si="2112"/>
        <v>CH</v>
      </c>
      <c r="D2146" t="s">
        <v>2275</v>
      </c>
      <c r="E2146" t="str">
        <f t="shared" si="211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4">B2146</f>
        <v>SPS1</v>
      </c>
      <c r="C2147" s="5" t="str">
        <f t="shared" ref="C2147:C2164" si="2115">C2146</f>
        <v>CH</v>
      </c>
      <c r="D2147" t="s">
        <v>2276</v>
      </c>
      <c r="E2147" t="str">
        <f t="shared" ref="E2147:E2164" si="211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4.4033052097439303E-2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0.15451477242206699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4"/>
        <v>SPS1</v>
      </c>
      <c r="C2148" s="5" t="str">
        <f t="shared" si="2115"/>
        <v>CH</v>
      </c>
      <c r="D2148" t="s">
        <v>2277</v>
      </c>
      <c r="E2148" t="str">
        <f t="shared" si="211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9.9997355087182105E-2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1.8846249276406E-5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4"/>
        <v>SPS1</v>
      </c>
      <c r="C2149" s="5" t="str">
        <f t="shared" si="2115"/>
        <v>CH</v>
      </c>
      <c r="D2149" t="s">
        <v>2278</v>
      </c>
      <c r="E2149" t="str">
        <f t="shared" si="211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1.9298935123526499E-5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4.9653624974613201E-6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4"/>
        <v>SPS1</v>
      </c>
      <c r="C2150" s="5" t="str">
        <f t="shared" si="2115"/>
        <v>CH</v>
      </c>
      <c r="D2150" t="s">
        <v>2279</v>
      </c>
      <c r="E2150" t="str">
        <f t="shared" si="211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2.77410790841622E-5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7.1809923900075404E-6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4"/>
        <v>SPS1</v>
      </c>
      <c r="C2151" s="5" t="str">
        <f t="shared" si="2115"/>
        <v>CH</v>
      </c>
      <c r="D2151" t="s">
        <v>2280</v>
      </c>
      <c r="E2151" t="str">
        <f t="shared" si="211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4"/>
        <v>SPS1</v>
      </c>
      <c r="C2152" s="5" t="str">
        <f t="shared" si="2115"/>
        <v>CH</v>
      </c>
      <c r="D2152" t="s">
        <v>2281</v>
      </c>
      <c r="E2152" t="str">
        <f t="shared" si="211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4.8385729365022898E-5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4"/>
        <v>SPS1</v>
      </c>
      <c r="C2153" s="5" t="str">
        <f t="shared" si="2115"/>
        <v>CH</v>
      </c>
      <c r="D2153" t="s">
        <v>2282</v>
      </c>
      <c r="E2153" t="str">
        <f t="shared" si="211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3.0149056101471801E-5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4"/>
        <v>SPS1</v>
      </c>
      <c r="C2154" s="5" t="str">
        <f t="shared" si="2115"/>
        <v>CH</v>
      </c>
      <c r="D2154" t="s">
        <v>2283</v>
      </c>
      <c r="E2154" t="str">
        <f t="shared" si="211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1.7792558171551898E-5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4"/>
        <v>SPS1</v>
      </c>
      <c r="C2155" s="5" t="str">
        <f t="shared" si="2115"/>
        <v>CH</v>
      </c>
      <c r="D2155" t="s">
        <v>2284</v>
      </c>
      <c r="E2155" t="str">
        <f t="shared" si="211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1.29136597484144E-5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4"/>
        <v>SPS1</v>
      </c>
      <c r="C2156" s="5" t="str">
        <f t="shared" si="2115"/>
        <v>CH</v>
      </c>
      <c r="D2156" t="s">
        <v>2285</v>
      </c>
      <c r="E2156" t="str">
        <f t="shared" si="211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4"/>
        <v>SPS1</v>
      </c>
      <c r="C2157" s="5" t="str">
        <f t="shared" si="2115"/>
        <v>CH</v>
      </c>
      <c r="D2157" t="s">
        <v>2286</v>
      </c>
      <c r="E2157" t="str">
        <f t="shared" si="211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4"/>
        <v>SPS1</v>
      </c>
      <c r="C2158" s="5" t="str">
        <f t="shared" si="2115"/>
        <v>CH</v>
      </c>
      <c r="D2158" t="s">
        <v>2287</v>
      </c>
      <c r="E2158" t="str">
        <f t="shared" si="211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4"/>
        <v>SPS1</v>
      </c>
      <c r="C2159" s="5" t="str">
        <f t="shared" si="2115"/>
        <v>CH</v>
      </c>
      <c r="D2159" t="s">
        <v>2288</v>
      </c>
      <c r="E2159" t="str">
        <f t="shared" si="211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4"/>
        <v>SPS1</v>
      </c>
      <c r="C2160" s="5" t="str">
        <f t="shared" si="2115"/>
        <v>CH</v>
      </c>
      <c r="D2160" t="s">
        <v>2289</v>
      </c>
      <c r="E2160" t="str">
        <f t="shared" si="211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4"/>
        <v>SPS1</v>
      </c>
      <c r="C2161" s="5" t="str">
        <f t="shared" si="2115"/>
        <v>CH</v>
      </c>
      <c r="D2161" t="s">
        <v>2290</v>
      </c>
      <c r="E2161" t="str">
        <f t="shared" si="211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1.2713283405728999E-5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4"/>
        <v>SPS1</v>
      </c>
      <c r="C2162" s="5" t="str">
        <f t="shared" si="2115"/>
        <v>CH</v>
      </c>
      <c r="D2162" t="s">
        <v>2291</v>
      </c>
      <c r="E2162" t="str">
        <f t="shared" si="211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2.4204859116316401E-5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4"/>
        <v>SPS1</v>
      </c>
      <c r="C2163" s="5" t="str">
        <f t="shared" si="2115"/>
        <v>CH</v>
      </c>
      <c r="D2163" t="s">
        <v>2292</v>
      </c>
      <c r="E2163" t="str">
        <f t="shared" si="211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1.02696938984392E-4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4"/>
        <v>SPS1</v>
      </c>
      <c r="C2164" s="5" t="str">
        <f t="shared" si="2115"/>
        <v>CH</v>
      </c>
      <c r="D2164" t="s">
        <v>2293</v>
      </c>
      <c r="E2164" t="str">
        <f t="shared" si="211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4.2426232567716196E-3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SPS3_SOC_Mid!B1953</f>
        <v>SPS1</v>
      </c>
      <c r="C2165" s="5" t="str">
        <f>SPS3_SOC_Mid!C1953</f>
        <v>CH</v>
      </c>
      <c r="D2165" s="2" t="s">
        <v>2294</v>
      </c>
      <c r="E2165" s="2" t="s">
        <v>1999</v>
      </c>
      <c r="F2165" s="3">
        <f t="shared" ref="F2165:K2165" si="2117">SUM(F2166:F2188)</f>
        <v>0</v>
      </c>
      <c r="G2165" s="3">
        <f t="shared" si="2117"/>
        <v>0.714102531705333</v>
      </c>
      <c r="H2165" s="3">
        <f t="shared" si="2117"/>
        <v>1.5539387975676742</v>
      </c>
      <c r="I2165" s="3">
        <f t="shared" si="2117"/>
        <v>5.7082829061510738</v>
      </c>
      <c r="J2165" s="3">
        <f t="shared" si="2117"/>
        <v>4.5431113873846209</v>
      </c>
      <c r="K2165" s="3">
        <f t="shared" si="2117"/>
        <v>3.5157483274726369</v>
      </c>
      <c r="L2165" s="3">
        <f t="shared" ref="L2165" si="2118">SUM(L2166:L2188)</f>
        <v>7.2941646688673449</v>
      </c>
      <c r="N2165" s="1"/>
    </row>
    <row r="2166" spans="2:14" x14ac:dyDescent="0.35">
      <c r="B2166" s="5" t="str">
        <f t="shared" ref="B2166:B2197" si="2119">B2165</f>
        <v>SPS1</v>
      </c>
      <c r="C2166" s="5" t="str">
        <f t="shared" ref="C2166:C2197" si="212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9"/>
        <v>SPS1</v>
      </c>
      <c r="C2167" s="5" t="str">
        <f t="shared" si="212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1.335194147155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2.0883865285467301E-2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1.0521094767219599</v>
      </c>
      <c r="N2167" s="1"/>
    </row>
    <row r="2168" spans="2:14" x14ac:dyDescent="0.35">
      <c r="B2168" s="5" t="str">
        <f t="shared" si="2119"/>
        <v>SPS1</v>
      </c>
      <c r="C2168" s="5" t="str">
        <f t="shared" si="212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0.734521411834826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0.11978130119995001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0.75993824158976109</v>
      </c>
      <c r="N2168" s="1"/>
    </row>
    <row r="2169" spans="2:14" x14ac:dyDescent="0.35">
      <c r="B2169" s="5" t="str">
        <f t="shared" si="2119"/>
        <v>SPS1</v>
      </c>
      <c r="C2169" s="5" t="str">
        <f t="shared" si="212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0.715767942370512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0.48564394872025202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3.86022250700971</v>
      </c>
      <c r="N2169" s="1"/>
    </row>
    <row r="2170" spans="2:14" x14ac:dyDescent="0.35">
      <c r="B2170" s="5" t="str">
        <f t="shared" si="2119"/>
        <v>SPS1</v>
      </c>
      <c r="C2170" s="5" t="str">
        <f t="shared" si="212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3.8639759842060199E-4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3.9172105127453902E-4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1.5734830979700299E-4</v>
      </c>
      <c r="N2170" s="1"/>
    </row>
    <row r="2171" spans="2:14" x14ac:dyDescent="0.35">
      <c r="B2171" s="5" t="str">
        <f t="shared" si="2119"/>
        <v>SPS1</v>
      </c>
      <c r="C2171" s="5" t="str">
        <f t="shared" si="212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4.33049405548736E-5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9"/>
        <v>SPS1</v>
      </c>
      <c r="C2172" s="5" t="str">
        <f t="shared" si="212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9"/>
        <v>SPS1</v>
      </c>
      <c r="C2173" s="5" t="str">
        <f t="shared" si="212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9"/>
        <v>SPS1</v>
      </c>
      <c r="C2174" s="5" t="str">
        <f t="shared" si="212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9"/>
        <v>SPS1</v>
      </c>
      <c r="C2175" s="5" t="str">
        <f t="shared" si="212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3.8107288226450599E-3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3.0090432418891197E-3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1.6140918398064199</v>
      </c>
      <c r="N2175" s="1"/>
    </row>
    <row r="2176" spans="2:14" x14ac:dyDescent="0.35">
      <c r="B2176" s="5" t="str">
        <f t="shared" si="2119"/>
        <v>SPS1</v>
      </c>
      <c r="C2176" s="5" t="str">
        <f t="shared" si="212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1.9808892300551997E-3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1.6390215752377E-3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9.1994534940813201E-4</v>
      </c>
      <c r="N2176" s="1"/>
    </row>
    <row r="2177" spans="2:14" x14ac:dyDescent="0.35">
      <c r="B2177" s="5" t="str">
        <f t="shared" si="2119"/>
        <v>SPS1</v>
      </c>
      <c r="C2177" s="5" t="str">
        <f t="shared" si="212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1.31380224397847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0.38985742614449298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4.9983585268184301E-4</v>
      </c>
      <c r="N2177" s="1"/>
    </row>
    <row r="2178" spans="2:14" x14ac:dyDescent="0.35">
      <c r="B2178" s="5" t="str">
        <f t="shared" si="2119"/>
        <v>SPS1</v>
      </c>
      <c r="C2178" s="5" t="str">
        <f t="shared" si="212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5.8170378476859499E-5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4.45664393129728E-5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9"/>
        <v>SPS1</v>
      </c>
      <c r="C2179" s="5" t="str">
        <f t="shared" si="212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9"/>
        <v>SPS1</v>
      </c>
      <c r="C2180" s="5" t="str">
        <f t="shared" si="212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0.41592905910996597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1.5777389400572299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6.1139918101545197E-4</v>
      </c>
      <c r="N2180" s="1"/>
    </row>
    <row r="2181" spans="2:14" x14ac:dyDescent="0.35">
      <c r="B2181" s="5" t="str">
        <f t="shared" si="2119"/>
        <v>SPS1</v>
      </c>
      <c r="C2181" s="5" t="str">
        <f t="shared" si="212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2.1401852256771998E-3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2.0331960256711099E-3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2.36639261150235E-4</v>
      </c>
      <c r="N2181" s="1"/>
    </row>
    <row r="2182" spans="2:14" x14ac:dyDescent="0.35">
      <c r="B2182" s="5" t="str">
        <f t="shared" si="2119"/>
        <v>SPS1</v>
      </c>
      <c r="C2182" s="5" t="str">
        <f t="shared" si="212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1.4716431011786801E-2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0.91146018492950998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1.2426481234542E-4</v>
      </c>
      <c r="N2182" s="1"/>
    </row>
    <row r="2183" spans="2:14" x14ac:dyDescent="0.35">
      <c r="B2183" s="5" t="str">
        <f t="shared" si="2119"/>
        <v>SPS1</v>
      </c>
      <c r="C2183" s="5" t="str">
        <f t="shared" si="212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5.9108480806254799E-5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4.6282088748587501E-5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9"/>
        <v>SPS1</v>
      </c>
      <c r="C2184" s="5" t="str">
        <f t="shared" si="212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9"/>
        <v>SPS1</v>
      </c>
      <c r="C2185" s="5" t="str">
        <f t="shared" si="212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1.8871685436276701E-3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6.6856097218155001E-4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4.2709922858665305E-3</v>
      </c>
      <c r="N2185" s="1"/>
    </row>
    <row r="2186" spans="2:14" x14ac:dyDescent="0.35">
      <c r="B2186" s="5" t="str">
        <f t="shared" si="2119"/>
        <v>SPS1</v>
      </c>
      <c r="C2186" s="5" t="str">
        <f t="shared" si="212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8.1983699064078403E-4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5.2068004462734298E-4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5.7892453796749496E-4</v>
      </c>
      <c r="N2186" s="1"/>
    </row>
    <row r="2187" spans="2:14" x14ac:dyDescent="0.35">
      <c r="B2187" s="5" t="str">
        <f t="shared" si="2119"/>
        <v>SPS1</v>
      </c>
      <c r="C2187" s="5" t="str">
        <f t="shared" si="212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1.95858183310568E-3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2.0015098855668701E-3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4.0325414926106301E-4</v>
      </c>
      <c r="N2187" s="1"/>
    </row>
    <row r="2188" spans="2:14" x14ac:dyDescent="0.35">
      <c r="B2188" s="5" t="str">
        <f t="shared" si="2119"/>
        <v>SPS1</v>
      </c>
      <c r="C2188" s="5" t="str">
        <f t="shared" si="212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3.5779880050219402E-5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2.80798112252199E-5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9"/>
        <v>SPS1</v>
      </c>
      <c r="C2189" s="5" t="str">
        <f t="shared" si="2120"/>
        <v>CH</v>
      </c>
      <c r="D2189" s="2" t="s">
        <v>2318</v>
      </c>
      <c r="E2189" s="2" t="s">
        <v>1999</v>
      </c>
      <c r="F2189" s="3">
        <f t="shared" ref="F2189:K2189" si="2121">SUM(F2190:F2212)</f>
        <v>0</v>
      </c>
      <c r="G2189" s="3">
        <f t="shared" si="2121"/>
        <v>0.50834381466312573</v>
      </c>
      <c r="H2189" s="3">
        <f t="shared" si="2121"/>
        <v>0.36765097079572706</v>
      </c>
      <c r="I2189" s="3">
        <f t="shared" si="2121"/>
        <v>2.7433386000316005</v>
      </c>
      <c r="J2189" s="3">
        <f t="shared" si="2121"/>
        <v>1.7151696267102923</v>
      </c>
      <c r="K2189" s="3">
        <f t="shared" si="2121"/>
        <v>1.0249863256470328</v>
      </c>
      <c r="L2189" s="3">
        <f t="shared" ref="L2189" si="2122">SUM(L2190:L2212)</f>
        <v>2.5641570221231071</v>
      </c>
      <c r="N2189" s="1"/>
    </row>
    <row r="2190" spans="2:14" x14ac:dyDescent="0.35">
      <c r="B2190" s="5" t="str">
        <f t="shared" si="2119"/>
        <v>SPS1</v>
      </c>
      <c r="C2190" s="5" t="str">
        <f t="shared" si="212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9"/>
        <v>SPS1</v>
      </c>
      <c r="C2191" s="5" t="str">
        <f t="shared" si="212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0.28230406828258198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1.04555559977128E-2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0.85220893934734898</v>
      </c>
      <c r="N2191" s="1"/>
    </row>
    <row r="2192" spans="2:14" x14ac:dyDescent="0.35">
      <c r="B2192" s="5" t="str">
        <f t="shared" si="2119"/>
        <v>SPS1</v>
      </c>
      <c r="C2192" s="5" t="str">
        <f t="shared" si="212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0.69552210706524398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0.125848589364286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1.02681066949703</v>
      </c>
      <c r="N2192" s="1"/>
    </row>
    <row r="2193" spans="2:14" x14ac:dyDescent="0.35">
      <c r="B2193" s="5" t="str">
        <f t="shared" si="2119"/>
        <v>SPS1</v>
      </c>
      <c r="C2193" s="5" t="str">
        <f t="shared" si="212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8.57689884540766E-3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1.0663801932899199E-2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0.21748683806434702</v>
      </c>
      <c r="N2193" s="1"/>
    </row>
    <row r="2194" spans="2:14" x14ac:dyDescent="0.35">
      <c r="B2194" s="5" t="str">
        <f t="shared" si="2119"/>
        <v>SPS1</v>
      </c>
      <c r="C2194" s="5" t="str">
        <f t="shared" si="212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3.3828481801343103E-4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3.6755473818099899E-4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1.5205798058529299E-4</v>
      </c>
      <c r="N2194" s="1"/>
    </row>
    <row r="2195" spans="2:14" x14ac:dyDescent="0.35">
      <c r="B2195" s="5" t="str">
        <f t="shared" si="2119"/>
        <v>SPS1</v>
      </c>
      <c r="C2195" s="5" t="str">
        <f t="shared" si="212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2.7515171126595801E-5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9"/>
        <v>SPS1</v>
      </c>
      <c r="C2196" s="5" t="str">
        <f t="shared" si="212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1.19874567930267E-5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9"/>
        <v>SPS1</v>
      </c>
      <c r="C2197" s="5" t="str">
        <f t="shared" si="212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3">B2197</f>
        <v>SPS1</v>
      </c>
      <c r="C2198" s="5" t="str">
        <f t="shared" ref="C2198:C2232" si="212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3"/>
        <v>SPS1</v>
      </c>
      <c r="C2199" s="5" t="str">
        <f t="shared" si="212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3.0154110741998801E-3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2.31310390917909E-3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0.46213900072902703</v>
      </c>
      <c r="N2199" s="1"/>
    </row>
    <row r="2200" spans="2:14" x14ac:dyDescent="0.35">
      <c r="B2200" s="5" t="str">
        <f t="shared" si="2123"/>
        <v>SPS1</v>
      </c>
      <c r="C2200" s="5" t="str">
        <f t="shared" si="212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3.0743919978285599E-3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3.2550688395417597E-3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1.3824630126847599E-3</v>
      </c>
      <c r="N2200" s="1"/>
    </row>
    <row r="2201" spans="2:14" x14ac:dyDescent="0.35">
      <c r="B2201" s="5" t="str">
        <f t="shared" si="2123"/>
        <v>SPS1</v>
      </c>
      <c r="C2201" s="5" t="str">
        <f t="shared" si="212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1.3157602410268001E-2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0.107328174012668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8.3219137682872808E-4</v>
      </c>
      <c r="N2201" s="1"/>
    </row>
    <row r="2202" spans="2:14" x14ac:dyDescent="0.35">
      <c r="B2202" s="5" t="str">
        <f t="shared" si="2123"/>
        <v>SPS1</v>
      </c>
      <c r="C2202" s="5" t="str">
        <f t="shared" si="212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8.0683286935670102E-5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8.7020526655098401E-5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2.2816532371615402E-5</v>
      </c>
      <c r="N2202" s="1"/>
    </row>
    <row r="2203" spans="2:14" x14ac:dyDescent="0.35">
      <c r="B2203" s="5" t="str">
        <f t="shared" si="2123"/>
        <v>SPS1</v>
      </c>
      <c r="C2203" s="5" t="str">
        <f t="shared" si="212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3"/>
        <v>SPS1</v>
      </c>
      <c r="C2204" s="5" t="str">
        <f t="shared" si="212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0.5778162376498831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0.43960646044930302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5.23231830376015E-4</v>
      </c>
      <c r="N2204" s="1"/>
    </row>
    <row r="2205" spans="2:14" x14ac:dyDescent="0.35">
      <c r="B2205" s="5" t="str">
        <f t="shared" si="2123"/>
        <v>SPS1</v>
      </c>
      <c r="C2205" s="5" t="str">
        <f t="shared" si="212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5.46668689397638E-3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0.32078849155288203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2.9754726521950202E-4</v>
      </c>
      <c r="N2205" s="1"/>
    </row>
    <row r="2206" spans="2:14" x14ac:dyDescent="0.35">
      <c r="B2206" s="5" t="str">
        <f t="shared" si="2123"/>
        <v>SPS1</v>
      </c>
      <c r="C2206" s="5" t="str">
        <f t="shared" si="212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0.124087648867966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2.7102141509167997E-3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2.1416818135666898E-4</v>
      </c>
      <c r="N2206" s="1"/>
    </row>
    <row r="2207" spans="2:14" x14ac:dyDescent="0.35">
      <c r="B2207" s="5" t="str">
        <f t="shared" si="2123"/>
        <v>SPS1</v>
      </c>
      <c r="C2207" s="5" t="str">
        <f t="shared" si="212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8.1086265028551394E-5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8.6025086634843793E-5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1.8549306724332502E-5</v>
      </c>
      <c r="N2207" s="1"/>
    </row>
    <row r="2208" spans="2:14" x14ac:dyDescent="0.35">
      <c r="B2208" s="5" t="str">
        <f t="shared" si="2123"/>
        <v>SPS1</v>
      </c>
      <c r="C2208" s="5" t="str">
        <f t="shared" si="212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3"/>
        <v>SPS1</v>
      </c>
      <c r="C2209" s="5" t="str">
        <f t="shared" si="212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5.6129470752785797E-4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3.4883235395711203E-4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9.7924323575749109E-4</v>
      </c>
      <c r="N2209" s="1"/>
    </row>
    <row r="2210" spans="2:14" x14ac:dyDescent="0.35">
      <c r="B2210" s="5" t="str">
        <f t="shared" si="2123"/>
        <v>SPS1</v>
      </c>
      <c r="C2210" s="5" t="str">
        <f t="shared" si="212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5.1208186749466199E-4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4.1902971202316299E-4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5.2395524447769806E-4</v>
      </c>
      <c r="N2210" s="1"/>
    </row>
    <row r="2211" spans="2:14" x14ac:dyDescent="0.35">
      <c r="B2211" s="5" t="str">
        <f t="shared" si="2123"/>
        <v>SPS1</v>
      </c>
      <c r="C2211" s="5" t="str">
        <f t="shared" si="212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4.8911137326592704E-4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6.6043211837199403E-4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5.4742924978904003E-4</v>
      </c>
      <c r="N2211" s="1"/>
    </row>
    <row r="2212" spans="2:14" x14ac:dyDescent="0.35">
      <c r="B2212" s="5" t="str">
        <f t="shared" si="2123"/>
        <v>SPS1</v>
      </c>
      <c r="C2212" s="5" t="str">
        <f t="shared" si="212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4.6528676751091302E-5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4.79709018208359E-5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1.79212691838794E-5</v>
      </c>
      <c r="N2212" s="1"/>
    </row>
    <row r="2213" spans="2:14" x14ac:dyDescent="0.35">
      <c r="B2213" s="5" t="str">
        <f t="shared" si="2123"/>
        <v>SPS1</v>
      </c>
      <c r="C2213" s="5" t="str">
        <f t="shared" si="2124"/>
        <v>CH</v>
      </c>
      <c r="D2213" s="2" t="s">
        <v>2342</v>
      </c>
      <c r="E2213" s="2" t="s">
        <v>1999</v>
      </c>
      <c r="F2213" s="3">
        <f t="shared" ref="F2213:K2213" si="2125">SUM(F2214:F2222)</f>
        <v>3.5996499545842801E-5</v>
      </c>
      <c r="G2213" s="3">
        <f t="shared" si="2125"/>
        <v>22.187883949428592</v>
      </c>
      <c r="H2213" s="3">
        <f t="shared" si="2125"/>
        <v>63.134653465030539</v>
      </c>
      <c r="I2213" s="3">
        <f t="shared" si="2125"/>
        <v>166.45337021009328</v>
      </c>
      <c r="J2213" s="3">
        <f t="shared" si="2125"/>
        <v>247.99781787471667</v>
      </c>
      <c r="K2213" s="3">
        <f t="shared" si="2125"/>
        <v>194.11695030541398</v>
      </c>
      <c r="L2213" s="3">
        <f t="shared" ref="L2213" si="2126">SUM(L2214:L2222)</f>
        <v>372.0523981777344</v>
      </c>
      <c r="N2213" s="1"/>
    </row>
    <row r="2214" spans="2:14" x14ac:dyDescent="0.35">
      <c r="B2214" s="5" t="str">
        <f t="shared" si="2123"/>
        <v>SPS1</v>
      </c>
      <c r="C2214" s="5" t="str">
        <f t="shared" si="212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3"/>
        <v>SPS1</v>
      </c>
      <c r="C2215" s="5" t="str">
        <f t="shared" si="212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85.892746880881091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83.892892898166991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372.00979832488002</v>
      </c>
      <c r="N2215" s="1"/>
    </row>
    <row r="2216" spans="2:14" x14ac:dyDescent="0.35">
      <c r="B2216" s="5" t="str">
        <f t="shared" si="2123"/>
        <v>SPS1</v>
      </c>
      <c r="C2216" s="5" t="str">
        <f t="shared" si="212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1.7302171641932299E-4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1.4922657971383E-4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2.4380890152704999E-4</v>
      </c>
      <c r="N2216" s="1"/>
    </row>
    <row r="2217" spans="2:14" x14ac:dyDescent="0.35">
      <c r="B2217" s="5" t="str">
        <f t="shared" si="2123"/>
        <v>SPS1</v>
      </c>
      <c r="C2217" s="5" t="str">
        <f t="shared" si="212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3"/>
        <v>SPS1</v>
      </c>
      <c r="C2218" s="5" t="str">
        <f t="shared" si="212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2.02308657796261E-2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5.4379424959885396E-3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3"/>
        <v>SPS1</v>
      </c>
      <c r="C2219" s="5" t="str">
        <f t="shared" si="212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3"/>
        <v>SPS1</v>
      </c>
      <c r="C2220" s="5" t="str">
        <f t="shared" si="212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3.0556600652666896E-2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2.4793664832016501E-2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3.6926852065228403E-3</v>
      </c>
      <c r="N2220" s="1"/>
    </row>
    <row r="2221" spans="2:14" x14ac:dyDescent="0.35">
      <c r="B2221" s="5" t="str">
        <f t="shared" si="2123"/>
        <v>SPS1</v>
      </c>
      <c r="C2221" s="5" t="str">
        <f t="shared" si="212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161.57463895123001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110.187951166362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8.1645015606524596E-3</v>
      </c>
      <c r="N2221" s="1"/>
    </row>
    <row r="2222" spans="2:14" x14ac:dyDescent="0.35">
      <c r="B2222" s="5" t="str">
        <f t="shared" si="2123"/>
        <v>SPS1</v>
      </c>
      <c r="C2222" s="5" t="str">
        <f t="shared" si="212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0.479471554456877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5.7254069772683502E-3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3.04988571856241E-2</v>
      </c>
      <c r="N2222" s="1"/>
    </row>
    <row r="2223" spans="2:14" x14ac:dyDescent="0.35">
      <c r="B2223" s="5" t="str">
        <f t="shared" si="2123"/>
        <v>SPS1</v>
      </c>
      <c r="C2223" s="5" t="str">
        <f t="shared" si="2124"/>
        <v>CH</v>
      </c>
      <c r="D2223" s="2" t="s">
        <v>2352</v>
      </c>
      <c r="E2223" s="2" t="s">
        <v>1999</v>
      </c>
      <c r="F2223" s="3">
        <f t="shared" ref="F2223:K2223" si="2127">SUM(F2224:F2232)</f>
        <v>0</v>
      </c>
      <c r="G2223" s="3">
        <f t="shared" si="2127"/>
        <v>2.748424571732087</v>
      </c>
      <c r="H2223" s="3">
        <f t="shared" si="2127"/>
        <v>10.082894854809144</v>
      </c>
      <c r="I2223" s="3">
        <f t="shared" si="2127"/>
        <v>26.195122105126561</v>
      </c>
      <c r="J2223" s="3">
        <f t="shared" si="2127"/>
        <v>40.643639112828197</v>
      </c>
      <c r="K2223" s="3">
        <f t="shared" si="2127"/>
        <v>21.96315952645919</v>
      </c>
      <c r="L2223" s="3">
        <f t="shared" ref="L2223" si="2128">SUM(L2224:L2232)</f>
        <v>50.155203799538292</v>
      </c>
      <c r="M2223" s="3"/>
      <c r="N2223" s="1"/>
    </row>
    <row r="2224" spans="2:14" x14ac:dyDescent="0.35">
      <c r="B2224" s="5" t="str">
        <f t="shared" si="2123"/>
        <v>SPS1</v>
      </c>
      <c r="C2224" s="5" t="str">
        <f t="shared" si="212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3"/>
        <v>SPS1</v>
      </c>
      <c r="C2225" s="5" t="str">
        <f t="shared" si="212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1.0446380360155199E-2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6.0697703110444605E-3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44.547751646822</v>
      </c>
      <c r="N2225" s="1"/>
    </row>
    <row r="2226" spans="2:14" x14ac:dyDescent="0.35">
      <c r="B2226" s="5" t="str">
        <f t="shared" si="2123"/>
        <v>SPS1</v>
      </c>
      <c r="C2226" s="5" t="str">
        <f t="shared" si="212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2.0654858753776001E-4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4.9748725302708498E-4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6.2931970254195195E-4</v>
      </c>
      <c r="N2226" s="1"/>
    </row>
    <row r="2227" spans="2:14" x14ac:dyDescent="0.35">
      <c r="B2227" s="5" t="str">
        <f t="shared" si="2123"/>
        <v>SPS1</v>
      </c>
      <c r="C2227" s="5" t="str">
        <f t="shared" si="212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3"/>
        <v>SPS1</v>
      </c>
      <c r="C2228" s="5" t="str">
        <f t="shared" si="212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3"/>
        <v>SPS1</v>
      </c>
      <c r="C2229" s="5" t="str">
        <f t="shared" si="212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3"/>
        <v>SPS1</v>
      </c>
      <c r="C2230" s="5" t="str">
        <f t="shared" si="212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1.8400480593997899E-3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2.38867816050463E-3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4.0672004516048002E-4</v>
      </c>
      <c r="N2230" s="1"/>
    </row>
    <row r="2231" spans="2:14" x14ac:dyDescent="0.35">
      <c r="B2231" s="5" t="str">
        <f t="shared" si="2123"/>
        <v>SPS1</v>
      </c>
      <c r="C2231" s="5" t="str">
        <f t="shared" si="212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40.587874855935198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21.929489609563102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5.5564874081633802</v>
      </c>
      <c r="N2231" s="1"/>
    </row>
    <row r="2232" spans="2:14" x14ac:dyDescent="0.35">
      <c r="B2232" s="5" t="str">
        <f t="shared" si="2123"/>
        <v>SPS1</v>
      </c>
      <c r="C2232" s="5" t="str">
        <f t="shared" si="212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4.3271279885907503E-2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2.4713981171510701E-2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4.9928704805213497E-2</v>
      </c>
      <c r="N2232" s="1"/>
    </row>
    <row r="2233" spans="2:14" x14ac:dyDescent="0.35">
      <c r="B2233" s="5" t="str">
        <f>SPS3_SOC_Mid!B1822</f>
        <v>SPS1</v>
      </c>
      <c r="C2233" s="5" t="str">
        <f>SPS3_SOC_Mid!C1822</f>
        <v>CH</v>
      </c>
      <c r="D2233" s="2" t="s">
        <v>2367</v>
      </c>
      <c r="E2233" s="2" t="s">
        <v>1858</v>
      </c>
      <c r="F2233" s="3">
        <f t="shared" ref="F2233:K2233" si="2129">SUM(F2234,F2253)</f>
        <v>6.6173166700559218E-5</v>
      </c>
      <c r="G2233" s="3">
        <f t="shared" si="2129"/>
        <v>0.72234441961498708</v>
      </c>
      <c r="H2233" s="3">
        <f t="shared" si="2129"/>
        <v>1.6519529817664553</v>
      </c>
      <c r="I2233" s="3">
        <f t="shared" si="2129"/>
        <v>1.7053540349994498</v>
      </c>
      <c r="J2233" s="3">
        <f t="shared" si="2129"/>
        <v>3.1000557364929953</v>
      </c>
      <c r="K2233" s="3">
        <f t="shared" si="2129"/>
        <v>3.9839514467056842</v>
      </c>
      <c r="L2233" s="3">
        <f t="shared" ref="L2233" si="2130">SUM(L2234,L2253)</f>
        <v>3.6694622419674472</v>
      </c>
      <c r="N2233" s="1"/>
    </row>
    <row r="2234" spans="2:14" x14ac:dyDescent="0.35">
      <c r="B2234" s="5" t="str">
        <f>SPS3_SOC_Mid!B1822</f>
        <v>SPS1</v>
      </c>
      <c r="C2234" s="5" t="str">
        <f>SPS3_SOC_Mid!C1822</f>
        <v>CH</v>
      </c>
      <c r="D2234" t="s">
        <v>2368</v>
      </c>
      <c r="E2234" t="str">
        <f>E2233</f>
        <v>GWth/yr.</v>
      </c>
      <c r="F2234" s="1">
        <f t="shared" ref="F2234:K2234" si="2131">SUM(F2235,F2238,F2240,F2243,F2245,F2247,F2249,F2251)</f>
        <v>4.3708693814688274E-5</v>
      </c>
      <c r="G2234" s="1">
        <f t="shared" si="2131"/>
        <v>0.56415737816151801</v>
      </c>
      <c r="H2234" s="1">
        <f t="shared" si="2131"/>
        <v>1.4546536047867697</v>
      </c>
      <c r="I2234" s="1">
        <f t="shared" si="2131"/>
        <v>1.3281709317634558</v>
      </c>
      <c r="J2234" s="1">
        <f t="shared" si="2131"/>
        <v>2.1929321071192955</v>
      </c>
      <c r="K2234" s="1">
        <f t="shared" si="2131"/>
        <v>3.0306626222734749</v>
      </c>
      <c r="L2234" s="1">
        <f t="shared" ref="L2234" si="2132">SUM(L2235,L2238,L2240,L2243,L2245,L2247,L2249,L2251)</f>
        <v>2.4102257513722378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3">SUM(F2236:F2237)</f>
        <v>3.052259025840196E-6</v>
      </c>
      <c r="G2235" s="1">
        <f t="shared" si="2133"/>
        <v>0.27135435386403151</v>
      </c>
      <c r="H2235" s="1">
        <f t="shared" si="2133"/>
        <v>0.99853685846934037</v>
      </c>
      <c r="I2235" s="1">
        <f t="shared" si="2133"/>
        <v>1.1648709816860394</v>
      </c>
      <c r="J2235" s="1">
        <f t="shared" si="2133"/>
        <v>1.7056554528670367</v>
      </c>
      <c r="K2235" s="1">
        <f t="shared" si="2133"/>
        <v>2.242220601343873</v>
      </c>
      <c r="L2235" s="1">
        <f t="shared" ref="L2235" si="2134">SUM(L2236:L2237)</f>
        <v>2.1773932184729934</v>
      </c>
      <c r="N2235" s="1"/>
    </row>
    <row r="2236" spans="2:14" x14ac:dyDescent="0.35">
      <c r="B2236" s="5" t="str">
        <f t="shared" ref="B2236:B2267" si="2135">B2235</f>
        <v>SPS1</v>
      </c>
      <c r="C2236" s="5" t="str">
        <f t="shared" ref="C2236:C2267" si="2136">C2235</f>
        <v>CH</v>
      </c>
      <c r="D2236" t="s">
        <v>2370</v>
      </c>
      <c r="E2236" t="str">
        <f t="shared" ref="E2236:E2267" si="213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SUMPRODUCT(([2]OUT_FinalEnergyCons!$B$4:$B$10000="var_ncap")*1,(ISNUMBER(SEARCH("RH*-SHELCBR",[2]OUT_FinalEnergyCons!$A$4:$A$10000)))*1,[2]OUT_FinalEnergyCons!H$4:H$10000)</f>
        <v>3.3586923568210492E-3</v>
      </c>
      <c r="K2236" s="1" cm="1">
        <f t="array" ref="K2236">SUMPRODUCT(([2]OUT_FinalEnergyCons!$B$4:$B$10000="var_ncap")*1,(ISNUMBER(SEARCH("RH*-SHELCBR",[2]OUT_FinalEnergyCons!$A$4:$A$10000)))*1,[2]OUT_FinalEnergyCons!I$4:I$10000)</f>
        <v>4.4143967683015102E-4</v>
      </c>
      <c r="L2236" s="1" cm="1">
        <f t="array" ref="L2236">SUMPRODUCT(([2]OUT_FinalEnergyCons!$B$4:$B$10000="var_ncap")*1,(ISNUMBER(SEARCH("RH*-SHELCBR",[2]OUT_FinalEnergyCons!$A$4:$A$10000)))*1,[2]OUT_FinalEnergyCons!J$4:J$10000)</f>
        <v>3.9928949956147359E-6</v>
      </c>
      <c r="N2236" s="1"/>
    </row>
    <row r="2237" spans="2:14" x14ac:dyDescent="0.35">
      <c r="B2237" s="5" t="str">
        <f t="shared" si="2135"/>
        <v>SPS1</v>
      </c>
      <c r="C2237" s="5" t="str">
        <f t="shared" si="2136"/>
        <v>CH</v>
      </c>
      <c r="D2237" t="s">
        <v>2371</v>
      </c>
      <c r="E2237" t="str">
        <f t="shared" si="213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SUMPRODUCT(([2]OUT_FinalEnergyCons!$B$4:$B$10000="var_ncap")*1,ISNUMBER(SEARCH("RH*-SHELCHP",[2]OUT_FinalEnergyCons!$A$4:$A$10000))*1,[2]OUT_FinalEnergyCons!H$4:H$10000)</f>
        <v>1.7022967605102157</v>
      </c>
      <c r="K2237" s="1" cm="1">
        <f t="array" ref="K2237">SUMPRODUCT(([2]OUT_FinalEnergyCons!$B$4:$B$10000="var_ncap")*1,ISNUMBER(SEARCH("RH*-SHELCHP",[2]OUT_FinalEnergyCons!$A$4:$A$10000))*1,[2]OUT_FinalEnergyCons!I$4:I$10000)</f>
        <v>2.2417791616670431</v>
      </c>
      <c r="L2237" s="1" cm="1">
        <f t="array" ref="L2237">SUMPRODUCT(([2]OUT_FinalEnergyCons!$B$4:$B$10000="var_ncap")*1,ISNUMBER(SEARCH("RH*-SHELCHP",[2]OUT_FinalEnergyCons!$A$4:$A$10000))*1,[2]OUT_FinalEnergyCons!J$4:J$10000)</f>
        <v>2.1773892255779979</v>
      </c>
      <c r="N2237" s="1"/>
    </row>
    <row r="2238" spans="2:14" x14ac:dyDescent="0.35">
      <c r="B2238" s="5" t="str">
        <f t="shared" si="2135"/>
        <v>SPS1</v>
      </c>
      <c r="C2238" s="5" t="str">
        <f t="shared" si="2136"/>
        <v>CH</v>
      </c>
      <c r="D2238" t="s">
        <v>2372</v>
      </c>
      <c r="E2238" t="str">
        <f t="shared" si="2137"/>
        <v>GWth/yr.</v>
      </c>
      <c r="F2238" s="1">
        <f t="shared" ref="F2238:L2238" si="2138">F2239</f>
        <v>0</v>
      </c>
      <c r="G2238" s="1">
        <f t="shared" si="2138"/>
        <v>7.9887420814087558E-5</v>
      </c>
      <c r="H2238" s="1">
        <f t="shared" si="2138"/>
        <v>3.8447676658650759E-2</v>
      </c>
      <c r="I2238" s="1">
        <f t="shared" si="2138"/>
        <v>1.0515923657831531E-6</v>
      </c>
      <c r="J2238" s="1">
        <f t="shared" si="2138"/>
        <v>3.7873059921986009E-2</v>
      </c>
      <c r="K2238" s="1">
        <f t="shared" si="2138"/>
        <v>0.15044827126187341</v>
      </c>
      <c r="L2238" s="1">
        <f t="shared" si="2138"/>
        <v>1.9548453818310338E-7</v>
      </c>
      <c r="N2238" s="1"/>
    </row>
    <row r="2239" spans="2:14" x14ac:dyDescent="0.35">
      <c r="B2239" s="5" t="str">
        <f t="shared" si="2135"/>
        <v>SPS1</v>
      </c>
      <c r="C2239" s="5" t="str">
        <f t="shared" si="2136"/>
        <v>CH</v>
      </c>
      <c r="D2239" t="s">
        <v>2373</v>
      </c>
      <c r="E2239" t="str">
        <f t="shared" si="213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SUMPRODUCT(([2]OUT_FinalEnergyCons!$B$4:$B$10000="var_ncap")*1, (ISNUMBER(SEARCH("RH*-SHLFOBR",[2]OUT_FinalEnergyCons!$A$4:$A$10000)))*1,[2]OUT_FinalEnergyCons!H$4:H$10000)</f>
        <v>3.7873059921986009E-2</v>
      </c>
      <c r="K2239" s="1" cm="1">
        <f t="array" ref="K2239">SUMPRODUCT(([2]OUT_FinalEnergyCons!$B$4:$B$10000="var_ncap")*1, (ISNUMBER(SEARCH("RH*-SHLFOBR",[2]OUT_FinalEnergyCons!$A$4:$A$10000)))*1,[2]OUT_FinalEnergyCons!I$4:I$10000)</f>
        <v>0.15044827126187341</v>
      </c>
      <c r="L2239" s="1" cm="1">
        <f t="array" ref="L2239">SUMPRODUCT(([2]OUT_FinalEnergyCons!$B$4:$B$10000="var_ncap")*1, (ISNUMBER(SEARCH("RH*-SHLFOBR",[2]OUT_FinalEnergyCons!$A$4:$A$10000)))*1,[2]OUT_FinalEnergyCons!J$4:J$10000)</f>
        <v>1.9548453818310338E-7</v>
      </c>
      <c r="N2239" s="1"/>
    </row>
    <row r="2240" spans="2:14" x14ac:dyDescent="0.35">
      <c r="B2240" s="5" t="str">
        <f t="shared" si="2135"/>
        <v>SPS1</v>
      </c>
      <c r="C2240" s="5" t="str">
        <f t="shared" si="2136"/>
        <v>CH</v>
      </c>
      <c r="D2240" t="s">
        <v>2374</v>
      </c>
      <c r="E2240" t="str">
        <f t="shared" si="2137"/>
        <v>GWth/yr.</v>
      </c>
      <c r="F2240" s="1">
        <f t="shared" ref="F2240:K2240" si="2139">SUM(F2241:F2242)</f>
        <v>2.5228321053852198E-7</v>
      </c>
      <c r="G2240" s="1">
        <f t="shared" si="2139"/>
        <v>0.1735394234343518</v>
      </c>
      <c r="H2240" s="1">
        <f t="shared" si="2139"/>
        <v>0.41764392889221907</v>
      </c>
      <c r="I2240" s="1">
        <f t="shared" si="2139"/>
        <v>0.16324370646659467</v>
      </c>
      <c r="J2240" s="1">
        <f t="shared" si="2139"/>
        <v>0.20214307704312706</v>
      </c>
      <c r="K2240" s="1">
        <f t="shared" si="2139"/>
        <v>0.56348135453796844</v>
      </c>
      <c r="L2240" s="1">
        <f t="shared" ref="L2240" si="2140">SUM(L2241:L2242)</f>
        <v>0.23101866654783221</v>
      </c>
      <c r="N2240" s="1"/>
    </row>
    <row r="2241" spans="2:14" x14ac:dyDescent="0.35">
      <c r="B2241" s="5" t="str">
        <f t="shared" si="2135"/>
        <v>SPS1</v>
      </c>
      <c r="C2241" s="5" t="str">
        <f t="shared" si="2136"/>
        <v>CH</v>
      </c>
      <c r="D2241" t="s">
        <v>2375</v>
      </c>
      <c r="E2241" t="str">
        <f t="shared" si="213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SUMPRODUCT(([2]OUT_FinalEnergyCons!$B$4:$B$10000="var_ncap")*1, (ISNUMBER(SEARCH("RH*-SHNGABR",[2]OUT_FinalEnergyCons!$A$4:$A$10000)))*1,[2]OUT_FinalEnergyCons!H$4:H$10000)</f>
        <v>8.9959192618926626E-2</v>
      </c>
      <c r="K2241" s="1" cm="1">
        <f t="array" ref="K2241">SUMPRODUCT(([2]OUT_FinalEnergyCons!$B$4:$B$10000="var_ncap")*1, (ISNUMBER(SEARCH("RH*-SHNGABR",[2]OUT_FinalEnergyCons!$A$4:$A$10000)))*1,[2]OUT_FinalEnergyCons!I$4:I$10000)</f>
        <v>0.19303844891286881</v>
      </c>
      <c r="L2241" s="1" cm="1">
        <f t="array" ref="L2241">SUMPRODUCT(([2]OUT_FinalEnergyCons!$B$4:$B$10000="var_ncap")*1, (ISNUMBER(SEARCH("RH*-SHNGABR",[2]OUT_FinalEnergyCons!$A$4:$A$10000)))*1,[2]OUT_FinalEnergyCons!J$4:J$10000)</f>
        <v>1.4744721283110188E-6</v>
      </c>
      <c r="N2241" s="1"/>
    </row>
    <row r="2242" spans="2:14" x14ac:dyDescent="0.35">
      <c r="B2242" s="5" t="str">
        <f t="shared" si="2135"/>
        <v>SPS1</v>
      </c>
      <c r="C2242" s="5" t="str">
        <f t="shared" si="2136"/>
        <v>CH</v>
      </c>
      <c r="D2242" t="s">
        <v>2376</v>
      </c>
      <c r="E2242" t="str">
        <f t="shared" si="213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SUMPRODUCT(([2]OUT_FinalEnergyCons!$B$4:$B$10000="var_ncap")*1,ISNUMBER(SEARCH("RH*-SHngahp",[2]OUT_FinalEnergyCons!$A$4:$A$10000))*1,[2]OUT_FinalEnergyCons!H$4:H$10000)</f>
        <v>0.11218388442420044</v>
      </c>
      <c r="K2242" s="1" cm="1">
        <f t="array" ref="K2242">SUMPRODUCT(([2]OUT_FinalEnergyCons!$B$4:$B$10000="var_ncap")*1,ISNUMBER(SEARCH("RH*-SHngahp",[2]OUT_FinalEnergyCons!$A$4:$A$10000))*1,[2]OUT_FinalEnergyCons!I$4:I$10000)</f>
        <v>0.37044290562509963</v>
      </c>
      <c r="L2242" s="1" cm="1">
        <f t="array" ref="L2242">SUMPRODUCT(([2]OUT_FinalEnergyCons!$B$4:$B$10000="var_ncap")*1,ISNUMBER(SEARCH("RH*-SHngahp",[2]OUT_FinalEnergyCons!$A$4:$A$10000))*1,[2]OUT_FinalEnergyCons!J$4:J$10000)</f>
        <v>0.2310171920757039</v>
      </c>
      <c r="N2242" s="1"/>
    </row>
    <row r="2243" spans="2:14" x14ac:dyDescent="0.35">
      <c r="B2243" s="5" t="str">
        <f t="shared" si="2135"/>
        <v>SPS1</v>
      </c>
      <c r="C2243" s="5" t="str">
        <f t="shared" si="2136"/>
        <v>CH</v>
      </c>
      <c r="D2243" t="s">
        <v>2377</v>
      </c>
      <c r="E2243" t="str">
        <f t="shared" si="2137"/>
        <v>GWth/yr.</v>
      </c>
      <c r="F2243" s="1">
        <f t="shared" ref="F2243:L2243" si="2141">F2244</f>
        <v>0</v>
      </c>
      <c r="G2243" s="1">
        <f t="shared" si="2141"/>
        <v>0</v>
      </c>
      <c r="H2243" s="1">
        <f t="shared" si="2141"/>
        <v>0</v>
      </c>
      <c r="I2243" s="1">
        <f t="shared" si="2141"/>
        <v>0</v>
      </c>
      <c r="J2243" s="1">
        <f t="shared" si="2141"/>
        <v>0</v>
      </c>
      <c r="K2243" s="1">
        <f t="shared" si="2141"/>
        <v>0</v>
      </c>
      <c r="L2243" s="1">
        <f t="shared" si="2141"/>
        <v>0</v>
      </c>
      <c r="N2243" s="1"/>
    </row>
    <row r="2244" spans="2:14" x14ac:dyDescent="0.35">
      <c r="B2244" s="5" t="str">
        <f t="shared" si="2135"/>
        <v>SPS1</v>
      </c>
      <c r="C2244" s="5" t="str">
        <f t="shared" si="2136"/>
        <v>CH</v>
      </c>
      <c r="D2244" t="s">
        <v>2378</v>
      </c>
      <c r="E2244" t="str">
        <f t="shared" si="213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5"/>
        <v>SPS1</v>
      </c>
      <c r="C2245" s="5" t="str">
        <f t="shared" si="2136"/>
        <v>CH</v>
      </c>
      <c r="D2245" t="s">
        <v>2379</v>
      </c>
      <c r="E2245" t="str">
        <f t="shared" si="2137"/>
        <v>GWth/yr.</v>
      </c>
      <c r="F2245" s="1">
        <f t="shared" ref="F2245:L2245" si="2142">F2246</f>
        <v>1.4094596715811501E-6</v>
      </c>
      <c r="G2245" s="1">
        <f t="shared" si="2142"/>
        <v>6.0431678725202539E-2</v>
      </c>
      <c r="H2245" s="1">
        <f t="shared" si="2142"/>
        <v>5.5158260241497979E-6</v>
      </c>
      <c r="I2245" s="1">
        <f t="shared" si="2142"/>
        <v>2.0885883454746609E-6</v>
      </c>
      <c r="J2245" s="1">
        <f t="shared" si="2142"/>
        <v>0.24563419710468137</v>
      </c>
      <c r="K2245" s="1">
        <f t="shared" si="2142"/>
        <v>6.2600338222165083E-2</v>
      </c>
      <c r="L2245" s="1">
        <f t="shared" si="2142"/>
        <v>1.9020168992647019E-7</v>
      </c>
      <c r="N2245" s="1"/>
    </row>
    <row r="2246" spans="2:14" x14ac:dyDescent="0.35">
      <c r="B2246" s="5" t="str">
        <f t="shared" si="2135"/>
        <v>SPS1</v>
      </c>
      <c r="C2246" s="5" t="str">
        <f t="shared" si="2136"/>
        <v>CH</v>
      </c>
      <c r="D2246" t="s">
        <v>2380</v>
      </c>
      <c r="E2246" t="str">
        <f t="shared" si="213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SUMPRODUCT(([2]OUT_FinalEnergyCons!$B$4:$B$10000="var_ncap")*1, (ISNUMBER(SEARCH("RH*-SHWODBR",[2]OUT_FinalEnergyCons!$A$4:$A$10000)))*1,[2]OUT_FinalEnergyCons!H$4:H$10000)</f>
        <v>0.24563419710468137</v>
      </c>
      <c r="K2246" s="1" cm="1">
        <f t="array" ref="K2246">SUMPRODUCT(([2]OUT_FinalEnergyCons!$B$4:$B$10000="var_ncap")*1, (ISNUMBER(SEARCH("RH*-SHWODBR",[2]OUT_FinalEnergyCons!$A$4:$A$10000)))*1,[2]OUT_FinalEnergyCons!I$4:I$10000)</f>
        <v>6.2600338222165083E-2</v>
      </c>
      <c r="L2246" s="1" cm="1">
        <f t="array" ref="L2246">SUMPRODUCT(([2]OUT_FinalEnergyCons!$B$4:$B$10000="var_ncap")*1, (ISNUMBER(SEARCH("RH*-SHWODBR",[2]OUT_FinalEnergyCons!$A$4:$A$10000)))*1,[2]OUT_FinalEnergyCons!J$4:J$10000)</f>
        <v>1.9020168992647019E-7</v>
      </c>
      <c r="N2246" s="1"/>
    </row>
    <row r="2247" spans="2:14" x14ac:dyDescent="0.35">
      <c r="B2247" s="5" t="str">
        <f t="shared" si="2135"/>
        <v>SPS1</v>
      </c>
      <c r="C2247" s="5" t="str">
        <f t="shared" si="2136"/>
        <v>CH</v>
      </c>
      <c r="D2247" t="s">
        <v>2381</v>
      </c>
      <c r="E2247" t="str">
        <f t="shared" si="2137"/>
        <v>GWth/yr.</v>
      </c>
      <c r="F2247" s="1">
        <f t="shared" ref="F2247:L2247" si="2143">F2248</f>
        <v>1.0087048691343301E-5</v>
      </c>
      <c r="G2247" s="1">
        <f t="shared" si="2143"/>
        <v>3.5944896646139847E-2</v>
      </c>
      <c r="H2247" s="1">
        <f t="shared" si="2143"/>
        <v>9.0610371762758104E-7</v>
      </c>
      <c r="I2247" s="1">
        <f t="shared" si="2143"/>
        <v>2.0370624545508839E-6</v>
      </c>
      <c r="J2247" s="1">
        <f t="shared" si="2143"/>
        <v>1.44637726786498E-3</v>
      </c>
      <c r="K2247" s="1">
        <f t="shared" si="2143"/>
        <v>4.4974167984009137E-3</v>
      </c>
      <c r="L2247" s="1">
        <f t="shared" si="2143"/>
        <v>2.6167983695553859E-7</v>
      </c>
      <c r="N2247" s="1"/>
    </row>
    <row r="2248" spans="2:14" x14ac:dyDescent="0.35">
      <c r="B2248" s="5" t="str">
        <f t="shared" si="2135"/>
        <v>SPS1</v>
      </c>
      <c r="C2248" s="5" t="str">
        <f t="shared" si="2136"/>
        <v>CH</v>
      </c>
      <c r="D2248" t="s">
        <v>2382</v>
      </c>
      <c r="E2248" t="str">
        <f t="shared" si="213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SUMPRODUCT(([2]OUT_FinalEnergyCons!$B$4:$B$10000="var_ncap")*1, (ISNUMBER(SEARCH("RH*-SHPLTBR",[2]OUT_FinalEnergyCons!$A$4:$A$10000)))*1,[2]OUT_FinalEnergyCons!H$4:H$10000)</f>
        <v>1.44637726786498E-3</v>
      </c>
      <c r="K2248" s="1" cm="1">
        <f t="array" ref="K2248">SUMPRODUCT(([2]OUT_FinalEnergyCons!$B$4:$B$10000="var_ncap")*1, (ISNUMBER(SEARCH("RH*-SHPLTBR",[2]OUT_FinalEnergyCons!$A$4:$A$10000)))*1,[2]OUT_FinalEnergyCons!I$4:I$10000)</f>
        <v>4.4974167984009137E-3</v>
      </c>
      <c r="L2248" s="1" cm="1">
        <f t="array" ref="L2248">SUMPRODUCT(([2]OUT_FinalEnergyCons!$B$4:$B$10000="var_ncap")*1, (ISNUMBER(SEARCH("RH*-SHPLTBR",[2]OUT_FinalEnergyCons!$A$4:$A$10000)))*1,[2]OUT_FinalEnergyCons!J$4:J$10000)</f>
        <v>2.6167983695553859E-7</v>
      </c>
      <c r="N2248" s="1"/>
    </row>
    <row r="2249" spans="2:14" x14ac:dyDescent="0.35">
      <c r="B2249" s="5" t="str">
        <f t="shared" si="2135"/>
        <v>SPS1</v>
      </c>
      <c r="C2249" s="5" t="str">
        <f t="shared" si="2136"/>
        <v>CH</v>
      </c>
      <c r="D2249" t="s">
        <v>2383</v>
      </c>
      <c r="E2249" t="str">
        <f t="shared" si="2137"/>
        <v>GWth/yr.</v>
      </c>
      <c r="F2249" s="1">
        <f t="shared" ref="F2249:L2249" si="2144">F2250</f>
        <v>2.8907643215385102E-5</v>
      </c>
      <c r="G2249" s="1">
        <f t="shared" si="2144"/>
        <v>2.2807138070978179E-2</v>
      </c>
      <c r="H2249" s="1">
        <f t="shared" si="2144"/>
        <v>1.8718836817694307E-5</v>
      </c>
      <c r="I2249" s="1">
        <f t="shared" si="2144"/>
        <v>5.1066367655980477E-5</v>
      </c>
      <c r="J2249" s="1">
        <f t="shared" si="2144"/>
        <v>1.79942914599248E-4</v>
      </c>
      <c r="K2249" s="1">
        <f t="shared" si="2144"/>
        <v>7.4146401091945442E-3</v>
      </c>
      <c r="L2249" s="1">
        <f t="shared" si="2144"/>
        <v>1.8132189853469552E-3</v>
      </c>
      <c r="N2249" s="1"/>
    </row>
    <row r="2250" spans="2:14" x14ac:dyDescent="0.35">
      <c r="B2250" s="5" t="str">
        <f t="shared" si="2135"/>
        <v>SPS1</v>
      </c>
      <c r="C2250" s="5" t="str">
        <f t="shared" si="2136"/>
        <v>CH</v>
      </c>
      <c r="D2250" t="s">
        <v>2384</v>
      </c>
      <c r="E2250" t="str">
        <f t="shared" si="213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SUMPRODUCT(([2]OUT_FinalEnergyCons!$B$4:$B$10000="var_ncap")*1, (ISNUMBER(SEARCH("RH*-SHSOLBR",[2]OUT_FinalEnergyCons!$A$4:$A$10000)))*1,[2]OUT_FinalEnergyCons!H$4:H$10000)</f>
        <v>1.79942914599248E-4</v>
      </c>
      <c r="K2250" s="1" cm="1">
        <f t="array" ref="K2250">SUMPRODUCT(([2]OUT_FinalEnergyCons!$B$4:$B$10000="var_ncap")*1, (ISNUMBER(SEARCH("RH*-SHSOLBR",[2]OUT_FinalEnergyCons!$A$4:$A$10000)))*1,[2]OUT_FinalEnergyCons!I$4:I$10000)</f>
        <v>7.4146401091945442E-3</v>
      </c>
      <c r="L2250" s="1" cm="1">
        <f t="array" ref="L2250">SUMPRODUCT(([2]OUT_FinalEnergyCons!$B$4:$B$10000="var_ncap")*1, (ISNUMBER(SEARCH("RH*-SHSOLBR",[2]OUT_FinalEnergyCons!$A$4:$A$10000)))*1,[2]OUT_FinalEnergyCons!J$4:J$10000)</f>
        <v>1.8132189853469552E-3</v>
      </c>
      <c r="N2250" s="1"/>
    </row>
    <row r="2251" spans="2:14" x14ac:dyDescent="0.35">
      <c r="B2251" s="5" t="str">
        <f t="shared" si="2135"/>
        <v>SPS1</v>
      </c>
      <c r="C2251" s="5" t="str">
        <f t="shared" si="2136"/>
        <v>CH</v>
      </c>
      <c r="D2251" t="s">
        <v>2385</v>
      </c>
      <c r="E2251" t="str">
        <f t="shared" si="2137"/>
        <v>GWth/yr.</v>
      </c>
      <c r="F2251" s="1">
        <f t="shared" ref="F2251:L2251" si="2145">F2252</f>
        <v>0</v>
      </c>
      <c r="G2251" s="1">
        <f t="shared" si="2145"/>
        <v>0</v>
      </c>
      <c r="H2251" s="1">
        <f t="shared" si="2145"/>
        <v>0</v>
      </c>
      <c r="I2251" s="1">
        <f t="shared" si="2145"/>
        <v>0</v>
      </c>
      <c r="J2251" s="1">
        <f t="shared" si="2145"/>
        <v>0</v>
      </c>
      <c r="K2251" s="1">
        <f t="shared" si="2145"/>
        <v>0</v>
      </c>
      <c r="L2251" s="1">
        <f t="shared" si="2145"/>
        <v>0</v>
      </c>
      <c r="N2251" s="1"/>
    </row>
    <row r="2252" spans="2:14" x14ac:dyDescent="0.35">
      <c r="B2252" s="5" t="str">
        <f t="shared" si="2135"/>
        <v>SPS1</v>
      </c>
      <c r="C2252" s="5" t="str">
        <f t="shared" si="2136"/>
        <v>CH</v>
      </c>
      <c r="D2252" t="s">
        <v>2386</v>
      </c>
      <c r="E2252" t="str">
        <f t="shared" si="213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5"/>
        <v>SPS1</v>
      </c>
      <c r="C2253" s="5" t="str">
        <f t="shared" si="2136"/>
        <v>CH</v>
      </c>
      <c r="D2253" t="s">
        <v>2387</v>
      </c>
      <c r="E2253" t="str">
        <f t="shared" si="2137"/>
        <v>GWth/yr.</v>
      </c>
      <c r="F2253" s="1">
        <f t="shared" ref="F2253:K2253" si="2146">SUM(F2254,F2257,F2259,F2262,F2264,F2266,F2268,F2270)</f>
        <v>2.2464472885870951E-5</v>
      </c>
      <c r="G2253" s="1">
        <f t="shared" si="2146"/>
        <v>0.15818704145346901</v>
      </c>
      <c r="H2253" s="1">
        <f t="shared" si="2146"/>
        <v>0.19729937697968558</v>
      </c>
      <c r="I2253" s="1">
        <f t="shared" si="2146"/>
        <v>0.37718310323599408</v>
      </c>
      <c r="J2253" s="1">
        <f t="shared" si="2146"/>
        <v>0.90712362937369972</v>
      </c>
      <c r="K2253" s="1">
        <f t="shared" si="2146"/>
        <v>0.95328882443220908</v>
      </c>
      <c r="L2253" s="1">
        <f t="shared" ref="L2253" si="2147">SUM(L2254,L2257,L2259,L2262,L2264,L2266,L2268,L2270)</f>
        <v>1.2592364905952091</v>
      </c>
      <c r="N2253" s="1"/>
    </row>
    <row r="2254" spans="2:14" x14ac:dyDescent="0.35">
      <c r="B2254" s="5" t="str">
        <f t="shared" si="2135"/>
        <v>SPS1</v>
      </c>
      <c r="C2254" s="5" t="str">
        <f t="shared" si="2136"/>
        <v>CH</v>
      </c>
      <c r="D2254" t="s">
        <v>2388</v>
      </c>
      <c r="E2254" t="str">
        <f t="shared" si="2137"/>
        <v>GWth/yr.</v>
      </c>
      <c r="F2254" s="1">
        <f t="shared" ref="F2254:K2254" si="2148">SUM(F2255:F2256)</f>
        <v>2.2464472885870951E-5</v>
      </c>
      <c r="G2254" s="1">
        <f t="shared" si="2148"/>
        <v>6.6995754072629504E-2</v>
      </c>
      <c r="H2254" s="1">
        <f t="shared" si="2148"/>
        <v>0.10536716044540011</v>
      </c>
      <c r="I2254" s="1">
        <f t="shared" si="2148"/>
        <v>0.26313990236999479</v>
      </c>
      <c r="J2254" s="1">
        <f t="shared" si="2148"/>
        <v>0.44342521449445077</v>
      </c>
      <c r="K2254" s="1">
        <f t="shared" si="2148"/>
        <v>0.50483509487335987</v>
      </c>
      <c r="L2254" s="1">
        <f t="shared" ref="L2254" si="2149">SUM(L2255:L2256)</f>
        <v>0.70104785678365</v>
      </c>
      <c r="N2254" s="1"/>
    </row>
    <row r="2255" spans="2:14" x14ac:dyDescent="0.35">
      <c r="B2255" s="5" t="str">
        <f t="shared" si="2135"/>
        <v>SPS1</v>
      </c>
      <c r="C2255" s="5" t="str">
        <f t="shared" si="2136"/>
        <v>CH</v>
      </c>
      <c r="D2255" t="s">
        <v>2389</v>
      </c>
      <c r="E2255" t="str">
        <f t="shared" si="213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SUMPRODUCT(([2]OUT_FinalEnergyCons!$B$4:$B$10000="var_ncap")*1,(ISNUMBER(SEARCH("RH*-WHELCBR",[2]OUT_FinalEnergyCons!$A$4:$A$10000)))*1,[2]OUT_FinalEnergyCons!H$4:H$10000)</f>
        <v>6.3513945258220794E-2</v>
      </c>
      <c r="K2255" s="1" cm="1">
        <f t="array" ref="K2255">SUMPRODUCT(([2]OUT_FinalEnergyCons!$B$4:$B$10000="var_ncap")*1,(ISNUMBER(SEARCH("RH*-WHELCBR",[2]OUT_FinalEnergyCons!$A$4:$A$10000)))*1,[2]OUT_FinalEnergyCons!I$4:I$10000)</f>
        <v>5.5412396959889899E-2</v>
      </c>
      <c r="L2255" s="1" cm="1">
        <f t="array" ref="L2255">SUMPRODUCT(([2]OUT_FinalEnergyCons!$B$4:$B$10000="var_ncap")*1,(ISNUMBER(SEARCH("RH*-WHELCBR",[2]OUT_FinalEnergyCons!$A$4:$A$10000)))*1,[2]OUT_FinalEnergyCons!J$4:J$10000)</f>
        <v>4.6245876805086003E-2</v>
      </c>
      <c r="N2255" s="1"/>
    </row>
    <row r="2256" spans="2:14" x14ac:dyDescent="0.35">
      <c r="B2256" s="5" t="str">
        <f t="shared" si="2135"/>
        <v>SPS1</v>
      </c>
      <c r="C2256" s="5" t="str">
        <f t="shared" si="2136"/>
        <v>CH</v>
      </c>
      <c r="D2256" t="s">
        <v>2390</v>
      </c>
      <c r="E2256" t="str">
        <f t="shared" si="213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SUMPRODUCT(([2]OUT_FinalEnergyCons!$B$4:$B$10000="var_ncap")*1,ISNUMBER(SEARCH("RH*-WHELCHP",[2]OUT_FinalEnergyCons!$A$4:$A$10000))*1,[2]OUT_FinalEnergyCons!H$4:H$10000)</f>
        <v>0.37991126923622998</v>
      </c>
      <c r="K2256" s="1" cm="1">
        <f t="array" ref="K2256">SUMPRODUCT(([2]OUT_FinalEnergyCons!$B$4:$B$10000="var_ncap")*1,ISNUMBER(SEARCH("RH*-WHELCHP",[2]OUT_FinalEnergyCons!$A$4:$A$10000))*1,[2]OUT_FinalEnergyCons!I$4:I$10000)</f>
        <v>0.44942269791347</v>
      </c>
      <c r="L2256" s="1" cm="1">
        <f t="array" ref="L2256">SUMPRODUCT(([2]OUT_FinalEnergyCons!$B$4:$B$10000="var_ncap")*1,ISNUMBER(SEARCH("RH*-WHELCHP",[2]OUT_FinalEnergyCons!$A$4:$A$10000))*1,[2]OUT_FinalEnergyCons!J$4:J$10000)</f>
        <v>0.65480197997856404</v>
      </c>
      <c r="N2256" s="1"/>
    </row>
    <row r="2257" spans="2:14" x14ac:dyDescent="0.35">
      <c r="B2257" s="5" t="str">
        <f t="shared" si="2135"/>
        <v>SPS1</v>
      </c>
      <c r="C2257" s="5" t="str">
        <f t="shared" si="2136"/>
        <v>CH</v>
      </c>
      <c r="D2257" t="s">
        <v>2391</v>
      </c>
      <c r="E2257" t="str">
        <f t="shared" si="2137"/>
        <v>GWth/yr.</v>
      </c>
      <c r="F2257" s="1">
        <f t="shared" ref="F2257:L2257" si="2150">F2258</f>
        <v>0</v>
      </c>
      <c r="G2257" s="1">
        <f t="shared" si="2150"/>
        <v>8.5938721003759096E-7</v>
      </c>
      <c r="H2257" s="1">
        <f t="shared" si="2150"/>
        <v>2.3683463974355999E-7</v>
      </c>
      <c r="I2257" s="1">
        <f t="shared" si="2150"/>
        <v>5.2186213866202805E-7</v>
      </c>
      <c r="J2257" s="1">
        <f t="shared" si="2150"/>
        <v>1.62105448830464E-2</v>
      </c>
      <c r="K2257" s="1">
        <f t="shared" si="2150"/>
        <v>1.68191585798745E-2</v>
      </c>
      <c r="L2257" s="1">
        <f t="shared" si="2150"/>
        <v>0</v>
      </c>
      <c r="N2257" s="1"/>
    </row>
    <row r="2258" spans="2:14" x14ac:dyDescent="0.35">
      <c r="B2258" s="5" t="str">
        <f t="shared" si="2135"/>
        <v>SPS1</v>
      </c>
      <c r="C2258" s="5" t="str">
        <f t="shared" si="2136"/>
        <v>CH</v>
      </c>
      <c r="D2258" t="s">
        <v>2392</v>
      </c>
      <c r="E2258" t="str">
        <f t="shared" si="213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SUMPRODUCT(([2]OUT_FinalEnergyCons!$B$4:$B$10000="var_ncap")*1, (ISNUMBER(SEARCH("RH*-WHLFOBR",[2]OUT_FinalEnergyCons!$A$4:$A$10000)))*1,[2]OUT_FinalEnergyCons!H$4:H$10000)</f>
        <v>1.62105448830464E-2</v>
      </c>
      <c r="K2258" s="1" cm="1">
        <f t="array" ref="K2258">SUMPRODUCT(([2]OUT_FinalEnergyCons!$B$4:$B$10000="var_ncap")*1, (ISNUMBER(SEARCH("RH*-WHLFOBR",[2]OUT_FinalEnergyCons!$A$4:$A$10000)))*1,[2]OUT_FinalEnergyCons!I$4:I$10000)</f>
        <v>1.68191585798745E-2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5"/>
        <v>SPS1</v>
      </c>
      <c r="C2259" s="5" t="str">
        <f t="shared" si="2136"/>
        <v>CH</v>
      </c>
      <c r="D2259" t="s">
        <v>2393</v>
      </c>
      <c r="E2259" t="str">
        <f t="shared" si="2137"/>
        <v>GWth/yr.</v>
      </c>
      <c r="F2259" s="1">
        <f t="shared" ref="F2259:K2259" si="2151">SUM(F2260:F2261)</f>
        <v>0</v>
      </c>
      <c r="G2259" s="1">
        <f t="shared" si="2151"/>
        <v>1.6911483673667098E-6</v>
      </c>
      <c r="H2259" s="1">
        <f t="shared" si="2151"/>
        <v>6.5126992924813901E-2</v>
      </c>
      <c r="I2259" s="1">
        <f t="shared" si="2151"/>
        <v>7.0781083783908516E-2</v>
      </c>
      <c r="J2259" s="1">
        <f t="shared" si="2151"/>
        <v>0.1055110049179042</v>
      </c>
      <c r="K2259" s="1">
        <f t="shared" si="2151"/>
        <v>0.1540661882538297</v>
      </c>
      <c r="L2259" s="1">
        <f t="shared" ref="L2259" si="2152">SUM(L2260:L2261)</f>
        <v>0.14497121894261347</v>
      </c>
      <c r="N2259" s="1"/>
    </row>
    <row r="2260" spans="2:14" x14ac:dyDescent="0.35">
      <c r="B2260" s="5" t="str">
        <f t="shared" si="2135"/>
        <v>SPS1</v>
      </c>
      <c r="C2260" s="5" t="str">
        <f t="shared" si="2136"/>
        <v>CH</v>
      </c>
      <c r="D2260" t="s">
        <v>2394</v>
      </c>
      <c r="E2260" t="str">
        <f t="shared" si="213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SUMPRODUCT(([2]OUT_FinalEnergyCons!$B$4:$B$10000="var_ncap")*1, (ISNUMBER(SEARCH("RH*-WHNGABR",[2]OUT_FinalEnergyCons!$A$4:$A$10000)))*1,[2]OUT_FinalEnergyCons!H$4:H$10000)</f>
        <v>2.8381057351389901E-2</v>
      </c>
      <c r="K2260" s="1" cm="1">
        <f t="array" ref="K2260">SUMPRODUCT(([2]OUT_FinalEnergyCons!$B$4:$B$10000="var_ncap")*1, (ISNUMBER(SEARCH("RH*-WHNGABR",[2]OUT_FinalEnergyCons!$A$4:$A$10000)))*1,[2]OUT_FinalEnergyCons!I$4:I$10000)</f>
        <v>2.5728081897682699E-2</v>
      </c>
      <c r="L2260" s="1" cm="1">
        <f t="array" ref="L2260">SUMPRODUCT(([2]OUT_FinalEnergyCons!$B$4:$B$10000="var_ncap")*1, (ISNUMBER(SEARCH("RH*-WHNGABR",[2]OUT_FinalEnergyCons!$A$4:$A$10000)))*1,[2]OUT_FinalEnergyCons!J$4:J$10000)</f>
        <v>4.7987754147245804E-7</v>
      </c>
      <c r="N2260" s="1"/>
    </row>
    <row r="2261" spans="2:14" x14ac:dyDescent="0.35">
      <c r="B2261" s="5" t="str">
        <f t="shared" si="2135"/>
        <v>SPS1</v>
      </c>
      <c r="C2261" s="5" t="str">
        <f t="shared" si="2136"/>
        <v>CH</v>
      </c>
      <c r="D2261" t="s">
        <v>2395</v>
      </c>
      <c r="E2261" t="str">
        <f t="shared" si="213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SUMPRODUCT(([2]OUT_FinalEnergyCons!$B$4:$B$10000="var_ncap")*1,ISNUMBER(SEARCH("RH*-WHngahp",[2]OUT_FinalEnergyCons!$A$4:$A$10000))*1,[2]OUT_FinalEnergyCons!H$4:H$10000)</f>
        <v>7.7129947566514298E-2</v>
      </c>
      <c r="K2261" s="1" cm="1">
        <f t="array" ref="K2261">SUMPRODUCT(([2]OUT_FinalEnergyCons!$B$4:$B$10000="var_ncap")*1,ISNUMBER(SEARCH("RH*-WHngahp",[2]OUT_FinalEnergyCons!$A$4:$A$10000))*1,[2]OUT_FinalEnergyCons!I$4:I$10000)</f>
        <v>0.12833810635614701</v>
      </c>
      <c r="L2261" s="1" cm="1">
        <f t="array" ref="L2261">SUMPRODUCT(([2]OUT_FinalEnergyCons!$B$4:$B$10000="var_ncap")*1,ISNUMBER(SEARCH("RH*-WHngahp",[2]OUT_FinalEnergyCons!$A$4:$A$10000))*1,[2]OUT_FinalEnergyCons!J$4:J$10000)</f>
        <v>0.14497073906507199</v>
      </c>
      <c r="N2261" s="1"/>
    </row>
    <row r="2262" spans="2:14" x14ac:dyDescent="0.35">
      <c r="B2262" s="5" t="str">
        <f t="shared" si="2135"/>
        <v>SPS1</v>
      </c>
      <c r="C2262" s="5" t="str">
        <f t="shared" si="2136"/>
        <v>CH</v>
      </c>
      <c r="D2262" t="s">
        <v>2396</v>
      </c>
      <c r="E2262" t="str">
        <f t="shared" si="2137"/>
        <v>GWth/yr.</v>
      </c>
      <c r="F2262" s="1">
        <f t="shared" ref="F2262:L2262" si="2153">F2263</f>
        <v>0</v>
      </c>
      <c r="G2262" s="1">
        <f t="shared" si="2153"/>
        <v>0</v>
      </c>
      <c r="H2262" s="1">
        <f t="shared" si="2153"/>
        <v>0</v>
      </c>
      <c r="I2262" s="1">
        <f t="shared" si="2153"/>
        <v>0</v>
      </c>
      <c r="J2262" s="1">
        <f t="shared" si="2153"/>
        <v>0</v>
      </c>
      <c r="K2262" s="1">
        <f t="shared" si="2153"/>
        <v>0</v>
      </c>
      <c r="L2262" s="1">
        <f t="shared" si="2153"/>
        <v>0</v>
      </c>
      <c r="N2262" s="1"/>
    </row>
    <row r="2263" spans="2:14" x14ac:dyDescent="0.35">
      <c r="B2263" s="5" t="str">
        <f t="shared" si="2135"/>
        <v>SPS1</v>
      </c>
      <c r="C2263" s="5" t="str">
        <f t="shared" si="2136"/>
        <v>CH</v>
      </c>
      <c r="D2263" t="s">
        <v>2397</v>
      </c>
      <c r="E2263" t="str">
        <f t="shared" si="213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5"/>
        <v>SPS1</v>
      </c>
      <c r="C2264" s="5" t="str">
        <f t="shared" si="2136"/>
        <v>CH</v>
      </c>
      <c r="D2264" t="s">
        <v>2398</v>
      </c>
      <c r="E2264" t="str">
        <f t="shared" si="2137"/>
        <v>GWth/yr.</v>
      </c>
      <c r="F2264" s="1">
        <f t="shared" ref="F2264:L2264" si="2154">F2265</f>
        <v>0</v>
      </c>
      <c r="G2264" s="1">
        <f t="shared" si="2154"/>
        <v>5.1366973849955597E-3</v>
      </c>
      <c r="H2264" s="1">
        <f t="shared" si="2154"/>
        <v>2.6801681145520399E-2</v>
      </c>
      <c r="I2264" s="1">
        <f t="shared" si="2154"/>
        <v>1.24682596332852E-6</v>
      </c>
      <c r="J2264" s="1">
        <f t="shared" si="2154"/>
        <v>1.1940203458566801E-2</v>
      </c>
      <c r="K2264" s="1">
        <f t="shared" si="2154"/>
        <v>2.1810428671424902E-2</v>
      </c>
      <c r="L2264" s="1">
        <f t="shared" si="2154"/>
        <v>1.4203902281318E-7</v>
      </c>
      <c r="N2264" s="1"/>
    </row>
    <row r="2265" spans="2:14" x14ac:dyDescent="0.35">
      <c r="B2265" s="5" t="str">
        <f t="shared" si="2135"/>
        <v>SPS1</v>
      </c>
      <c r="C2265" s="5" t="str">
        <f t="shared" si="2136"/>
        <v>CH</v>
      </c>
      <c r="D2265" t="s">
        <v>2399</v>
      </c>
      <c r="E2265" t="str">
        <f t="shared" si="213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SUMPRODUCT(([2]OUT_FinalEnergyCons!$B$4:$B$10000="var_ncap")*1, (ISNUMBER(SEARCH("RH*-WHWODBR",[2]OUT_FinalEnergyCons!$A$4:$A$10000)))*1,[2]OUT_FinalEnergyCons!H$4:H$10000)</f>
        <v>1.1940203458566801E-2</v>
      </c>
      <c r="K2265" s="1" cm="1">
        <f t="array" ref="K2265">SUMPRODUCT(([2]OUT_FinalEnergyCons!$B$4:$B$10000="var_ncap")*1, (ISNUMBER(SEARCH("RH*-WHWODBR",[2]OUT_FinalEnergyCons!$A$4:$A$10000)))*1,[2]OUT_FinalEnergyCons!I$4:I$10000)</f>
        <v>2.1810428671424902E-2</v>
      </c>
      <c r="L2265" s="1" cm="1">
        <f t="array" ref="L2265">SUMPRODUCT(([2]OUT_FinalEnergyCons!$B$4:$B$10000="var_ncap")*1, (ISNUMBER(SEARCH("RH*-WHWODBR",[2]OUT_FinalEnergyCons!$A$4:$A$10000)))*1,[2]OUT_FinalEnergyCons!J$4:J$10000)</f>
        <v>1.4203902281318E-7</v>
      </c>
      <c r="N2265" s="1"/>
    </row>
    <row r="2266" spans="2:14" x14ac:dyDescent="0.35">
      <c r="B2266" s="5" t="str">
        <f t="shared" si="2135"/>
        <v>SPS1</v>
      </c>
      <c r="C2266" s="5" t="str">
        <f t="shared" si="2136"/>
        <v>CH</v>
      </c>
      <c r="D2266" t="s">
        <v>2400</v>
      </c>
      <c r="E2266" t="str">
        <f t="shared" si="2137"/>
        <v>GWth/yr.</v>
      </c>
      <c r="F2266" s="1">
        <f t="shared" ref="F2266:L2266" si="2155">F2267</f>
        <v>0</v>
      </c>
      <c r="G2266" s="1">
        <f t="shared" si="2155"/>
        <v>1.9558129176277502E-3</v>
      </c>
      <c r="H2266" s="1">
        <f t="shared" si="2155"/>
        <v>2.4843196530067397E-7</v>
      </c>
      <c r="I2266" s="1">
        <f t="shared" si="2155"/>
        <v>7.98354725879578E-7</v>
      </c>
      <c r="J2266" s="1">
        <f t="shared" si="2155"/>
        <v>1.0135975274595799E-3</v>
      </c>
      <c r="K2266" s="1">
        <f t="shared" si="2155"/>
        <v>5.3676321680719296E-4</v>
      </c>
      <c r="L2266" s="1">
        <f t="shared" si="2155"/>
        <v>9.2672687004719497E-8</v>
      </c>
      <c r="N2266" s="1"/>
    </row>
    <row r="2267" spans="2:14" x14ac:dyDescent="0.35">
      <c r="B2267" s="5" t="str">
        <f t="shared" si="2135"/>
        <v>SPS1</v>
      </c>
      <c r="C2267" s="5" t="str">
        <f t="shared" si="2136"/>
        <v>CH</v>
      </c>
      <c r="D2267" t="s">
        <v>2401</v>
      </c>
      <c r="E2267" t="str">
        <f t="shared" si="213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SUMPRODUCT(([2]OUT_FinalEnergyCons!$B$4:$B$10000="var_ncap")*1, (ISNUMBER(SEARCH("RH*-WHPLTBR",[2]OUT_FinalEnergyCons!$A$4:$A$10000)))*1,[2]OUT_FinalEnergyCons!H$4:H$10000)</f>
        <v>1.0135975274595799E-3</v>
      </c>
      <c r="K2267" s="1" cm="1">
        <f t="array" ref="K2267">SUMPRODUCT(([2]OUT_FinalEnergyCons!$B$4:$B$10000="var_ncap")*1, (ISNUMBER(SEARCH("RH*-WHPLTBR",[2]OUT_FinalEnergyCons!$A$4:$A$10000)))*1,[2]OUT_FinalEnergyCons!I$4:I$10000)</f>
        <v>5.3676321680719296E-4</v>
      </c>
      <c r="L2267" s="1" cm="1">
        <f t="array" ref="L2267">SUMPRODUCT(([2]OUT_FinalEnergyCons!$B$4:$B$10000="var_ncap")*1, (ISNUMBER(SEARCH("RH*-WHPLTBR",[2]OUT_FinalEnergyCons!$A$4:$A$10000)))*1,[2]OUT_FinalEnergyCons!J$4:J$10000)</f>
        <v>9.2672687004719497E-8</v>
      </c>
      <c r="N2267" s="1"/>
    </row>
    <row r="2268" spans="2:14" x14ac:dyDescent="0.35">
      <c r="B2268" s="5" t="str">
        <f t="shared" ref="B2268:B2294" si="2156">B2267</f>
        <v>SPS1</v>
      </c>
      <c r="C2268" s="5" t="str">
        <f t="shared" ref="C2268:C2294" si="2157">C2267</f>
        <v>CH</v>
      </c>
      <c r="D2268" t="s">
        <v>2402</v>
      </c>
      <c r="E2268" t="str">
        <f t="shared" ref="E2268:E2299" si="2158">E2267</f>
        <v>GWth/yr.</v>
      </c>
      <c r="F2268" s="1">
        <f t="shared" ref="F2268:L2268" si="2159">F2269</f>
        <v>0</v>
      </c>
      <c r="G2268" s="1">
        <f t="shared" si="2159"/>
        <v>8.4096226542638805E-2</v>
      </c>
      <c r="H2268" s="1">
        <f t="shared" si="2159"/>
        <v>3.0571973461501701E-6</v>
      </c>
      <c r="I2268" s="1">
        <f t="shared" si="2159"/>
        <v>4.3259550039262899E-2</v>
      </c>
      <c r="J2268" s="1">
        <f t="shared" si="2159"/>
        <v>0.329023064092272</v>
      </c>
      <c r="K2268" s="1">
        <f t="shared" si="2159"/>
        <v>0.25522119083691303</v>
      </c>
      <c r="L2268" s="1">
        <f t="shared" si="2159"/>
        <v>0.41321718015723602</v>
      </c>
      <c r="N2268" s="1"/>
    </row>
    <row r="2269" spans="2:14" x14ac:dyDescent="0.35">
      <c r="B2269" s="5" t="str">
        <f t="shared" si="2156"/>
        <v>SPS1</v>
      </c>
      <c r="C2269" s="5" t="str">
        <f t="shared" si="2157"/>
        <v>CH</v>
      </c>
      <c r="D2269" t="s">
        <v>2403</v>
      </c>
      <c r="E2269" t="str">
        <f t="shared" si="215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SUMPRODUCT(([2]OUT_FinalEnergyCons!$B$4:$B$10000="var_ncap")*1, (ISNUMBER(SEARCH("RH*-WHSOLBR",[2]OUT_FinalEnergyCons!$A$4:$A$10000)))*1,[2]OUT_FinalEnergyCons!H$4:H$10000)</f>
        <v>0.329023064092272</v>
      </c>
      <c r="K2269" s="1" cm="1">
        <f t="array" ref="K2269">SUMPRODUCT(([2]OUT_FinalEnergyCons!$B$4:$B$10000="var_ncap")*1, (ISNUMBER(SEARCH("RH*-WHSOLBR",[2]OUT_FinalEnergyCons!$A$4:$A$10000)))*1,[2]OUT_FinalEnergyCons!I$4:I$10000)</f>
        <v>0.25522119083691303</v>
      </c>
      <c r="L2269" s="1" cm="1">
        <f t="array" ref="L2269">SUMPRODUCT(([2]OUT_FinalEnergyCons!$B$4:$B$10000="var_ncap")*1, (ISNUMBER(SEARCH("RH*-WHSOLBR",[2]OUT_FinalEnergyCons!$A$4:$A$10000)))*1,[2]OUT_FinalEnergyCons!J$4:J$10000)</f>
        <v>0.41321718015723602</v>
      </c>
      <c r="N2269" s="1"/>
    </row>
    <row r="2270" spans="2:14" x14ac:dyDescent="0.35">
      <c r="B2270" s="5" t="str">
        <f t="shared" si="2156"/>
        <v>SPS1</v>
      </c>
      <c r="C2270" s="5" t="str">
        <f t="shared" si="2157"/>
        <v>CH</v>
      </c>
      <c r="D2270" t="s">
        <v>2404</v>
      </c>
      <c r="E2270" t="str">
        <f t="shared" si="2158"/>
        <v>GWth/yr.</v>
      </c>
      <c r="F2270" s="1">
        <f t="shared" ref="F2270:L2270" si="2160">F2271</f>
        <v>0</v>
      </c>
      <c r="G2270" s="1">
        <f t="shared" si="2160"/>
        <v>0</v>
      </c>
      <c r="H2270" s="1">
        <f t="shared" si="2160"/>
        <v>0</v>
      </c>
      <c r="I2270" s="1">
        <f t="shared" si="2160"/>
        <v>0</v>
      </c>
      <c r="J2270" s="1">
        <f t="shared" si="2160"/>
        <v>0</v>
      </c>
      <c r="K2270" s="1">
        <f t="shared" si="2160"/>
        <v>0</v>
      </c>
      <c r="L2270" s="1">
        <f t="shared" si="2160"/>
        <v>0</v>
      </c>
      <c r="N2270" s="1"/>
    </row>
    <row r="2271" spans="2:14" x14ac:dyDescent="0.35">
      <c r="B2271" s="5" t="str">
        <f t="shared" si="2156"/>
        <v>SPS1</v>
      </c>
      <c r="C2271" s="5" t="str">
        <f t="shared" si="2157"/>
        <v>CH</v>
      </c>
      <c r="D2271" t="s">
        <v>2405</v>
      </c>
      <c r="E2271" t="str">
        <f t="shared" si="215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56"/>
        <v>SPS1</v>
      </c>
      <c r="C2272" s="9" t="str">
        <f t="shared" si="2157"/>
        <v>CH</v>
      </c>
      <c r="D2272" s="2" t="s">
        <v>2406</v>
      </c>
      <c r="E2272" s="9" t="str">
        <f t="shared" si="2158"/>
        <v>GWth/yr.</v>
      </c>
      <c r="F2272" s="17">
        <f t="shared" ref="F2272:K2272" si="2161">SUM(F2273,F2276,F2279,F2283,F2285,F2287,F2289,F2291,F2293)</f>
        <v>2.0721867494158299E-3</v>
      </c>
      <c r="G2272" s="17">
        <f t="shared" si="2161"/>
        <v>0.34424651041227633</v>
      </c>
      <c r="H2272" s="17">
        <f t="shared" si="2161"/>
        <v>1.8600067792814703E-3</v>
      </c>
      <c r="I2272" s="17">
        <f t="shared" si="2161"/>
        <v>0.11821061355266854</v>
      </c>
      <c r="J2272" s="17">
        <f t="shared" si="2161"/>
        <v>1.6897276826396526</v>
      </c>
      <c r="K2272" s="17">
        <f t="shared" si="2161"/>
        <v>0.88521556642144084</v>
      </c>
      <c r="L2272" s="17">
        <f t="shared" ref="L2272" si="2162">SUM(L2273,L2276,L2279,L2283,L2285,L2287,L2289,L2291,L2293)</f>
        <v>1.5954125004260826</v>
      </c>
      <c r="N2272" s="1"/>
    </row>
    <row r="2273" spans="2:14" x14ac:dyDescent="0.35">
      <c r="B2273" s="5" t="str">
        <f t="shared" si="2156"/>
        <v>SPS1</v>
      </c>
      <c r="C2273" s="5" t="str">
        <f t="shared" si="2157"/>
        <v>CH</v>
      </c>
      <c r="D2273" t="s">
        <v>2407</v>
      </c>
      <c r="E2273" t="str">
        <f t="shared" si="2158"/>
        <v>GWth/yr.</v>
      </c>
      <c r="F2273" s="18">
        <f t="shared" ref="F2273:K2273" si="2163">SUM(F2274:F2275)</f>
        <v>0</v>
      </c>
      <c r="G2273" s="18">
        <f t="shared" si="2163"/>
        <v>0.21485786273890059</v>
      </c>
      <c r="H2273" s="18">
        <f t="shared" si="2163"/>
        <v>9.7752883351660607E-4</v>
      </c>
      <c r="I2273" s="18">
        <f t="shared" si="2163"/>
        <v>0.11798867080567038</v>
      </c>
      <c r="J2273" s="18">
        <f t="shared" si="2163"/>
        <v>0.81498476507232898</v>
      </c>
      <c r="K2273" s="18">
        <f t="shared" si="2163"/>
        <v>0.27829350396233982</v>
      </c>
      <c r="L2273" s="18">
        <f t="shared" ref="L2273" si="2164">SUM(L2274:L2275)</f>
        <v>0.75773599874238595</v>
      </c>
      <c r="N2273" s="1"/>
    </row>
    <row r="2274" spans="2:14" x14ac:dyDescent="0.35">
      <c r="B2274" s="5" t="str">
        <f t="shared" si="2156"/>
        <v>SPS1</v>
      </c>
      <c r="C2274" s="5" t="str">
        <f t="shared" si="2157"/>
        <v>CH</v>
      </c>
      <c r="D2274" t="s">
        <v>2408</v>
      </c>
      <c r="E2274" t="str">
        <f t="shared" si="215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SUMPRODUCT(([2]OUT_FinalEnergyCons!$B$4:$B$10000="var_ncap")*1,  (ISNUMBER(SEARCH("ITOT-SWHELCBR",[2]OUT_FinalEnergyCons!$A$4:$A$10000)))*1,[2]OUT_FinalEnergyCons!H$4:H$10000)</f>
        <v>0.57031444402881104</v>
      </c>
      <c r="K2274" s="1" cm="1">
        <f t="array" ref="K2274">SUMPRODUCT(([2]OUT_FinalEnergyCons!$B$4:$B$10000="var_ncap")*1,  (ISNUMBER(SEARCH("ITOT-SWHELCBR",[2]OUT_FinalEnergyCons!$A$4:$A$10000)))*1,[2]OUT_FinalEnergyCons!I$4:I$10000)</f>
        <v>0.21691383922213001</v>
      </c>
      <c r="L2274" s="1" cm="1">
        <f t="array" ref="L2274">SUMPRODUCT(([2]OUT_FinalEnergyCons!$B$4:$B$10000="var_ncap")*1,  (ISNUMBER(SEARCH("ITOT-SWHELCBR",[2]OUT_FinalEnergyCons!$A$4:$A$10000)))*1,[2]OUT_FinalEnergyCons!J$4:J$10000)</f>
        <v>0.51666472715193501</v>
      </c>
      <c r="N2274" s="1"/>
    </row>
    <row r="2275" spans="2:14" x14ac:dyDescent="0.35">
      <c r="B2275" s="5" t="str">
        <f t="shared" si="2156"/>
        <v>SPS1</v>
      </c>
      <c r="C2275" s="5" t="str">
        <f t="shared" si="2157"/>
        <v>CH</v>
      </c>
      <c r="D2275" t="s">
        <v>2409</v>
      </c>
      <c r="E2275" t="str">
        <f t="shared" si="215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SUMPRODUCT(([2]OUT_FinalEnergyCons!$B$4:$B$10000="var_ncap")*1,  (ISNUMBER(SEARCH("ITOT-SWHELCHP",[2]OUT_FinalEnergyCons!$A$4:$A$10000)))*1,[2]OUT_FinalEnergyCons!H$4:H$10000)</f>
        <v>0.24467032104351799</v>
      </c>
      <c r="K2275" s="1" cm="1">
        <f t="array" ref="K2275">SUMPRODUCT(([2]OUT_FinalEnergyCons!$B$4:$B$10000="var_ncap")*1,  (ISNUMBER(SEARCH("ITOT-SWHELCHP",[2]OUT_FinalEnergyCons!$A$4:$A$10000)))*1,[2]OUT_FinalEnergyCons!I$4:I$10000)</f>
        <v>6.1379664740209797E-2</v>
      </c>
      <c r="L2275" s="1" cm="1">
        <f t="array" ref="L2275">SUMPRODUCT(([2]OUT_FinalEnergyCons!$B$4:$B$10000="var_ncap")*1,  (ISNUMBER(SEARCH("ITOT-SWHELCHP",[2]OUT_FinalEnergyCons!$A$4:$A$10000)))*1,[2]OUT_FinalEnergyCons!J$4:J$10000)</f>
        <v>0.241071271590451</v>
      </c>
      <c r="N2275" s="1"/>
    </row>
    <row r="2276" spans="2:14" x14ac:dyDescent="0.35">
      <c r="B2276" s="5" t="str">
        <f t="shared" si="2156"/>
        <v>SPS1</v>
      </c>
      <c r="C2276" s="5" t="str">
        <f t="shared" si="2157"/>
        <v>CH</v>
      </c>
      <c r="D2276" t="s">
        <v>2410</v>
      </c>
      <c r="E2276" t="str">
        <f t="shared" si="2158"/>
        <v>GWth/yr.</v>
      </c>
      <c r="F2276" s="18">
        <f t="shared" ref="F2276:K2276" si="2165">SUM(F2277:F2278)</f>
        <v>2.0721867494158299E-3</v>
      </c>
      <c r="G2276" s="18">
        <f t="shared" si="2165"/>
        <v>1.2491138861053977E-2</v>
      </c>
      <c r="H2276" s="18">
        <f t="shared" si="2165"/>
        <v>7.5283306381636198E-5</v>
      </c>
      <c r="I2276" s="18">
        <f t="shared" si="2165"/>
        <v>7.9256715433094198E-5</v>
      </c>
      <c r="J2276" s="18">
        <f t="shared" si="2165"/>
        <v>6.6589816991041825E-4</v>
      </c>
      <c r="K2276" s="18">
        <f t="shared" si="2165"/>
        <v>3.2256588862154384E-3</v>
      </c>
      <c r="L2276" s="18">
        <f t="shared" ref="L2276" si="2166">SUM(L2277:L2278)</f>
        <v>3.0577969890811501E-2</v>
      </c>
      <c r="N2276" s="1"/>
    </row>
    <row r="2277" spans="2:14" x14ac:dyDescent="0.35">
      <c r="B2277" s="5" t="str">
        <f t="shared" si="2156"/>
        <v>SPS1</v>
      </c>
      <c r="C2277" s="5" t="str">
        <f t="shared" si="2157"/>
        <v>CH</v>
      </c>
      <c r="D2277" t="s">
        <v>2411</v>
      </c>
      <c r="E2277" t="str">
        <f t="shared" si="215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SUMPRODUCT(([2]OUT_FinalEnergyCons!$B$4:$B$10000="var_ncap")*1,  (ISNUMBER(SEARCH("ITOT-SWHLFOBR",[2]OUT_FinalEnergyCons!$A$4:$A$10000)))*1,[2]OUT_FinalEnergyCons!H$4:H$10000)</f>
        <v>6.4944089562789004E-4</v>
      </c>
      <c r="K2277" s="1" cm="1">
        <f t="array" ref="K2277">SUMPRODUCT(([2]OUT_FinalEnergyCons!$B$4:$B$10000="var_ncap")*1,  (ISNUMBER(SEARCH("ITOT-SWHLFOBR",[2]OUT_FinalEnergyCons!$A$4:$A$10000)))*1,[2]OUT_FinalEnergyCons!I$4:I$10000)</f>
        <v>3.2210859389874098E-3</v>
      </c>
      <c r="L2277" s="1" cm="1">
        <f t="array" ref="L2277">SUMPRODUCT(([2]OUT_FinalEnergyCons!$B$4:$B$10000="var_ncap")*1,  (ISNUMBER(SEARCH("ITOT-SWHLFOBR",[2]OUT_FinalEnergyCons!$A$4:$A$10000)))*1,[2]OUT_FinalEnergyCons!J$4:J$10000)</f>
        <v>3.05767136748674E-2</v>
      </c>
      <c r="N2277" s="1"/>
    </row>
    <row r="2278" spans="2:14" x14ac:dyDescent="0.35">
      <c r="B2278" s="5" t="str">
        <f t="shared" si="2156"/>
        <v>SPS1</v>
      </c>
      <c r="C2278" s="5" t="str">
        <f t="shared" si="2157"/>
        <v>CH</v>
      </c>
      <c r="D2278" t="s">
        <v>2412</v>
      </c>
      <c r="E2278" t="str">
        <f t="shared" si="215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SUMPRODUCT(([2]OUT_FinalEnergyCons!$B$4:$B$10000="var_ncap")*1,  (ISNUMBER(SEARCH("ITOT-SWHHFOBR",[2]OUT_FinalEnergyCons!$A$4:$A$10000)))*1,[2]OUT_FinalEnergyCons!H$4:H$10000)</f>
        <v>1.64572742825282E-5</v>
      </c>
      <c r="K2278" s="1" cm="1">
        <f t="array" ref="K2278">SUMPRODUCT(([2]OUT_FinalEnergyCons!$B$4:$B$10000="var_ncap")*1,  (ISNUMBER(SEARCH("ITOT-SWHHFOBR",[2]OUT_FinalEnergyCons!$A$4:$A$10000)))*1,[2]OUT_FinalEnergyCons!I$4:I$10000)</f>
        <v>4.57294722802867E-6</v>
      </c>
      <c r="L2278" s="1" cm="1">
        <f t="array" ref="L2278">SUMPRODUCT(([2]OUT_FinalEnergyCons!$B$4:$B$10000="var_ncap")*1,  (ISNUMBER(SEARCH("ITOT-SWHHFOBR",[2]OUT_FinalEnergyCons!$A$4:$A$10000)))*1,[2]OUT_FinalEnergyCons!J$4:J$10000)</f>
        <v>1.2562159441020399E-6</v>
      </c>
      <c r="N2278" s="1"/>
    </row>
    <row r="2279" spans="2:14" x14ac:dyDescent="0.35">
      <c r="B2279" s="5" t="str">
        <f t="shared" si="2156"/>
        <v>SPS1</v>
      </c>
      <c r="C2279" s="5" t="str">
        <f t="shared" si="2157"/>
        <v>CH</v>
      </c>
      <c r="D2279" t="s">
        <v>2413</v>
      </c>
      <c r="E2279" t="str">
        <f t="shared" si="2158"/>
        <v>GWth/yr.</v>
      </c>
      <c r="F2279" s="18">
        <f t="shared" ref="F2279:K2279" si="2167">SUM(F2280:F2281)</f>
        <v>0</v>
      </c>
      <c r="G2279" s="18">
        <f t="shared" si="2167"/>
        <v>1.3530577279506371E-4</v>
      </c>
      <c r="H2279" s="18">
        <f t="shared" si="2167"/>
        <v>6.3725868146422178E-4</v>
      </c>
      <c r="I2279" s="18">
        <f t="shared" si="2167"/>
        <v>4.3118620482005886E-5</v>
      </c>
      <c r="J2279" s="18">
        <f t="shared" si="2167"/>
        <v>0.10554152551544592</v>
      </c>
      <c r="K2279" s="18">
        <f t="shared" si="2167"/>
        <v>8.2076888020591102E-4</v>
      </c>
      <c r="L2279" s="18">
        <f t="shared" ref="L2279" si="2168">SUM(L2280:L2281)</f>
        <v>0.1178185975139688</v>
      </c>
      <c r="N2279" s="1"/>
    </row>
    <row r="2280" spans="2:14" x14ac:dyDescent="0.35">
      <c r="B2280" s="5" t="str">
        <f t="shared" si="2156"/>
        <v>SPS1</v>
      </c>
      <c r="C2280" s="5" t="str">
        <f t="shared" si="2157"/>
        <v>CH</v>
      </c>
      <c r="D2280" t="s">
        <v>2414</v>
      </c>
      <c r="E2280" t="str">
        <f t="shared" si="215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SUMPRODUCT(([2]OUT_FinalEnergyCons!$B$4:$B$10000="var_ncap")*1,  (ISNUMBER(SEARCH("ITOT-SWHNGA*BR",[2]OUT_FinalEnergyCons!$A$4:$A$10000)))*1,[2]OUT_FinalEnergyCons!H$4:H$10000)</f>
        <v>0.10554007550151399</v>
      </c>
      <c r="K2280" s="1" cm="1">
        <f t="array" ref="K2280">SUMPRODUCT(([2]OUT_FinalEnergyCons!$B$4:$B$10000="var_ncap")*1,  (ISNUMBER(SEARCH("ITOT-SWHNGA*BR",[2]OUT_FinalEnergyCons!$A$4:$A$10000)))*1,[2]OUT_FinalEnergyCons!I$4:I$10000)</f>
        <v>7.8449593284664896E-4</v>
      </c>
      <c r="L2280" s="1" cm="1">
        <f t="array" ref="L2280">SUMPRODUCT(([2]OUT_FinalEnergyCons!$B$4:$B$10000="var_ncap")*1,  (ISNUMBER(SEARCH("ITOT-SWHNGA*BR",[2]OUT_FinalEnergyCons!$A$4:$A$10000)))*1,[2]OUT_FinalEnergyCons!J$4:J$10000)</f>
        <v>0.11691664414378899</v>
      </c>
      <c r="N2280" s="1"/>
    </row>
    <row r="2281" spans="2:14" x14ac:dyDescent="0.35">
      <c r="B2281" s="5" t="str">
        <f t="shared" si="2156"/>
        <v>SPS1</v>
      </c>
      <c r="C2281" s="5" t="str">
        <f t="shared" si="2157"/>
        <v>CH</v>
      </c>
      <c r="D2281" t="s">
        <v>2415</v>
      </c>
      <c r="E2281" t="str">
        <f t="shared" si="215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SUMPRODUCT(([2]OUT_FinalEnergyCons!$B$4:$B$10000="var_ncap")*1,  (ISNUMBER(SEARCH("ITOT-SWHNGAHP",[2]OUT_FinalEnergyCons!$A$4:$A$10000)))*1,[2]OUT_FinalEnergyCons!H$4:H$10000)</f>
        <v>1.45001393192672E-6</v>
      </c>
      <c r="K2281" s="1" cm="1">
        <f t="array" ref="K2281">SUMPRODUCT(([2]OUT_FinalEnergyCons!$B$4:$B$10000="var_ncap")*1,  (ISNUMBER(SEARCH("ITOT-SWHNGAHP",[2]OUT_FinalEnergyCons!$A$4:$A$10000)))*1,[2]OUT_FinalEnergyCons!I$4:I$10000)</f>
        <v>3.6272947359262097E-5</v>
      </c>
      <c r="L2281" s="1" cm="1">
        <f t="array" ref="L2281">SUMPRODUCT(([2]OUT_FinalEnergyCons!$B$4:$B$10000="var_ncap")*1,  (ISNUMBER(SEARCH("ITOT-SWHNGAHP",[2]OUT_FinalEnergyCons!$A$4:$A$10000)))*1,[2]OUT_FinalEnergyCons!J$4:J$10000)</f>
        <v>9.0195337017980504E-4</v>
      </c>
      <c r="N2281" s="1"/>
    </row>
    <row r="2282" spans="2:14" x14ac:dyDescent="0.35">
      <c r="B2282" s="5" t="str">
        <f t="shared" si="2156"/>
        <v>SPS1</v>
      </c>
      <c r="C2282" s="5" t="str">
        <f t="shared" si="2157"/>
        <v>CH</v>
      </c>
      <c r="D2282" t="s">
        <v>2416</v>
      </c>
      <c r="E2282" t="str">
        <f t="shared" si="215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4.7778641142068298E-2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1.13379713693778E-2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9.0535949733681897E-2</v>
      </c>
      <c r="N2282" s="1"/>
    </row>
    <row r="2283" spans="2:14" x14ac:dyDescent="0.35">
      <c r="B2283" s="5" t="str">
        <f t="shared" si="2156"/>
        <v>SPS1</v>
      </c>
      <c r="C2283" s="5" t="str">
        <f t="shared" si="2157"/>
        <v>CH</v>
      </c>
      <c r="D2283" t="s">
        <v>2417</v>
      </c>
      <c r="E2283" t="str">
        <f t="shared" si="2158"/>
        <v>GWth/yr.</v>
      </c>
      <c r="F2283" s="1">
        <f t="shared" ref="F2283:L2283" si="2169">F2284</f>
        <v>0</v>
      </c>
      <c r="G2283" s="1">
        <f t="shared" si="2169"/>
        <v>1.42592357857725E-5</v>
      </c>
      <c r="H2283" s="1">
        <f t="shared" si="2169"/>
        <v>1.3495378759131599E-5</v>
      </c>
      <c r="I2283" s="1">
        <f t="shared" si="2169"/>
        <v>1.1602172271724801E-5</v>
      </c>
      <c r="J2283" s="1">
        <f t="shared" si="2169"/>
        <v>1.5144188687919701E-5</v>
      </c>
      <c r="K2283" s="1">
        <f t="shared" si="2169"/>
        <v>1.9217692442489199E-6</v>
      </c>
      <c r="L2283" s="1">
        <f t="shared" si="2169"/>
        <v>1.04405035534755E-5</v>
      </c>
      <c r="N2283" s="1"/>
    </row>
    <row r="2284" spans="2:14" x14ac:dyDescent="0.35">
      <c r="B2284" s="5" t="str">
        <f t="shared" si="2156"/>
        <v>SPS1</v>
      </c>
      <c r="C2284" s="5" t="str">
        <f t="shared" si="2157"/>
        <v>CH</v>
      </c>
      <c r="D2284" t="s">
        <v>2418</v>
      </c>
      <c r="E2284" t="str">
        <f t="shared" si="215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SUMPRODUCT(([2]OUT_FinalEnergyCons!$B$4:$B$10000="var_ncap")*1,  (ISNUMBER(SEARCH("ITOT-SWHCOA*BR",[2]OUT_FinalEnergyCons!$A$4:$A$10000)))*1,[2]OUT_FinalEnergyCons!H$4:H$10000)</f>
        <v>1.5144188687919701E-5</v>
      </c>
      <c r="K2284" s="1" cm="1">
        <f t="array" ref="K2284">SUMPRODUCT(([2]OUT_FinalEnergyCons!$B$4:$B$10000="var_ncap")*1,  (ISNUMBER(SEARCH("ITOT-SWHCOA*BR",[2]OUT_FinalEnergyCons!$A$4:$A$10000)))*1,[2]OUT_FinalEnergyCons!I$4:I$10000)</f>
        <v>1.9217692442489199E-6</v>
      </c>
      <c r="L2284" s="1" cm="1">
        <f t="array" ref="L2284">SUMPRODUCT(([2]OUT_FinalEnergyCons!$B$4:$B$10000="var_ncap")*1,  (ISNUMBER(SEARCH("ITOT-SWHCOA*BR",[2]OUT_FinalEnergyCons!$A$4:$A$10000)))*1,[2]OUT_FinalEnergyCons!J$4:J$10000)</f>
        <v>1.04405035534755E-5</v>
      </c>
      <c r="N2284" s="1"/>
    </row>
    <row r="2285" spans="2:14" x14ac:dyDescent="0.35">
      <c r="B2285" s="5" t="str">
        <f t="shared" si="2156"/>
        <v>SPS1</v>
      </c>
      <c r="C2285" s="5" t="str">
        <f t="shared" si="2157"/>
        <v>CH</v>
      </c>
      <c r="D2285" t="s">
        <v>2419</v>
      </c>
      <c r="E2285" t="str">
        <f t="shared" si="2158"/>
        <v>GWth/yr.</v>
      </c>
      <c r="F2285" s="1">
        <f t="shared" ref="F2285:L2285" si="2170">F2286</f>
        <v>0</v>
      </c>
      <c r="G2285" s="1">
        <f t="shared" si="2170"/>
        <v>5.2654075770206699E-2</v>
      </c>
      <c r="H2285" s="1">
        <f t="shared" si="2170"/>
        <v>4.8074174048250903E-5</v>
      </c>
      <c r="I2285" s="1">
        <f t="shared" si="2170"/>
        <v>2.5368062039438899E-5</v>
      </c>
      <c r="J2285" s="1">
        <f t="shared" si="2170"/>
        <v>0.25688038626679699</v>
      </c>
      <c r="K2285" s="1">
        <f t="shared" si="2170"/>
        <v>8.7022810217512403E-2</v>
      </c>
      <c r="L2285" s="1">
        <f t="shared" si="2170"/>
        <v>0.24518408670959899</v>
      </c>
      <c r="N2285" s="1"/>
    </row>
    <row r="2286" spans="2:14" x14ac:dyDescent="0.35">
      <c r="B2286" s="5" t="str">
        <f t="shared" si="2156"/>
        <v>SPS1</v>
      </c>
      <c r="C2286" s="5" t="str">
        <f t="shared" si="2157"/>
        <v>CH</v>
      </c>
      <c r="D2286" t="s">
        <v>2420</v>
      </c>
      <c r="E2286" t="str">
        <f t="shared" si="215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0.25688038626679699</v>
      </c>
      <c r="K2286" s="1" cm="1">
        <f t="array" ref="K2286">SUMPRODUCT(([2]OUT_FinalEnergyCons!$B$4:$B$10000="var_ncap")*1,  (ISNUMBER(SEARCH("ITOT-SWHWOD*BR",[2]OUT_FinalEnergyCons!$A$4:$A$10000)))*1,[2]OUT_FinalEnergyCons!I$4:I$10000)</f>
        <v>8.7022810217512403E-2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0.24518408670959899</v>
      </c>
      <c r="N2286" s="1"/>
    </row>
    <row r="2287" spans="2:14" x14ac:dyDescent="0.35">
      <c r="B2287" s="5" t="str">
        <f t="shared" si="2156"/>
        <v>SPS1</v>
      </c>
      <c r="C2287" s="5" t="str">
        <f t="shared" si="2157"/>
        <v>CH</v>
      </c>
      <c r="D2287" t="s">
        <v>2421</v>
      </c>
      <c r="E2287" t="str">
        <f t="shared" si="2158"/>
        <v>GWth/yr.</v>
      </c>
      <c r="F2287" s="1">
        <f t="shared" ref="F2287:L2287" si="2171">F2288</f>
        <v>0</v>
      </c>
      <c r="G2287" s="1">
        <f t="shared" si="2171"/>
        <v>8.1800199808040302E-3</v>
      </c>
      <c r="H2287" s="1">
        <f t="shared" si="2171"/>
        <v>5.3469323997206701E-5</v>
      </c>
      <c r="I2287" s="1">
        <f t="shared" si="2171"/>
        <v>1.7970751817863101E-5</v>
      </c>
      <c r="J2287" s="1">
        <f t="shared" si="2171"/>
        <v>2.0259159927316299E-2</v>
      </c>
      <c r="K2287" s="1">
        <f t="shared" si="2171"/>
        <v>1.6498314388436599E-2</v>
      </c>
      <c r="L2287" s="1">
        <f t="shared" si="2171"/>
        <v>1.8883109136897901E-2</v>
      </c>
      <c r="N2287" s="1"/>
    </row>
    <row r="2288" spans="2:14" x14ac:dyDescent="0.35">
      <c r="B2288" s="5" t="str">
        <f t="shared" si="2156"/>
        <v>SPS1</v>
      </c>
      <c r="C2288" s="5" t="str">
        <f t="shared" si="2157"/>
        <v>CH</v>
      </c>
      <c r="D2288" t="s">
        <v>2422</v>
      </c>
      <c r="E2288" t="str">
        <f t="shared" si="215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SUMPRODUCT(([2]OUT_FinalEnergyCons!$B$4:$B$10000="var_ncap")*1,  (ISNUMBER(SEARCH("ITOT-SWHPLT*BR",[2]OUT_FinalEnergyCons!$A$4:$A$10000)))*1,[2]OUT_FinalEnergyCons!H$4:H$10000)</f>
        <v>2.0259159927316299E-2</v>
      </c>
      <c r="K2288" s="1" cm="1">
        <f t="array" ref="K2288">SUMPRODUCT(([2]OUT_FinalEnergyCons!$B$4:$B$10000="var_ncap")*1,  (ISNUMBER(SEARCH("ITOT-SWHPLT*BR",[2]OUT_FinalEnergyCons!$A$4:$A$10000)))*1,[2]OUT_FinalEnergyCons!I$4:I$10000)</f>
        <v>1.6498314388436599E-2</v>
      </c>
      <c r="L2288" s="1" cm="1">
        <f t="array" ref="L2288">SUMPRODUCT(([2]OUT_FinalEnergyCons!$B$4:$B$10000="var_ncap")*1,  (ISNUMBER(SEARCH("ITOT-SWHPLT*BR",[2]OUT_FinalEnergyCons!$A$4:$A$10000)))*1,[2]OUT_FinalEnergyCons!J$4:J$10000)</f>
        <v>1.8883109136897901E-2</v>
      </c>
      <c r="N2288" s="1"/>
    </row>
    <row r="2289" spans="2:14" x14ac:dyDescent="0.35">
      <c r="B2289" s="5" t="str">
        <f t="shared" si="2156"/>
        <v>SPS1</v>
      </c>
      <c r="C2289" s="5" t="str">
        <f t="shared" si="2157"/>
        <v>CH</v>
      </c>
      <c r="D2289" t="s">
        <v>2423</v>
      </c>
      <c r="E2289" t="str">
        <f t="shared" si="2158"/>
        <v>GWth/yr.</v>
      </c>
      <c r="F2289" s="1">
        <f t="shared" ref="F2289:L2289" si="2172">F2290</f>
        <v>0</v>
      </c>
      <c r="G2289" s="1">
        <f t="shared" si="2172"/>
        <v>1.93677519744774E-5</v>
      </c>
      <c r="H2289" s="1">
        <f t="shared" si="2172"/>
        <v>5.4754971392016098E-5</v>
      </c>
      <c r="I2289" s="1">
        <f t="shared" si="2172"/>
        <v>4.4429388593344397E-5</v>
      </c>
      <c r="J2289" s="1">
        <f t="shared" si="2172"/>
        <v>0.270701267687742</v>
      </c>
      <c r="K2289" s="1">
        <f t="shared" si="2172"/>
        <v>2.5231368557879202E-3</v>
      </c>
      <c r="L2289" s="1">
        <f t="shared" si="2172"/>
        <v>0.105329994041914</v>
      </c>
      <c r="N2289" s="1"/>
    </row>
    <row r="2290" spans="2:14" x14ac:dyDescent="0.35">
      <c r="B2290" s="5" t="str">
        <f t="shared" si="2156"/>
        <v>SPS1</v>
      </c>
      <c r="C2290" s="5" t="str">
        <f t="shared" si="2157"/>
        <v>CH</v>
      </c>
      <c r="D2290" t="s">
        <v>2424</v>
      </c>
      <c r="E2290" t="str">
        <f t="shared" si="215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0.270701267687742</v>
      </c>
      <c r="K2290" s="1" cm="1">
        <f t="array" ref="K2290">SUMPRODUCT(([2]OUT_FinalEnergyCons!$B$4:$B$10000="var_ncap")*1,  (ISNUMBER(SEARCH("ITOT-SWHWST*BR",[2]OUT_FinalEnergyCons!$A$4:$A$10000)))*1,[2]OUT_FinalEnergyCons!I$4:I$10000)</f>
        <v>2.5231368557879202E-3</v>
      </c>
      <c r="L2290" s="1" cm="1">
        <f t="array" ref="L2290">SUMPRODUCT(([2]OUT_FinalEnergyCons!$B$4:$B$10000="var_ncap")*1,  (ISNUMBER(SEARCH("ITOT-SWHWST*BR",[2]OUT_FinalEnergyCons!$A$4:$A$10000)))*1,[2]OUT_FinalEnergyCons!J$4:J$10000)</f>
        <v>0.105329994041914</v>
      </c>
      <c r="N2290" s="1"/>
    </row>
    <row r="2291" spans="2:14" x14ac:dyDescent="0.35">
      <c r="B2291" s="5" t="str">
        <f t="shared" si="2156"/>
        <v>SPS1</v>
      </c>
      <c r="C2291" s="5" t="str">
        <f t="shared" si="2157"/>
        <v>CH</v>
      </c>
      <c r="D2291" t="s">
        <v>2425</v>
      </c>
      <c r="E2291" t="str">
        <f t="shared" si="2158"/>
        <v>GWth/yr.</v>
      </c>
      <c r="F2291" s="1">
        <f t="shared" ref="F2291:L2291" si="2173">F2292</f>
        <v>0</v>
      </c>
      <c r="G2291" s="1">
        <f t="shared" si="2173"/>
        <v>5.5894480300755701E-2</v>
      </c>
      <c r="H2291" s="1">
        <f t="shared" si="2173"/>
        <v>1.42109722401099E-7</v>
      </c>
      <c r="I2291" s="1">
        <f t="shared" si="2173"/>
        <v>1.9703636068248301E-7</v>
      </c>
      <c r="J2291" s="1">
        <f t="shared" si="2173"/>
        <v>0.19661564795987499</v>
      </c>
      <c r="K2291" s="1">
        <f t="shared" si="2173"/>
        <v>4.5679740290554501E-2</v>
      </c>
      <c r="L2291" s="1">
        <f t="shared" si="2173"/>
        <v>0.212349312078806</v>
      </c>
      <c r="N2291" s="1"/>
    </row>
    <row r="2292" spans="2:14" x14ac:dyDescent="0.35">
      <c r="B2292" s="5" t="str">
        <f t="shared" si="2156"/>
        <v>SPS1</v>
      </c>
      <c r="C2292" s="5" t="str">
        <f t="shared" si="2157"/>
        <v>CH</v>
      </c>
      <c r="D2292" t="s">
        <v>2426</v>
      </c>
      <c r="E2292" t="str">
        <f t="shared" si="215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SUMPRODUCT(([2]OUT_FinalEnergyCons!$B$4:$B$10000="var_ncap")*1, (ISNUMBER(SEARCH("ITOT-SWHSOLBR",[2]OUT_FinalEnergyCons!$A$4:$A$10000)))*1,[2]OUT_FinalEnergyCons!H$4:H$10000)</f>
        <v>0.19661564795987499</v>
      </c>
      <c r="K2292" s="1" cm="1">
        <f t="array" ref="K2292">SUMPRODUCT(([2]OUT_FinalEnergyCons!$B$4:$B$10000="var_ncap")*1, (ISNUMBER(SEARCH("ITOT-SWHSOLBR",[2]OUT_FinalEnergyCons!$A$4:$A$10000)))*1,[2]OUT_FinalEnergyCons!I$4:I$10000)</f>
        <v>4.5679740290554501E-2</v>
      </c>
      <c r="L2292" s="1" cm="1">
        <f t="array" ref="L2292">SUMPRODUCT(([2]OUT_FinalEnergyCons!$B$4:$B$10000="var_ncap")*1, (ISNUMBER(SEARCH("ITOT-SWHSOLBR",[2]OUT_FinalEnergyCons!$A$4:$A$10000)))*1,[2]OUT_FinalEnergyCons!J$4:J$10000)</f>
        <v>0.212349312078806</v>
      </c>
      <c r="N2292" s="1"/>
    </row>
    <row r="2293" spans="2:14" x14ac:dyDescent="0.35">
      <c r="B2293" s="5" t="str">
        <f t="shared" si="2156"/>
        <v>SPS1</v>
      </c>
      <c r="C2293" s="5" t="str">
        <f t="shared" si="2157"/>
        <v>CH</v>
      </c>
      <c r="D2293" t="s">
        <v>2427</v>
      </c>
      <c r="E2293" t="str">
        <f t="shared" si="2158"/>
        <v>GWth/yr.</v>
      </c>
      <c r="F2293" s="1">
        <f t="shared" ref="F2293:L2293" si="2174">F2294</f>
        <v>0</v>
      </c>
      <c r="G2293" s="1">
        <f t="shared" si="2174"/>
        <v>0</v>
      </c>
      <c r="H2293" s="1">
        <f t="shared" si="2174"/>
        <v>0</v>
      </c>
      <c r="I2293" s="1">
        <f t="shared" si="2174"/>
        <v>0</v>
      </c>
      <c r="J2293" s="1">
        <f t="shared" si="2174"/>
        <v>2.4063887851548799E-2</v>
      </c>
      <c r="K2293" s="1">
        <f t="shared" si="2174"/>
        <v>0.451149711171144</v>
      </c>
      <c r="L2293" s="1">
        <f t="shared" si="2174"/>
        <v>0.10752299180814601</v>
      </c>
      <c r="N2293" s="1"/>
    </row>
    <row r="2294" spans="2:14" x14ac:dyDescent="0.35">
      <c r="B2294" s="5" t="str">
        <f t="shared" si="2156"/>
        <v>SPS1</v>
      </c>
      <c r="C2294" s="5" t="str">
        <f t="shared" si="2157"/>
        <v>CH</v>
      </c>
      <c r="D2294" t="s">
        <v>2428</v>
      </c>
      <c r="E2294" t="str">
        <f t="shared" si="215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2.4063887851548799E-2</v>
      </c>
      <c r="K2294" s="1" cm="1">
        <f t="array" ref="K2294">SUMPRODUCT(([2]OUT_FinalEnergyCons!$B$4:$B$10000="var_ncap")*1, (ISNUMBER(SEARCH("ITOT-SWHH2BR",[2]OUT_FinalEnergyCons!$A$4:$A$10000)))*1,[2]OUT_FinalEnergyCons!I$4:I$10000)</f>
        <v>0.451149711171144</v>
      </c>
      <c r="L2294" s="1" cm="1">
        <f t="array" ref="L2294">SUMPRODUCT(([2]OUT_FinalEnergyCons!$B$4:$B$10000="var_ncap")*1, (ISNUMBER(SEARCH("ITOT-SWHH2BR",[2]OUT_FinalEnergyCons!$A$4:$A$10000)))*1,[2]OUT_FinalEnergyCons!J$4:J$10000)</f>
        <v>0.10752299180814601</v>
      </c>
      <c r="N2294" s="1"/>
    </row>
    <row r="2295" spans="2:14" x14ac:dyDescent="0.35">
      <c r="B2295" s="9" t="str">
        <f>SPS3_SOC_Mid!B1813</f>
        <v>SPS1</v>
      </c>
      <c r="C2295" s="9" t="str">
        <f>SPS3_SOC_Mid!C1813</f>
        <v>CH</v>
      </c>
      <c r="D2295" s="2" t="s">
        <v>2429</v>
      </c>
      <c r="E2295" s="9" t="str">
        <f t="shared" si="2158"/>
        <v>GWth/yr.</v>
      </c>
      <c r="F2295" s="17">
        <f t="shared" ref="F2295:K2295" si="2175">SUM(F2296,F2299,F2301,F2305,F2307,F2309,F2311)</f>
        <v>7.3687719175381046E-5</v>
      </c>
      <c r="G2295" s="17">
        <f t="shared" si="2175"/>
        <v>0.1103925931677273</v>
      </c>
      <c r="H2295" s="17">
        <f t="shared" si="2175"/>
        <v>0.24577246012099244</v>
      </c>
      <c r="I2295" s="17">
        <f t="shared" si="2175"/>
        <v>0.74102469287165695</v>
      </c>
      <c r="J2295" s="17">
        <f t="shared" si="2175"/>
        <v>2.4773463028676601</v>
      </c>
      <c r="K2295" s="17">
        <f t="shared" si="2175"/>
        <v>1.7634108279099512</v>
      </c>
      <c r="L2295" s="17">
        <f t="shared" ref="L2295" si="2176">SUM(L2296,L2299,L2301,L2305,L2307,L2309,L2311)</f>
        <v>1.8707887770614648</v>
      </c>
      <c r="N2295" s="1"/>
    </row>
    <row r="2296" spans="2:14" x14ac:dyDescent="0.35">
      <c r="B2296" s="5" t="str">
        <f t="shared" ref="B2296:B2312" si="2177">B2295</f>
        <v>SPS1</v>
      </c>
      <c r="C2296" s="5" t="str">
        <f t="shared" ref="C2296:C2312" si="2178">C2295</f>
        <v>CH</v>
      </c>
      <c r="D2296" t="s">
        <v>2430</v>
      </c>
      <c r="E2296" t="str">
        <f t="shared" si="2158"/>
        <v>GWth/yr.</v>
      </c>
      <c r="F2296" s="1">
        <f t="shared" ref="F2296:K2296" si="2179">SUM(F2297:F2298)</f>
        <v>4.2276438320730419E-6</v>
      </c>
      <c r="G2296" s="1">
        <f t="shared" si="2179"/>
        <v>3.5966019011499393E-6</v>
      </c>
      <c r="H2296" s="1">
        <f t="shared" si="2179"/>
        <v>6.9932527237505954E-2</v>
      </c>
      <c r="I2296" s="1">
        <f t="shared" si="2179"/>
        <v>0.59194479193316352</v>
      </c>
      <c r="J2296" s="1">
        <f t="shared" si="2179"/>
        <v>0.65188131166200003</v>
      </c>
      <c r="K2296" s="1">
        <f t="shared" si="2179"/>
        <v>0.79448081106985347</v>
      </c>
      <c r="L2296" s="1">
        <f t="shared" ref="L2296" si="2180">SUM(L2297:L2298)</f>
        <v>0.94656977942478293</v>
      </c>
      <c r="N2296" s="1"/>
    </row>
    <row r="2297" spans="2:14" x14ac:dyDescent="0.35">
      <c r="B2297" s="5" t="str">
        <f t="shared" si="2177"/>
        <v>SPS1</v>
      </c>
      <c r="C2297" s="5" t="str">
        <f t="shared" si="2178"/>
        <v>CH</v>
      </c>
      <c r="D2297" t="s">
        <v>2431</v>
      </c>
      <c r="E2297" t="str">
        <f t="shared" si="215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SUMPRODUCT(([2]OUT_FinalEnergyCons!$B$4:$B$10000="var_ncap")*1, (ISNUMBER(SEARCH("SCOM-SHELCBR",[2]OUT_FinalEnergyCons!$A$4:$A$10000)))*1,[2]OUT_FinalEnergyCons!H$4:H$10000)</f>
        <v>1.2201302279140101E-2</v>
      </c>
      <c r="K2297" s="1" cm="1">
        <f t="array" ref="K2297">SUMPRODUCT(([2]OUT_FinalEnergyCons!$B$4:$B$10000="var_ncap")*1, (ISNUMBER(SEARCH("SCOM-SHELCBR",[2]OUT_FinalEnergyCons!$A$4:$A$10000)))*1,[2]OUT_FinalEnergyCons!I$4:I$10000)</f>
        <v>1.17140476969164E-2</v>
      </c>
      <c r="L2297" s="1" cm="1">
        <f t="array" ref="L2297">SUMPRODUCT(([2]OUT_FinalEnergyCons!$B$4:$B$10000="var_ncap")*1, (ISNUMBER(SEARCH("SCOM-SHELCBR",[2]OUT_FinalEnergyCons!$A$4:$A$10000)))*1,[2]OUT_FinalEnergyCons!J$4:J$10000)</f>
        <v>7.1494878665932104E-5</v>
      </c>
      <c r="N2297" s="1"/>
    </row>
    <row r="2298" spans="2:14" x14ac:dyDescent="0.35">
      <c r="B2298" s="5" t="str">
        <f t="shared" si="2177"/>
        <v>SPS1</v>
      </c>
      <c r="C2298" s="5" t="str">
        <f t="shared" si="2178"/>
        <v>CH</v>
      </c>
      <c r="D2298" t="s">
        <v>2432</v>
      </c>
      <c r="E2298" t="str">
        <f t="shared" si="215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SUMPRODUCT(([2]OUT_FinalEnergyCons!$B$4:$B$10000="var_ncap")*1, (ISNUMBER(SEARCH("SCOM-SHELCHP",[2]OUT_FinalEnergyCons!$A$4:$A$10000)))*1,[2]OUT_FinalEnergyCons!H$4:H$10000)</f>
        <v>0.63968000938285996</v>
      </c>
      <c r="K2298" s="1" cm="1">
        <f t="array" ref="K2298">SUMPRODUCT(([2]OUT_FinalEnergyCons!$B$4:$B$10000="var_ncap")*1, (ISNUMBER(SEARCH("SCOM-SHELCHP",[2]OUT_FinalEnergyCons!$A$4:$A$10000)))*1,[2]OUT_FinalEnergyCons!I$4:I$10000)</f>
        <v>0.78276676337293705</v>
      </c>
      <c r="L2298" s="1" cm="1">
        <f t="array" ref="L2298">SUMPRODUCT(([2]OUT_FinalEnergyCons!$B$4:$B$10000="var_ncap")*1, (ISNUMBER(SEARCH("SCOM-SHELCHP",[2]OUT_FinalEnergyCons!$A$4:$A$10000)))*1,[2]OUT_FinalEnergyCons!J$4:J$10000)</f>
        <v>0.94649828454611695</v>
      </c>
      <c r="N2298" s="1"/>
    </row>
    <row r="2299" spans="2:14" x14ac:dyDescent="0.35">
      <c r="B2299" s="5" t="str">
        <f t="shared" si="2177"/>
        <v>SPS1</v>
      </c>
      <c r="C2299" s="5" t="str">
        <f t="shared" si="2178"/>
        <v>CH</v>
      </c>
      <c r="D2299" t="s">
        <v>2433</v>
      </c>
      <c r="E2299" t="str">
        <f t="shared" si="2158"/>
        <v>GWth/yr.</v>
      </c>
      <c r="F2299" s="1">
        <f t="shared" ref="F2299:L2299" si="2181">F2300</f>
        <v>2.32413958126165E-6</v>
      </c>
      <c r="G2299" s="1">
        <f t="shared" si="2181"/>
        <v>1.62985990115554E-6</v>
      </c>
      <c r="H2299" s="1">
        <f t="shared" si="2181"/>
        <v>1.52209550494033E-6</v>
      </c>
      <c r="I2299" s="1">
        <f t="shared" si="2181"/>
        <v>1.86076836266184E-6</v>
      </c>
      <c r="J2299" s="1">
        <f t="shared" si="2181"/>
        <v>0.19576394939822001</v>
      </c>
      <c r="K2299" s="1">
        <f t="shared" si="2181"/>
        <v>4.0594174572463101E-6</v>
      </c>
      <c r="L2299" s="1">
        <f t="shared" si="2181"/>
        <v>2.3589969453511099E-7</v>
      </c>
      <c r="N2299" s="1"/>
    </row>
    <row r="2300" spans="2:14" x14ac:dyDescent="0.35">
      <c r="B2300" s="5" t="str">
        <f t="shared" si="2177"/>
        <v>SPS1</v>
      </c>
      <c r="C2300" s="5" t="str">
        <f t="shared" si="2178"/>
        <v>CH</v>
      </c>
      <c r="D2300" t="s">
        <v>2434</v>
      </c>
      <c r="E2300" t="str">
        <f t="shared" ref="E2300:E2312" si="218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SUMPRODUCT(([2]OUT_FinalEnergyCons!$B$4:$B$10000="var_ncap")*1,(ISNUMBER(SEARCH("SCOM-SHLFOBR",[2]OUT_FinalEnergyCons!$A$4:$A$10000)))*1,[2]OUT_FinalEnergyCons!H$4:H$10000)</f>
        <v>0.19576394939822001</v>
      </c>
      <c r="K2300" s="1" cm="1">
        <f t="array" ref="K2300">SUMPRODUCT(([2]OUT_FinalEnergyCons!$B$4:$B$10000="var_ncap")*1,(ISNUMBER(SEARCH("SCOM-SHLFOBR",[2]OUT_FinalEnergyCons!$A$4:$A$10000)))*1,[2]OUT_FinalEnergyCons!I$4:I$10000)</f>
        <v>4.0594174572463101E-6</v>
      </c>
      <c r="L2300" s="1" cm="1">
        <f t="array" ref="L2300">SUMPRODUCT(([2]OUT_FinalEnergyCons!$B$4:$B$10000="var_ncap")*1,(ISNUMBER(SEARCH("SCOM-SHLFOBR",[2]OUT_FinalEnergyCons!$A$4:$A$10000)))*1,[2]OUT_FinalEnergyCons!J$4:J$10000)</f>
        <v>2.3589969453511099E-7</v>
      </c>
      <c r="N2300" s="1"/>
    </row>
    <row r="2301" spans="2:14" x14ac:dyDescent="0.35">
      <c r="B2301" s="5" t="str">
        <f t="shared" si="2177"/>
        <v>SPS1</v>
      </c>
      <c r="C2301" s="5" t="str">
        <f t="shared" si="2178"/>
        <v>CH</v>
      </c>
      <c r="D2301" t="s">
        <v>2435</v>
      </c>
      <c r="E2301" t="str">
        <f t="shared" si="2182"/>
        <v>GWth/yr.</v>
      </c>
      <c r="F2301" s="1">
        <f t="shared" ref="F2301:K2301" si="2183">SUM(F2302:F2304)</f>
        <v>2.3297496233326951E-6</v>
      </c>
      <c r="G2301" s="1">
        <f t="shared" si="2183"/>
        <v>1.0695073032803771E-4</v>
      </c>
      <c r="H2301" s="1">
        <f t="shared" si="2183"/>
        <v>0.17583262600420232</v>
      </c>
      <c r="I2301" s="1">
        <f t="shared" si="2183"/>
        <v>0.13040385289045681</v>
      </c>
      <c r="J2301" s="1">
        <f t="shared" si="2183"/>
        <v>0.34987625915462156</v>
      </c>
      <c r="K2301" s="1">
        <f t="shared" si="2183"/>
        <v>0.26950858277282896</v>
      </c>
      <c r="L2301" s="1">
        <f t="shared" ref="L2301" si="2184">SUM(L2302:L2304)</f>
        <v>0.18137478911393151</v>
      </c>
      <c r="N2301" s="1"/>
    </row>
    <row r="2302" spans="2:14" x14ac:dyDescent="0.35">
      <c r="B2302" s="5" t="str">
        <f t="shared" si="2177"/>
        <v>SPS1</v>
      </c>
      <c r="C2302" s="5" t="str">
        <f t="shared" si="2178"/>
        <v>CH</v>
      </c>
      <c r="D2302" t="s">
        <v>2436</v>
      </c>
      <c r="E2302" t="str">
        <f t="shared" si="218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SUMPRODUCT(([2]OUT_FinalEnergyCons!$B$4:$B$10000="var_ncap")*1, (ISNUMBER(SEARCH("SCOM-SHNGABR",[2]OUT_FinalEnergyCons!$A$4:$A$10000)))*1,[2]OUT_FinalEnergyCons!H$4:H$10000)</f>
        <v>0.26440847577639298</v>
      </c>
      <c r="K2302" s="1" cm="1">
        <f t="array" ref="K2302">SUMPRODUCT(([2]OUT_FinalEnergyCons!$B$4:$B$10000="var_ncap")*1, (ISNUMBER(SEARCH("SCOM-SHNGABR",[2]OUT_FinalEnergyCons!$A$4:$A$10000)))*1,[2]OUT_FinalEnergyCons!I$4:I$10000)</f>
        <v>8.0418458509351497E-6</v>
      </c>
      <c r="L2302" s="1" cm="1">
        <f t="array" ref="L2302">SUMPRODUCT(([2]OUT_FinalEnergyCons!$B$4:$B$10000="var_ncap")*1, (ISNUMBER(SEARCH("SCOM-SHNGABR",[2]OUT_FinalEnergyCons!$A$4:$A$10000)))*1,[2]OUT_FinalEnergyCons!J$4:J$10000)</f>
        <v>1.21374356825613E-6</v>
      </c>
      <c r="N2302" s="1"/>
    </row>
    <row r="2303" spans="2:14" x14ac:dyDescent="0.35">
      <c r="B2303" s="5" t="str">
        <f t="shared" si="2177"/>
        <v>SPS1</v>
      </c>
      <c r="C2303" s="5" t="str">
        <f t="shared" si="2178"/>
        <v>CH</v>
      </c>
      <c r="D2303" t="s">
        <v>2437</v>
      </c>
      <c r="E2303" t="str">
        <f t="shared" si="218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SUMPRODUCT(([2]OUT_FinalEnergyCons!$B$4:$B$10000="var_ncap")*1, (ISNUMBER(SEARCH("SCOM-SHngahp",[2]OUT_FinalEnergyCons!$A$4:$A$10000)))*1,[2]OUT_FinalEnergyCons!H$4:H$10000)</f>
        <v>8.5436767282398504E-2</v>
      </c>
      <c r="K2303" s="1" cm="1">
        <f t="array" ref="K2303">SUMPRODUCT(([2]OUT_FinalEnergyCons!$B$4:$B$10000="var_ncap")*1, (ISNUMBER(SEARCH("SCOM-SHngahp",[2]OUT_FinalEnergyCons!$A$4:$A$10000)))*1,[2]OUT_FinalEnergyCons!I$4:I$10000)</f>
        <v>0.26946757599688498</v>
      </c>
      <c r="L2303" s="1" cm="1">
        <f t="array" ref="L2303">SUMPRODUCT(([2]OUT_FinalEnergyCons!$B$4:$B$10000="var_ncap")*1, (ISNUMBER(SEARCH("SCOM-SHngahp",[2]OUT_FinalEnergyCons!$A$4:$A$10000)))*1,[2]OUT_FinalEnergyCons!J$4:J$10000)</f>
        <v>0.181354802473562</v>
      </c>
      <c r="N2303" s="1"/>
    </row>
    <row r="2304" spans="2:14" x14ac:dyDescent="0.35">
      <c r="B2304" s="5" t="str">
        <f t="shared" si="2177"/>
        <v>SPS1</v>
      </c>
      <c r="C2304" s="5" t="str">
        <f t="shared" si="2178"/>
        <v>CH</v>
      </c>
      <c r="D2304" t="s">
        <v>2438</v>
      </c>
      <c r="E2304" t="str">
        <f t="shared" si="218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3.1016095830075398E-5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3.2964930093031698E-5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1.8772896801251E-5</v>
      </c>
      <c r="N2304" s="1"/>
    </row>
    <row r="2305" spans="2:14" x14ac:dyDescent="0.35">
      <c r="B2305" s="5" t="str">
        <f t="shared" si="2177"/>
        <v>SPS1</v>
      </c>
      <c r="C2305" s="5" t="str">
        <f t="shared" si="2178"/>
        <v>CH</v>
      </c>
      <c r="D2305" t="s">
        <v>2439</v>
      </c>
      <c r="E2305" t="str">
        <f t="shared" si="2182"/>
        <v>GWth/yr.</v>
      </c>
      <c r="F2305" s="1">
        <f t="shared" ref="F2305:L2305" si="2185">F2306</f>
        <v>2.60520127497197E-5</v>
      </c>
      <c r="G2305" s="1">
        <f t="shared" si="2185"/>
        <v>7.7137754269244296E-2</v>
      </c>
      <c r="H2305" s="1">
        <f t="shared" si="2185"/>
        <v>1.58610599839601E-6</v>
      </c>
      <c r="I2305" s="1">
        <f t="shared" si="2185"/>
        <v>2.4223013300442198E-6</v>
      </c>
      <c r="J2305" s="1">
        <f t="shared" si="2185"/>
        <v>0.180985312630908</v>
      </c>
      <c r="K2305" s="1">
        <f t="shared" si="2185"/>
        <v>3.2269803510058898E-2</v>
      </c>
      <c r="L2305" s="1">
        <f t="shared" si="2185"/>
        <v>4.3865607263153599E-7</v>
      </c>
      <c r="N2305" s="1"/>
    </row>
    <row r="2306" spans="2:14" x14ac:dyDescent="0.35">
      <c r="B2306" s="5" t="str">
        <f t="shared" si="2177"/>
        <v>SPS1</v>
      </c>
      <c r="C2306" s="5" t="str">
        <f t="shared" si="2178"/>
        <v>CH</v>
      </c>
      <c r="D2306" t="s">
        <v>2440</v>
      </c>
      <c r="E2306" t="str">
        <f t="shared" si="218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SUMPRODUCT(([2]OUT_FinalEnergyCons!$B$4:$B$10000="var_ncap")*1, (ISNUMBER(SEARCH("SCOM-SHWODBR",[2]OUT_FinalEnergyCons!$A$4:$A$10000)))*1,[2]OUT_FinalEnergyCons!H$4:H$10000)</f>
        <v>0.180985312630908</v>
      </c>
      <c r="K2306" s="1" cm="1">
        <f t="array" ref="K2306">SUMPRODUCT(([2]OUT_FinalEnergyCons!$B$4:$B$10000="var_ncap")*1, (ISNUMBER(SEARCH("SCOM-SHWODBR",[2]OUT_FinalEnergyCons!$A$4:$A$10000)))*1,[2]OUT_FinalEnergyCons!I$4:I$10000)</f>
        <v>3.2269803510058898E-2</v>
      </c>
      <c r="L2306" s="1" cm="1">
        <f t="array" ref="L2306">SUMPRODUCT(([2]OUT_FinalEnergyCons!$B$4:$B$10000="var_ncap")*1, (ISNUMBER(SEARCH("SCOM-SHWODBR",[2]OUT_FinalEnergyCons!$A$4:$A$10000)))*1,[2]OUT_FinalEnergyCons!J$4:J$10000)</f>
        <v>4.3865607263153599E-7</v>
      </c>
      <c r="N2306" s="1"/>
    </row>
    <row r="2307" spans="2:14" x14ac:dyDescent="0.35">
      <c r="B2307" s="5" t="str">
        <f t="shared" si="2177"/>
        <v>SPS1</v>
      </c>
      <c r="C2307" s="5" t="str">
        <f t="shared" si="2178"/>
        <v>CH</v>
      </c>
      <c r="D2307" t="s">
        <v>2441</v>
      </c>
      <c r="E2307" t="str">
        <f t="shared" si="2182"/>
        <v>GWth/yr.</v>
      </c>
      <c r="F2307" s="1">
        <f t="shared" ref="F2307:L2307" si="2186">F2308</f>
        <v>4.6778508406623502E-6</v>
      </c>
      <c r="G2307" s="1">
        <f t="shared" si="2186"/>
        <v>2.4367091578579001E-2</v>
      </c>
      <c r="H2307" s="1">
        <f t="shared" si="2186"/>
        <v>8.7691177289598198E-7</v>
      </c>
      <c r="I2307" s="1">
        <f t="shared" si="2186"/>
        <v>1.77443550316708E-6</v>
      </c>
      <c r="J2307" s="1">
        <f t="shared" si="2186"/>
        <v>3.7256088013655599E-3</v>
      </c>
      <c r="K2307" s="1">
        <f t="shared" si="2186"/>
        <v>2.7715979320397698E-3</v>
      </c>
      <c r="L2307" s="1">
        <f t="shared" si="2186"/>
        <v>1.9648906822122101E-7</v>
      </c>
      <c r="N2307" s="1"/>
    </row>
    <row r="2308" spans="2:14" x14ac:dyDescent="0.35">
      <c r="B2308" s="5" t="str">
        <f t="shared" si="2177"/>
        <v>SPS1</v>
      </c>
      <c r="C2308" s="5" t="str">
        <f t="shared" si="2178"/>
        <v>CH</v>
      </c>
      <c r="D2308" t="s">
        <v>2442</v>
      </c>
      <c r="E2308" t="str">
        <f t="shared" si="218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SUMPRODUCT(([2]OUT_FinalEnergyCons!$B$4:$B$10000="var_ncap")*1,(ISNUMBER(SEARCH("SCOM-SHPLTBR",[2]OUT_FinalEnergyCons!$A$4:$A$10000)))*1,[2]OUT_FinalEnergyCons!H$4:H$10000)</f>
        <v>3.7256088013655599E-3</v>
      </c>
      <c r="K2308" s="1" cm="1">
        <f t="array" ref="K2308">SUMPRODUCT(([2]OUT_FinalEnergyCons!$B$4:$B$10000="var_ncap")*1,(ISNUMBER(SEARCH("SCOM-SHPLTBR",[2]OUT_FinalEnergyCons!$A$4:$A$10000)))*1,[2]OUT_FinalEnergyCons!I$4:I$10000)</f>
        <v>2.7715979320397698E-3</v>
      </c>
      <c r="L2308" s="1" cm="1">
        <f t="array" ref="L2308">SUMPRODUCT(([2]OUT_FinalEnergyCons!$B$4:$B$10000="var_ncap")*1,(ISNUMBER(SEARCH("SCOM-SHPLTBR",[2]OUT_FinalEnergyCons!$A$4:$A$10000)))*1,[2]OUT_FinalEnergyCons!J$4:J$10000)</f>
        <v>1.9648906822122101E-7</v>
      </c>
      <c r="N2308" s="1"/>
    </row>
    <row r="2309" spans="2:14" x14ac:dyDescent="0.35">
      <c r="B2309" s="5" t="str">
        <f t="shared" si="2177"/>
        <v>SPS1</v>
      </c>
      <c r="C2309" s="5" t="str">
        <f t="shared" si="2178"/>
        <v>CH</v>
      </c>
      <c r="D2309" t="s">
        <v>2443</v>
      </c>
      <c r="E2309" t="str">
        <f t="shared" si="2182"/>
        <v>GWth/yr.</v>
      </c>
      <c r="F2309" s="1">
        <f t="shared" ref="F2309:L2309" si="2187">F2310</f>
        <v>3.4076322548331601E-5</v>
      </c>
      <c r="G2309" s="1">
        <f t="shared" si="2187"/>
        <v>8.7755701277736596E-3</v>
      </c>
      <c r="H2309" s="1">
        <f t="shared" si="2187"/>
        <v>3.3217660079181102E-6</v>
      </c>
      <c r="I2309" s="1">
        <f t="shared" si="2187"/>
        <v>1.8668359518979698E-2</v>
      </c>
      <c r="J2309" s="1">
        <f t="shared" si="2187"/>
        <v>9.5276586311163897E-2</v>
      </c>
      <c r="K2309" s="1">
        <f t="shared" si="2187"/>
        <v>6.3385641109668003E-2</v>
      </c>
      <c r="L2309" s="1">
        <f t="shared" si="2187"/>
        <v>0.11696682183452201</v>
      </c>
      <c r="N2309" s="1"/>
    </row>
    <row r="2310" spans="2:14" x14ac:dyDescent="0.35">
      <c r="B2310" s="5" t="str">
        <f t="shared" si="2177"/>
        <v>SPS1</v>
      </c>
      <c r="C2310" s="5" t="str">
        <f t="shared" si="2178"/>
        <v>CH</v>
      </c>
      <c r="D2310" t="s">
        <v>2444</v>
      </c>
      <c r="E2310" t="str">
        <f t="shared" si="218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SUMPRODUCT(([2]OUT_FinalEnergyCons!$B$4:$B$10000="var_ncap")*1, (ISNUMBER(SEARCH("SCOM-SHSOLBR",[2]OUT_FinalEnergyCons!$A$4:$A$10000)))*1,[2]OUT_FinalEnergyCons!H$4:H$10000)</f>
        <v>9.5276586311163897E-2</v>
      </c>
      <c r="K2310" s="1" cm="1">
        <f t="array" ref="K2310">SUMPRODUCT(([2]OUT_FinalEnergyCons!$B$4:$B$10000="var_ncap")*1, (ISNUMBER(SEARCH("SCOM-SHSOLBR",[2]OUT_FinalEnergyCons!$A$4:$A$10000)))*1,[2]OUT_FinalEnergyCons!I$4:I$10000)</f>
        <v>6.3385641109668003E-2</v>
      </c>
      <c r="L2310" s="1" cm="1">
        <f t="array" ref="L2310">SUMPRODUCT(([2]OUT_FinalEnergyCons!$B$4:$B$10000="var_ncap")*1, (ISNUMBER(SEARCH("SCOM-SHSOLBR",[2]OUT_FinalEnergyCons!$A$4:$A$10000)))*1,[2]OUT_FinalEnergyCons!J$4:J$10000)</f>
        <v>0.11696682183452201</v>
      </c>
      <c r="N2310" s="1"/>
    </row>
    <row r="2311" spans="2:14" x14ac:dyDescent="0.35">
      <c r="B2311" s="5" t="str">
        <f t="shared" si="2177"/>
        <v>SPS1</v>
      </c>
      <c r="C2311" s="5" t="str">
        <f t="shared" si="2178"/>
        <v>CH</v>
      </c>
      <c r="D2311" t="s">
        <v>2445</v>
      </c>
      <c r="E2311" t="str">
        <f t="shared" si="2182"/>
        <v>GWth/yr.</v>
      </c>
      <c r="F2311" s="1">
        <f t="shared" ref="F2311:L2311" si="2188">F2312</f>
        <v>0</v>
      </c>
      <c r="G2311" s="1">
        <f t="shared" si="2188"/>
        <v>0</v>
      </c>
      <c r="H2311" s="1">
        <f t="shared" si="2188"/>
        <v>0</v>
      </c>
      <c r="I2311" s="1">
        <f t="shared" si="2188"/>
        <v>1.6310238609986699E-6</v>
      </c>
      <c r="J2311" s="1">
        <f t="shared" si="2188"/>
        <v>0.99983727490938101</v>
      </c>
      <c r="K2311" s="1">
        <f t="shared" si="2188"/>
        <v>0.60099033209804498</v>
      </c>
      <c r="L2311" s="1">
        <f t="shared" si="2188"/>
        <v>0.62587651564339297</v>
      </c>
      <c r="N2311" s="1"/>
    </row>
    <row r="2312" spans="2:14" x14ac:dyDescent="0.35">
      <c r="B2312" s="5" t="str">
        <f t="shared" si="2177"/>
        <v>SPS1</v>
      </c>
      <c r="C2312" s="5" t="str">
        <f t="shared" si="2178"/>
        <v>CH</v>
      </c>
      <c r="D2312" t="s">
        <v>2446</v>
      </c>
      <c r="E2312" t="str">
        <f t="shared" si="218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SUMPRODUCT(([2]OUT_FinalEnergyCons!$B$4:$B$10000="var_ncap")*1, (ISNUMBER(SEARCH("SCOM-SHH2BR",[2]OUT_FinalEnergyCons!$A$4:$A$10000)))*1,[2]OUT_FinalEnergyCons!H$4:H$10000)</f>
        <v>0.99983727490938101</v>
      </c>
      <c r="K2312" s="1" cm="1">
        <f t="array" ref="K2312">SUMPRODUCT(([2]OUT_FinalEnergyCons!$B$4:$B$10000="var_ncap")*1, (ISNUMBER(SEARCH("SCOM-SHH2BR",[2]OUT_FinalEnergyCons!$A$4:$A$10000)))*1,[2]OUT_FinalEnergyCons!I$4:I$10000)</f>
        <v>0.60099033209804498</v>
      </c>
      <c r="L2312" s="1" cm="1">
        <f t="array" ref="L2312">SUMPRODUCT(([2]OUT_FinalEnergyCons!$B$4:$B$10000="var_ncap")*1, (ISNUMBER(SEARCH("SCOM-SHH2BR",[2]OUT_FinalEnergyCons!$A$4:$A$10000)))*1,[2]OUT_FinalEnergyCons!J$4:J$10000)</f>
        <v>0.62587651564339297</v>
      </c>
      <c r="N2312" s="1"/>
    </row>
    <row r="2313" spans="2:14" x14ac:dyDescent="0.35">
      <c r="B2313" s="5" t="str">
        <f>SPS3_SOC_Mid!B2021</f>
        <v>SPS1</v>
      </c>
      <c r="C2313" s="5" t="str">
        <f>SPS3_SOC_Mid!C2021</f>
        <v>CH</v>
      </c>
      <c r="D2313" s="2" t="s">
        <v>2448</v>
      </c>
      <c r="E2313" s="2" t="s">
        <v>2154</v>
      </c>
      <c r="F2313" s="3">
        <f t="shared" ref="F2313:K2313" si="2189">SUM(F2314,F2318,F2321)</f>
        <v>4.11416983932213E-4</v>
      </c>
      <c r="G2313" s="3">
        <f t="shared" si="2189"/>
        <v>2.5784491327660198E-6</v>
      </c>
      <c r="H2313" s="3">
        <f t="shared" si="2189"/>
        <v>1.6103811153679899E-6</v>
      </c>
      <c r="I2313" s="3">
        <f t="shared" si="2189"/>
        <v>2.0670713116209868E-5</v>
      </c>
      <c r="J2313" s="3">
        <f t="shared" si="2189"/>
        <v>1.9235333106663956E-2</v>
      </c>
      <c r="K2313" s="3">
        <f t="shared" si="2189"/>
        <v>0.34215134751368387</v>
      </c>
      <c r="L2313" s="3">
        <f t="shared" ref="L2313" si="2190">SUM(L2314,L2318,L2321)</f>
        <v>0.59346112671115248</v>
      </c>
      <c r="N2313" s="1"/>
    </row>
    <row r="2314" spans="2:14" x14ac:dyDescent="0.35">
      <c r="B2314" s="5" t="str">
        <f t="shared" ref="B2314:B2340" si="2191">B2313</f>
        <v>SPS1</v>
      </c>
      <c r="C2314" s="5" t="str">
        <f t="shared" ref="C2314:C2340" si="219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SUMPRODUCT(ISNUMBER(SEARCH("SUP_ELCH2*",[2]OUT_SyntheticFuels!$C$4:$C$1000))*1,("var_ncap"=[2]OUT_SyntheticFuels!$B$4:$B$1000)*1,[2]OUT_SyntheticFuels!I$4:I$1000)</f>
        <v>1.9234878663958E-2</v>
      </c>
      <c r="K2314" s="1" cm="1">
        <f t="array" ref="K2314">SUMPRODUCT(ISNUMBER(SEARCH("SUP_ELCH2*",[2]OUT_SyntheticFuels!$C$4:$C$1000))*1,("var_ncap"=[2]OUT_SyntheticFuels!$B$4:$B$1000)*1,[2]OUT_SyntheticFuels!J$4:J$1000)</f>
        <v>0.34215102982516099</v>
      </c>
      <c r="L2314" s="1" cm="1">
        <f t="array" ref="L2314">SUMPRODUCT(ISNUMBER(SEARCH("SUP_ELCH2*",[2]OUT_SyntheticFuels!$C$4:$C$1000))*1,("var_ncap"=[2]OUT_SyntheticFuels!$B$4:$B$1000)*1,[2]OUT_SyntheticFuels!K$4:K$1000)</f>
        <v>0.59346087954759097</v>
      </c>
      <c r="N2314" s="1"/>
    </row>
    <row r="2315" spans="2:14" x14ac:dyDescent="0.35">
      <c r="B2315" s="5" t="str">
        <f t="shared" si="2191"/>
        <v>SPS1</v>
      </c>
      <c r="C2315" s="5" t="str">
        <f t="shared" si="2192"/>
        <v>CH</v>
      </c>
      <c r="D2315" t="s">
        <v>2450</v>
      </c>
      <c r="E2315" t="s">
        <v>2154</v>
      </c>
      <c r="F2315" s="1">
        <f t="shared" ref="F2315:K2315" si="2193">F2314-F2316-F2317</f>
        <v>4.11416983932213E-4</v>
      </c>
      <c r="G2315" s="1">
        <f t="shared" si="2193"/>
        <v>2.5784491327660198E-6</v>
      </c>
      <c r="H2315" s="1">
        <f t="shared" si="2193"/>
        <v>1.6103811153679899E-6</v>
      </c>
      <c r="I2315" s="1">
        <f t="shared" si="2193"/>
        <v>1.9999115011909101E-5</v>
      </c>
      <c r="J2315" s="1">
        <f t="shared" si="2193"/>
        <v>1.9234878663958E-2</v>
      </c>
      <c r="K2315" s="1">
        <f t="shared" si="2193"/>
        <v>0.34215102982516099</v>
      </c>
      <c r="L2315" s="1">
        <f t="shared" ref="L2315" si="2194">L2314-L2316-L2317</f>
        <v>0.59346087954759097</v>
      </c>
      <c r="N2315" s="1"/>
    </row>
    <row r="2316" spans="2:14" x14ac:dyDescent="0.35">
      <c r="B2316" s="5" t="str">
        <f t="shared" si="2191"/>
        <v>SPS1</v>
      </c>
      <c r="C2316" s="5" t="str">
        <f t="shared" si="219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SUMPRODUCT(ISNUMBER(SEARCH("SUP_ELCH2*D",[2]OUT_SyntheticFuels!$C$4:$C$1000))*1,("var_ncap"=[2]OUT_SyntheticFuels!$B$4:$B$1000)*1,[2]OUT_SyntheticFuels!I$4:I$1000)</f>
        <v>0</v>
      </c>
      <c r="K2316" s="1" cm="1">
        <f t="array" ref="K2316">SUMPRODUCT(ISNUMBER(SEARCH("SUP_ELCH2*D",[2]OUT_SyntheticFuels!$C$4:$C$1000))*1,("var_ncap"=[2]OUT_SyntheticFuels!$B$4:$B$1000)*1,[2]OUT_SyntheticFuels!J$4:J$1000)</f>
        <v>0</v>
      </c>
      <c r="L2316" s="1" cm="1">
        <f t="array" ref="L2316">SUMPRODUCT(ISNUMBER(SEARCH("SUP_ELCH2*D",[2]OUT_SyntheticFuels!$C$4:$C$1000))*1,("var_ncap"=[2]OUT_SyntheticFuels!$B$4:$B$1000)*1,[2]OUT_SyntheticFuels!K$4:K$1000)</f>
        <v>0</v>
      </c>
      <c r="N2316" s="1"/>
    </row>
    <row r="2317" spans="2:14" x14ac:dyDescent="0.35">
      <c r="B2317" s="5" t="str">
        <f t="shared" si="2191"/>
        <v>SPS1</v>
      </c>
      <c r="C2317" s="5" t="str">
        <f t="shared" si="219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0</v>
      </c>
      <c r="L2317" s="1" cm="1">
        <f t="array" ref="L2317">SUMPRODUCT(ISNUMBER(SEARCH("SUP_ELCH2*SOEC*",[2]OUT_SyntheticFuels!$C$4:$C$1000))*1,("var_ncap"=[2]OUT_SyntheticFuels!$B$4:$B$1000)*1,[2]OUT_SyntheticFuels!K$4:K$1000)</f>
        <v>0</v>
      </c>
      <c r="N2317" s="1"/>
    </row>
    <row r="2318" spans="2:14" x14ac:dyDescent="0.35">
      <c r="B2318" s="5" t="str">
        <f t="shared" si="2191"/>
        <v>SPS1</v>
      </c>
      <c r="C2318" s="5" t="str">
        <f t="shared" si="2192"/>
        <v>CH</v>
      </c>
      <c r="D2318" t="s">
        <v>2453</v>
      </c>
      <c r="E2318" t="s">
        <v>2154</v>
      </c>
      <c r="F2318" s="1">
        <f t="shared" ref="F2318:K2318" si="2195">SUM(F2319:F2320)</f>
        <v>0</v>
      </c>
      <c r="G2318" s="1">
        <f t="shared" si="2195"/>
        <v>0</v>
      </c>
      <c r="H2318" s="1">
        <f t="shared" si="2195"/>
        <v>0</v>
      </c>
      <c r="I2318" s="1">
        <f t="shared" si="2195"/>
        <v>6.7159810430076696E-7</v>
      </c>
      <c r="J2318" s="1">
        <f t="shared" si="2195"/>
        <v>4.5444270595706502E-7</v>
      </c>
      <c r="K2318" s="1">
        <f t="shared" si="2195"/>
        <v>3.1768852286348002E-7</v>
      </c>
      <c r="L2318" s="1">
        <f t="shared" ref="L2318" si="2196">SUM(L2319:L2320)</f>
        <v>2.4716356147363901E-7</v>
      </c>
      <c r="N2318" s="1"/>
    </row>
    <row r="2319" spans="2:14" x14ac:dyDescent="0.35">
      <c r="B2319" s="5" t="str">
        <f t="shared" si="2191"/>
        <v>SPS1</v>
      </c>
      <c r="C2319" s="5" t="str">
        <f t="shared" si="219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SUMPRODUCT(ISNUMBER(SEARCH("SUP_NGAH2",[2]OUT_SyntheticFuels!$C$4:$C$1000))*1,("var_ncap"=[2]OUT_SyntheticFuels!$B$4:$B$1000)*1,[2]OUT_SyntheticFuels!I$4:I$1000)-J2320</f>
        <v>4.5444270595706502E-7</v>
      </c>
      <c r="K2319" s="1" cm="1">
        <f t="array" ref="K2319">SUMPRODUCT(ISNUMBER(SEARCH("SUP_NGAH2",[2]OUT_SyntheticFuels!$C$4:$C$1000))*1,("var_ncap"=[2]OUT_SyntheticFuels!$B$4:$B$1000)*1,[2]OUT_SyntheticFuels!J$4:J$1000)-K2320</f>
        <v>3.1768852286348002E-7</v>
      </c>
      <c r="L2319" s="1" cm="1">
        <f t="array" ref="L2319">SUMPRODUCT(ISNUMBER(SEARCH("SUP_NGAH2",[2]OUT_SyntheticFuels!$C$4:$C$1000))*1,("var_ncap"=[2]OUT_SyntheticFuels!$B$4:$B$1000)*1,[2]OUT_SyntheticFuels!K$4:K$1000)-L2320</f>
        <v>2.4716356147363901E-7</v>
      </c>
      <c r="N2319" s="1"/>
    </row>
    <row r="2320" spans="2:14" x14ac:dyDescent="0.35">
      <c r="B2320" s="5" t="str">
        <f t="shared" si="2191"/>
        <v>SPS1</v>
      </c>
      <c r="C2320" s="5" t="str">
        <f t="shared" si="219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1"/>
        <v>SPS1</v>
      </c>
      <c r="C2321" s="5" t="str">
        <f t="shared" si="2192"/>
        <v>CH</v>
      </c>
      <c r="D2321" t="s">
        <v>2456</v>
      </c>
      <c r="E2321" t="s">
        <v>2154</v>
      </c>
      <c r="F2321" s="1">
        <f t="shared" ref="F2321:K2321" si="2197">SUM(F2322:F2323)</f>
        <v>0</v>
      </c>
      <c r="G2321" s="1">
        <f t="shared" si="2197"/>
        <v>0</v>
      </c>
      <c r="H2321" s="1">
        <f t="shared" si="2197"/>
        <v>0</v>
      </c>
      <c r="I2321" s="1">
        <f t="shared" si="2197"/>
        <v>0</v>
      </c>
      <c r="J2321" s="1">
        <f t="shared" si="2197"/>
        <v>0</v>
      </c>
      <c r="K2321" s="1">
        <f t="shared" si="2197"/>
        <v>0</v>
      </c>
      <c r="L2321" s="1">
        <f t="shared" ref="L2321" si="2198">SUM(L2322:L2323)</f>
        <v>0</v>
      </c>
      <c r="N2321" s="1"/>
    </row>
    <row r="2322" spans="2:14" x14ac:dyDescent="0.35">
      <c r="B2322" s="5" t="str">
        <f t="shared" si="2191"/>
        <v>SPS1</v>
      </c>
      <c r="C2322" s="5" t="str">
        <f t="shared" si="219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1"/>
        <v>SPS1</v>
      </c>
      <c r="C2323" s="5" t="str">
        <f t="shared" si="219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1"/>
        <v>SPS1</v>
      </c>
      <c r="C2324" s="5" t="str">
        <f t="shared" si="219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1"/>
        <v>SPS1</v>
      </c>
      <c r="C2325" s="5" t="str">
        <f t="shared" si="219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SUMPRODUCT(("CT_CWODBDS"=[2]OUT_SyntheticFuels!$C$4:$C$1000)*1,("var_ncap"=[2]OUT_SyntheticFuels!$B$4:$B$1000)*1,[2]OUT_SyntheticFuels!I$4:I$1000)</f>
        <v>0</v>
      </c>
      <c r="K2325" s="7" cm="1">
        <f t="array" ref="K2325">SUMPRODUCT(("CT_CWODBDS"=[2]OUT_SyntheticFuels!$C$4:$C$1000)*1,("var_ncap"=[2]OUT_SyntheticFuels!$B$4:$B$1000)*1,[2]OUT_SyntheticFuels!J$4:J$1000)</f>
        <v>0</v>
      </c>
      <c r="L2325" s="7" cm="1">
        <f t="array" ref="L2325">SUMPRODUCT(("CT_CWODBDS"=[2]OUT_SyntheticFuels!$C$4:$C$1000)*1,("var_ncap"=[2]OUT_SyntheticFuels!$B$4:$B$1000)*1,[2]OUT_SyntheticFuels!K$4:K$1000)</f>
        <v>0</v>
      </c>
      <c r="N2325" s="1"/>
    </row>
    <row r="2326" spans="2:14" x14ac:dyDescent="0.35">
      <c r="B2326" s="5" t="str">
        <f t="shared" si="2191"/>
        <v>SPS1</v>
      </c>
      <c r="C2326" s="5" t="str">
        <f t="shared" si="219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1"/>
        <v>SPS1</v>
      </c>
      <c r="C2327" s="5" t="str">
        <f t="shared" si="219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SUMPRODUCT(("CT_CWODETH"=[2]OUT_SyntheticFuels!$C$4:$C$1000)*1,("var_ncap"=[2]OUT_SyntheticFuels!$B$4:$B$1000)*1,[2]OUT_SyntheticFuels!I$4:I$1000)</f>
        <v>0</v>
      </c>
      <c r="K2327" s="7" cm="1">
        <f t="array" ref="K2327">SUMPRODUCT(("CT_CWODETH"=[2]OUT_SyntheticFuels!$C$4:$C$1000)*1,("var_ncap"=[2]OUT_SyntheticFuels!$B$4:$B$1000)*1,[2]OUT_SyntheticFuels!J$4:J$1000)</f>
        <v>0</v>
      </c>
      <c r="L2327" s="7" cm="1">
        <f t="array" ref="L2327">SUMPRODUCT(("CT_CWODETH"=[2]OUT_SyntheticFuels!$C$4:$C$1000)*1,("var_ncap"=[2]OUT_SyntheticFuels!$B$4:$B$1000)*1,[2]OUT_SyntheticFuels!K$4:K$1000)</f>
        <v>0</v>
      </c>
      <c r="N2327" s="1"/>
    </row>
    <row r="2328" spans="2:14" x14ac:dyDescent="0.35">
      <c r="B2328" s="5" t="str">
        <f t="shared" si="2191"/>
        <v>SPS1</v>
      </c>
      <c r="C2328" s="5" t="str">
        <f t="shared" si="219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1"/>
        <v>SPS1</v>
      </c>
      <c r="C2329" s="5" t="str">
        <f t="shared" si="219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SUMPRODUCT(("SUP_MNRBIO"=[2]OUT_SyntheticFuels!$C$4:$C$1000)*1,("var_ncap"=[2]OUT_SyntheticFuels!$B$4:$B$1000)*1,[2]OUT_SyntheticFuels!I$4:I$1000)</f>
        <v>6.2304850228387896E-6</v>
      </c>
      <c r="K2329" s="7" cm="1">
        <f t="array" ref="K2329">SUMPRODUCT(("SUP_MNRBIO"=[2]OUT_SyntheticFuels!$C$4:$C$1000)*1,("var_ncap"=[2]OUT_SyntheticFuels!$B$4:$B$1000)*1,[2]OUT_SyntheticFuels!J$4:J$1000)</f>
        <v>0.14518533602261199</v>
      </c>
      <c r="L2329" s="7" cm="1">
        <f t="array" ref="L2329">SUMPRODUCT(("SUP_MNRBIO"=[2]OUT_SyntheticFuels!$C$4:$C$1000)*1,("var_ncap"=[2]OUT_SyntheticFuels!$B$4:$B$1000)*1,[2]OUT_SyntheticFuels!K$4:K$1000)</f>
        <v>0.10696276128858399</v>
      </c>
      <c r="N2329" s="1"/>
    </row>
    <row r="2330" spans="2:14" x14ac:dyDescent="0.35">
      <c r="B2330" s="5" t="str">
        <f t="shared" si="2191"/>
        <v>SPS1</v>
      </c>
      <c r="C2330" s="5" t="str">
        <f t="shared" si="219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SUMPRODUCT(("SUP_WSTBIO"=[2]OUT_SyntheticFuels!$C$4:$C$1000)*1,("var_ncap"=[2]OUT_SyntheticFuels!$B$4:$B$1000)*1,[2]OUT_SyntheticFuels!I$4:I$1000)</f>
        <v>0.15825953378026</v>
      </c>
      <c r="K2330" s="7" cm="1">
        <f t="array" ref="K2330">SUMPRODUCT(("SUP_WSTBIO"=[2]OUT_SyntheticFuels!$C$4:$C$1000)*1,("var_ncap"=[2]OUT_SyntheticFuels!$B$4:$B$1000)*1,[2]OUT_SyntheticFuels!J$4:J$1000)</f>
        <v>5.6598416855664101E-2</v>
      </c>
      <c r="L2330" s="7" cm="1">
        <f t="array" ref="L2330">SUMPRODUCT(("SUP_WSTBIO"=[2]OUT_SyntheticFuels!$C$4:$C$1000)*1,("var_ncap"=[2]OUT_SyntheticFuels!$B$4:$B$1000)*1,[2]OUT_SyntheticFuels!K$4:K$1000)</f>
        <v>0.16594749639930001</v>
      </c>
      <c r="N2330" s="1"/>
    </row>
    <row r="2331" spans="2:14" x14ac:dyDescent="0.35">
      <c r="B2331" s="5" t="str">
        <f t="shared" si="2191"/>
        <v>SPS1</v>
      </c>
      <c r="C2331" s="5" t="str">
        <f t="shared" si="219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1"/>
        <v>SPS1</v>
      </c>
      <c r="C2332" s="5" t="str">
        <f t="shared" si="219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3.73180030938305E-3</v>
      </c>
      <c r="L2332" s="7" cm="1">
        <f t="array" ref="L2332">SUMPRODUCT(("SUP_WSTHTGBIO"=[2]OUT_SyntheticFuels!$C$4:$C$1000)*1,("var_ncap"=[2]OUT_SyntheticFuels!$B$4:$B$1000)*1,[2]OUT_SyntheticFuels!K$4:K$1000)</f>
        <v>6.3981596920496104E-4</v>
      </c>
      <c r="N2332" s="1"/>
    </row>
    <row r="2333" spans="2:14" x14ac:dyDescent="0.35">
      <c r="B2333" s="5" t="str">
        <f t="shared" si="2191"/>
        <v>SPS1</v>
      </c>
      <c r="C2333" s="5" t="str">
        <f t="shared" si="219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1"/>
        <v>SPS1</v>
      </c>
      <c r="C2334" s="5" t="str">
        <f t="shared" si="219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SUMPRODUCT(("SUP_WODBIO"=[2]OUT_SyntheticFuels!$C$4:$C$1000)*1,("var_ncap"=[2]OUT_SyntheticFuels!$B$4:$B$1000)*1,[2]OUT_SyntheticFuels!I$4:I$1000)</f>
        <v>0</v>
      </c>
      <c r="K2334" s="7" cm="1">
        <f t="array" ref="K2334">SUMPRODUCT(("SUP_WODBIO"=[2]OUT_SyntheticFuels!$C$4:$C$1000)*1,("var_ncap"=[2]OUT_SyntheticFuels!$B$4:$B$1000)*1,[2]OUT_SyntheticFuels!J$4:J$1000)</f>
        <v>0</v>
      </c>
      <c r="L2334" s="7" cm="1">
        <f t="array" ref="L2334">SUMPRODUCT(("SUP_WODBIO"=[2]OUT_SyntheticFuels!$C$4:$C$1000)*1,("var_ncap"=[2]OUT_SyntheticFuels!$B$4:$B$1000)*1,[2]OUT_SyntheticFuels!K$4:K$1000)</f>
        <v>0</v>
      </c>
      <c r="N2334" s="1"/>
    </row>
    <row r="2335" spans="2:14" x14ac:dyDescent="0.35">
      <c r="B2335" s="5" t="str">
        <f t="shared" si="2191"/>
        <v>SPS1</v>
      </c>
      <c r="C2335" s="5" t="str">
        <f t="shared" si="219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1"/>
        <v>SPS1</v>
      </c>
      <c r="C2336" s="5" t="str">
        <f t="shared" si="219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SUMPRODUCT(("SUP_BIONGA"=[2]OUT_SyntheticFuels!$C$4:$C$1000)*1,("var_ncap"=[2]OUT_SyntheticFuels!$B$4:$B$1000)*1,[2]OUT_SyntheticFuels!I$4:I$1000)</f>
        <v>1.8678975854302102E-2</v>
      </c>
      <c r="K2336" s="7" cm="1">
        <f t="array" ref="K2336">SUMPRODUCT(("SUP_BIONGA"=[2]OUT_SyntheticFuels!$C$4:$C$1000)*1,("var_ncap"=[2]OUT_SyntheticFuels!$B$4:$B$1000)*1,[2]OUT_SyntheticFuels!J$4:J$1000)</f>
        <v>2.2235782765672799E-2</v>
      </c>
      <c r="L2336" s="7" cm="1">
        <f t="array" ref="L2336">SUMPRODUCT(("SUP_BIONGA"=[2]OUT_SyntheticFuels!$C$4:$C$1000)*1,("var_ncap"=[2]OUT_SyntheticFuels!$B$4:$B$1000)*1,[2]OUT_SyntheticFuels!K$4:K$1000)</f>
        <v>0.135796346906884</v>
      </c>
      <c r="N2336" s="1"/>
    </row>
    <row r="2337" spans="2:14" x14ac:dyDescent="0.35">
      <c r="B2337" s="5" t="str">
        <f t="shared" si="2191"/>
        <v>SPS1</v>
      </c>
      <c r="C2337" s="5" t="str">
        <f t="shared" si="219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SUMPRODUCT(("CT_CWODPLT"=[2]OUT_SyntheticFuels!$C$4:$C$1000)*1,("var_ncap"=[2]OUT_SyntheticFuels!$B$4:$B$1000)*1,[2]OUT_SyntheticFuels!I$4:I$1000)</f>
        <v>2.8987719118672901E-6</v>
      </c>
      <c r="K2337" s="7" cm="1">
        <f t="array" ref="K2337">SUMPRODUCT(("CT_CWODPLT"=[2]OUT_SyntheticFuels!$C$4:$C$1000)*1,("var_ncap"=[2]OUT_SyntheticFuels!$B$4:$B$1000)*1,[2]OUT_SyntheticFuels!J$4:J$1000)</f>
        <v>1.6201965864144501E-2</v>
      </c>
      <c r="L2337" s="7" cm="1">
        <f t="array" ref="L2337">SUMPRODUCT(("CT_CWODPLT"=[2]OUT_SyntheticFuels!$C$4:$C$1000)*1,("var_ncap"=[2]OUT_SyntheticFuels!$B$4:$B$1000)*1,[2]OUT_SyntheticFuels!K$4:K$1000)</f>
        <v>1.72168756972821E-2</v>
      </c>
      <c r="N2337" s="1"/>
    </row>
    <row r="2338" spans="2:14" x14ac:dyDescent="0.35">
      <c r="B2338" s="5" t="str">
        <f t="shared" si="2191"/>
        <v>SPS1</v>
      </c>
      <c r="C2338" s="5" t="str">
        <f t="shared" si="219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SUMPRODUCT(("SUP_H2NGA"=[2]OUT_SyntheticFuels!$C$4:$C$1000)*1,("var_ncap"=[2]OUT_SyntheticFuels!$B$4:$B$1000)*1,[2]OUT_SyntheticFuels!I$4:I$1000)</f>
        <v>1.3824914264543799E-6</v>
      </c>
      <c r="K2338" s="7" cm="1">
        <f t="array" ref="K2338">SUMPRODUCT(("SUP_H2NGA"=[2]OUT_SyntheticFuels!$C$4:$C$1000)*1,("var_ncap"=[2]OUT_SyntheticFuels!$B$4:$B$1000)*1,[2]OUT_SyntheticFuels!J$4:J$1000)</f>
        <v>5.5363450272888401E-7</v>
      </c>
      <c r="L2338" s="7" cm="1">
        <f t="array" ref="L2338">SUMPRODUCT(("SUP_H2NGA"=[2]OUT_SyntheticFuels!$C$4:$C$1000)*1,("var_ncap"=[2]OUT_SyntheticFuels!$B$4:$B$1000)*1,[2]OUT_SyntheticFuels!K$4:K$1000)</f>
        <v>3.6571732303721E-7</v>
      </c>
      <c r="N2338" s="1"/>
    </row>
    <row r="2339" spans="2:14" x14ac:dyDescent="0.35">
      <c r="B2339" s="5" t="str">
        <f t="shared" si="2191"/>
        <v>SPS1</v>
      </c>
      <c r="C2339" s="5" t="str">
        <f t="shared" si="219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SUMPRODUCT(("SUP_H2DSL"=[2]OUT_SyntheticFuels!$C$4:$C$1000)*1,("var_ncap"=[2]OUT_SyntheticFuels!$B$4:$B$1000)*1,[2]OUT_SyntheticFuels!I$4:I$1000)</f>
        <v>1.3240115390047099E-6</v>
      </c>
      <c r="K2339" s="7" cm="1">
        <f t="array" ref="K2339">SUMPRODUCT(("SUP_H2DSL"=[2]OUT_SyntheticFuels!$C$4:$C$1000)*1,("var_ncap"=[2]OUT_SyntheticFuels!$B$4:$B$1000)*1,[2]OUT_SyntheticFuels!J$4:J$1000)</f>
        <v>7.5689574925147301E-7</v>
      </c>
      <c r="L2339" s="7" cm="1">
        <f t="array" ref="L2339">SUMPRODUCT(("SUP_H2DSL"=[2]OUT_SyntheticFuels!$C$4:$C$1000)*1,("var_ncap"=[2]OUT_SyntheticFuels!$B$4:$B$1000)*1,[2]OUT_SyntheticFuels!K$4:K$1000)</f>
        <v>5.9307701864085702E-7</v>
      </c>
      <c r="N2339" s="1"/>
    </row>
    <row r="2340" spans="2:14" x14ac:dyDescent="0.35">
      <c r="B2340" s="5" t="str">
        <f t="shared" si="2191"/>
        <v>SPS1</v>
      </c>
      <c r="C2340" s="5" t="str">
        <f t="shared" si="219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SUMPRODUCT(("SUP_H2GSL"=[2]OUT_SyntheticFuels!$C$4:$C$1000)*1,("var_ncap"=[2]OUT_SyntheticFuels!$B$4:$B$1000)*1,[2]OUT_SyntheticFuels!I$4:I$1000)</f>
        <v>1.2546671521926601E-6</v>
      </c>
      <c r="K2340" s="7" cm="1">
        <f t="array" ref="K2340">SUMPRODUCT(("SUP_H2GSL"=[2]OUT_SyntheticFuels!$C$4:$C$1000)*1,("var_ncap"=[2]OUT_SyntheticFuels!$B$4:$B$1000)*1,[2]OUT_SyntheticFuels!J$4:J$1000)</f>
        <v>7.4777621892087398E-7</v>
      </c>
      <c r="L2340" s="7" cm="1">
        <f t="array" ref="L2340">SUMPRODUCT(("SUP_H2GSL"=[2]OUT_SyntheticFuels!$C$4:$C$1000)*1,("var_ncap"=[2]OUT_SyntheticFuels!$B$4:$B$1000)*1,[2]OUT_SyntheticFuels!K$4:K$1000)</f>
        <v>5.6919451047352401E-7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552.75495071432033</v>
      </c>
      <c r="H3" s="3">
        <f t="shared" si="0"/>
        <v>513.62314663532857</v>
      </c>
    </row>
    <row r="4" spans="2:8" x14ac:dyDescent="0.35">
      <c r="B4" s="25" t="s">
        <v>1727</v>
      </c>
      <c r="C4" s="1">
        <f>SPS3_SOC_Mid!F763</f>
        <v>142.21760158700843</v>
      </c>
      <c r="D4" s="1">
        <f>SPS3_SOC_Mid!G763</f>
        <v>139.06071934956051</v>
      </c>
      <c r="E4" s="1">
        <f>SPS3_SOC_Mid!H763</f>
        <v>144.60837035759988</v>
      </c>
      <c r="F4" s="1">
        <f>SPS3_SOC_Mid!I763</f>
        <v>134.30391156555439</v>
      </c>
      <c r="G4" s="1">
        <f>SPS3_SOC_Mid!J763</f>
        <v>128.93533601841793</v>
      </c>
      <c r="H4" s="1">
        <f>SPS3_SOC_Mid!K763</f>
        <v>120.18772943509445</v>
      </c>
    </row>
    <row r="5" spans="2:8" x14ac:dyDescent="0.35">
      <c r="B5" s="25" t="s">
        <v>1728</v>
      </c>
      <c r="C5" s="1">
        <f>SPS3_SOC_Mid!F882</f>
        <v>140.10115563936907</v>
      </c>
      <c r="D5" s="1">
        <f>SPS3_SOC_Mid!G882</f>
        <v>137.10230581612601</v>
      </c>
      <c r="E5" s="1">
        <f>SPS3_SOC_Mid!H882</f>
        <v>132.14774722520764</v>
      </c>
      <c r="F5" s="1">
        <f>SPS3_SOC_Mid!I882</f>
        <v>118.3132511459926</v>
      </c>
      <c r="G5" s="1">
        <f>SPS3_SOC_Mid!J882</f>
        <v>110.36779421822597</v>
      </c>
      <c r="H5" s="1">
        <f>SPS3_SOC_Mid!K882</f>
        <v>101.71475402742234</v>
      </c>
    </row>
    <row r="6" spans="2:8" x14ac:dyDescent="0.35">
      <c r="B6" s="25" t="s">
        <v>1729</v>
      </c>
      <c r="C6" s="1">
        <f>SPS3_SOC_Mid!F972</f>
        <v>219.87423080493457</v>
      </c>
      <c r="D6" s="1">
        <f>SPS3_SOC_Mid!G972</f>
        <v>216.46301812830364</v>
      </c>
      <c r="E6" s="1">
        <f>SPS3_SOC_Mid!H972</f>
        <v>219.07144003015637</v>
      </c>
      <c r="F6" s="1">
        <f>SPS3_SOC_Mid!I972</f>
        <v>196.14900403904147</v>
      </c>
      <c r="G6" s="1">
        <f>SPS3_SOC_Mid!J972</f>
        <v>188.65211298116606</v>
      </c>
      <c r="H6" s="1">
        <f>SPS3_SOC_Mid!K972</f>
        <v>176.92575253965981</v>
      </c>
    </row>
    <row r="7" spans="2:8" x14ac:dyDescent="0.35">
      <c r="B7" s="25" t="s">
        <v>1730</v>
      </c>
      <c r="C7" s="1">
        <f>SPS3_SOC_Mid!F1136+SPS3_SOC_Mid!F1315+SPS3_SOC_Mid!F1399+SPS3_SOC_Mid!F1483+SPS3_SOC_Mid!F1490+SPS3_SOC_Mid!F1497+SPS3_SOC_Mid!F1546+SPS3_SOC_Mid!F1593+SPS3_SOC_Mid!F1640</f>
        <v>215.32125029837306</v>
      </c>
      <c r="D7" s="1">
        <f>SPS3_SOC_Mid!G1136+SPS3_SOC_Mid!G1315+SPS3_SOC_Mid!G1399+SPS3_SOC_Mid!G1483+SPS3_SOC_Mid!G1490+SPS3_SOC_Mid!G1497+SPS3_SOC_Mid!G1546+SPS3_SOC_Mid!G1593+SPS3_SOC_Mid!G1640</f>
        <v>206.92511278252408</v>
      </c>
      <c r="E7" s="1">
        <f>SPS3_SOC_Mid!H1136+SPS3_SOC_Mid!H1315+SPS3_SOC_Mid!H1399+SPS3_SOC_Mid!H1483+SPS3_SOC_Mid!H1490+SPS3_SOC_Mid!H1497+SPS3_SOC_Mid!H1546+SPS3_SOC_Mid!H1593+SPS3_SOC_Mid!H1640</f>
        <v>189.04288620712029</v>
      </c>
      <c r="F7" s="1">
        <f>SPS3_SOC_Mid!I1136+SPS3_SOC_Mid!I1315+SPS3_SOC_Mid!I1399+SPS3_SOC_Mid!I1483+SPS3_SOC_Mid!I1490+SPS3_SOC_Mid!I1497+SPS3_SOC_Mid!I1546+SPS3_SOC_Mid!I1593+SPS3_SOC_Mid!I1640</f>
        <v>159.03166590110453</v>
      </c>
      <c r="G7" s="1">
        <f>SPS3_SOC_Mid!J1136+SPS3_SOC_Mid!J1315+SPS3_SOC_Mid!J1399+SPS3_SOC_Mid!J1483+SPS3_SOC_Mid!J1490+SPS3_SOC_Mid!J1497+SPS3_SOC_Mid!J1546+SPS3_SOC_Mid!J1593+SPS3_SOC_Mid!J1640</f>
        <v>124.79970749651039</v>
      </c>
      <c r="H7" s="1">
        <f>SPS3_SOC_Mid!K1136+SPS3_SOC_Mid!K1315+SPS3_SOC_Mid!K1399+SPS3_SOC_Mid!K1483+SPS3_SOC_Mid!K1490+SPS3_SOC_Mid!K1497+SPS3_SOC_Mid!K1546+SPS3_SOC_Mid!K1593+SPS3_SOC_Mid!K1640</f>
        <v>114.79491063315197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515.38474617595296</v>
      </c>
      <c r="H8" s="3">
        <f t="shared" si="1"/>
        <v>489.66123190066196</v>
      </c>
    </row>
    <row r="9" spans="2:8" x14ac:dyDescent="0.35">
      <c r="B9" s="25" t="s">
        <v>1732</v>
      </c>
      <c r="C9" s="1">
        <f>SPS3_SOC_Mid!F291+SPS3_SOC_Mid!F409</f>
        <v>493.35034555354048</v>
      </c>
      <c r="D9" s="1">
        <f>SPS3_SOC_Mid!G291+SPS3_SOC_Mid!G409</f>
        <v>479.71939018565234</v>
      </c>
      <c r="E9" s="1">
        <f>SPS3_SOC_Mid!H291+SPS3_SOC_Mid!H409</f>
        <v>484.03300339055238</v>
      </c>
      <c r="F9" s="1">
        <f>SPS3_SOC_Mid!I291+SPS3_SOC_Mid!I409</f>
        <v>504.95288850558825</v>
      </c>
      <c r="G9" s="1">
        <f>SPS3_SOC_Mid!J291+SPS3_SOC_Mid!J409</f>
        <v>488.88928973727457</v>
      </c>
      <c r="H9" s="1">
        <f>SPS3_SOC_Mid!K291+SPS3_SOC_Mid!K409</f>
        <v>444.79002384528502</v>
      </c>
    </row>
    <row r="10" spans="2:8" x14ac:dyDescent="0.35">
      <c r="B10" s="25" t="s">
        <v>1733</v>
      </c>
      <c r="C10" s="1">
        <f>SPS3_SOC_Mid!F590+SPS3_SOC_Mid!F604+SPS3_SOC_Mid!F644</f>
        <v>16.194736936115465</v>
      </c>
      <c r="D10" s="1">
        <f>SPS3_SOC_Mid!G590+SPS3_SOC_Mid!G604+SPS3_SOC_Mid!G644</f>
        <v>25.311941448724667</v>
      </c>
      <c r="E10" s="1">
        <f>SPS3_SOC_Mid!H590+SPS3_SOC_Mid!H604+SPS3_SOC_Mid!H644</f>
        <v>26.544943759351252</v>
      </c>
      <c r="F10" s="1">
        <f>SPS3_SOC_Mid!I590+SPS3_SOC_Mid!I604+SPS3_SOC_Mid!I644</f>
        <v>24.231868340281498</v>
      </c>
      <c r="G10" s="1">
        <f>SPS3_SOC_Mid!J590+SPS3_SOC_Mid!J604+SPS3_SOC_Mid!J644</f>
        <v>25.850967668208341</v>
      </c>
      <c r="H10" s="1">
        <f>SPS3_SOC_Mid!K590+SPS3_SOC_Mid!K604+SPS3_SOC_Mid!K644</f>
        <v>31.663929417063489</v>
      </c>
    </row>
    <row r="11" spans="2:8" x14ac:dyDescent="0.35">
      <c r="B11" s="25" t="s">
        <v>1731</v>
      </c>
      <c r="C11" s="1">
        <f>SPS3_SOC_Mid!F679</f>
        <v>6.5201059750009645E-3</v>
      </c>
      <c r="D11" s="1">
        <f>SPS3_SOC_Mid!G679</f>
        <v>9.3546252815172488E-3</v>
      </c>
      <c r="E11" s="1">
        <f>SPS3_SOC_Mid!H679</f>
        <v>9.3914283377240088E-3</v>
      </c>
      <c r="F11" s="1">
        <f>SPS3_SOC_Mid!I679</f>
        <v>1.3224233673157285E-2</v>
      </c>
      <c r="G11" s="1">
        <f>SPS3_SOC_Mid!J679</f>
        <v>0.64448877047008091</v>
      </c>
      <c r="H11" s="1">
        <f>SPS3_SOC_Mid!K679</f>
        <v>13.20727863831341</v>
      </c>
    </row>
    <row r="12" spans="2:8" x14ac:dyDescent="0.35">
      <c r="B12" s="25" t="s">
        <v>1734</v>
      </c>
      <c r="C12" s="1">
        <f>SPS3_SOC_Mid!F1707</f>
        <v>0</v>
      </c>
      <c r="D12" s="1">
        <f>SPS3_SOC_Mid!G1707</f>
        <v>0</v>
      </c>
      <c r="E12" s="1">
        <f>SPS3_SOC_Mid!H1707</f>
        <v>0</v>
      </c>
      <c r="F12" s="1">
        <f>SPS3_SOC_Mid!I1707</f>
        <v>0</v>
      </c>
      <c r="G12" s="1">
        <f>SPS3_SOC_Mid!J1707</f>
        <v>0</v>
      </c>
      <c r="H12" s="1">
        <f>SPS3_SOC_Mid!K1707</f>
        <v>0</v>
      </c>
    </row>
    <row r="13" spans="2:8" x14ac:dyDescent="0.35">
      <c r="B13" s="2" t="s">
        <v>1736</v>
      </c>
      <c r="C13" s="3">
        <f>SPS3_SOC_Mid!F2+SPS3_SOC_Mid!F20-SPS3_SOC_Mid!F57</f>
        <v>963.90607471923227</v>
      </c>
      <c r="D13" s="3">
        <f>SPS3_SOC_Mid!G2+SPS3_SOC_Mid!G20-SPS3_SOC_Mid!G57</f>
        <v>961.7925757747754</v>
      </c>
      <c r="E13" s="3">
        <f>SPS3_SOC_Mid!H2+SPS3_SOC_Mid!H20-SPS3_SOC_Mid!H57</f>
        <v>908.27532365117929</v>
      </c>
      <c r="F13" s="3">
        <f>SPS3_SOC_Mid!I2+SPS3_SOC_Mid!I20-SPS3_SOC_Mid!I57</f>
        <v>858.90533272457424</v>
      </c>
      <c r="G13" s="3">
        <f>SPS3_SOC_Mid!J2+SPS3_SOC_Mid!J20-SPS3_SOC_Mid!J57</f>
        <v>765.62420514633618</v>
      </c>
      <c r="H13" s="3">
        <f>SPS3_SOC_Mid!K2+SPS3_SOC_Mid!K20-SPS3_SOC_Mid!K57</f>
        <v>703.5493081829236</v>
      </c>
    </row>
    <row r="14" spans="2:8" x14ac:dyDescent="0.35">
      <c r="B14" s="25" t="s">
        <v>1737</v>
      </c>
      <c r="C14" s="1">
        <f>SPS3_SOC_Mid!F2</f>
        <v>300.18621340525118</v>
      </c>
      <c r="D14" s="1">
        <f>SPS3_SOC_Mid!G2</f>
        <v>295.40136239813279</v>
      </c>
      <c r="E14" s="1">
        <f>SPS3_SOC_Mid!H2</f>
        <v>332.78994579956441</v>
      </c>
      <c r="F14" s="1">
        <f>SPS3_SOC_Mid!I2</f>
        <v>403.54133984502317</v>
      </c>
      <c r="G14" s="1">
        <f>SPS3_SOC_Mid!J2</f>
        <v>418.85745302504023</v>
      </c>
      <c r="H14" s="1">
        <f>SPS3_SOC_Mid!K2</f>
        <v>453.88905778823181</v>
      </c>
    </row>
    <row r="15" spans="2:8" x14ac:dyDescent="0.35">
      <c r="B15" s="25" t="s">
        <v>19</v>
      </c>
      <c r="C15" s="1">
        <f>SPS3_SOC_Mid!F20</f>
        <v>780.8898825531777</v>
      </c>
      <c r="D15" s="1">
        <f>SPS3_SOC_Mid!G20</f>
        <v>703.03717422868715</v>
      </c>
      <c r="E15" s="1">
        <f>SPS3_SOC_Mid!H20</f>
        <v>651.20694316298079</v>
      </c>
      <c r="F15" s="1">
        <f>SPS3_SOC_Mid!I20</f>
        <v>506.11044461011778</v>
      </c>
      <c r="G15" s="1">
        <f>SPS3_SOC_Mid!J20</f>
        <v>392.64224577098662</v>
      </c>
      <c r="H15" s="1">
        <f>SPS3_SOC_Mid!K20</f>
        <v>270.47463806698499</v>
      </c>
    </row>
    <row r="16" spans="2:8" x14ac:dyDescent="0.35">
      <c r="B16" s="25" t="s">
        <v>24</v>
      </c>
      <c r="C16" s="1">
        <f>SPS3_SOC_Mid!F57</f>
        <v>117.17002123919661</v>
      </c>
      <c r="D16" s="1">
        <f>SPS3_SOC_Mid!G57</f>
        <v>36.645960852044595</v>
      </c>
      <c r="E16" s="1">
        <f>SPS3_SOC_Mid!H57</f>
        <v>75.721565311365879</v>
      </c>
      <c r="F16" s="1">
        <f>SPS3_SOC_Mid!I57</f>
        <v>50.746451730566761</v>
      </c>
      <c r="G16" s="1">
        <f>SPS3_SOC_Mid!J57</f>
        <v>45.875493649690739</v>
      </c>
      <c r="H16" s="1">
        <f>SPS3_SOC_Mid!K57</f>
        <v>20.814387672293194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A0047833-6D7F-4358-AD83-2E9ACB6DEBA3}"/>
</file>

<file path=customXml/itemProps2.xml><?xml version="1.0" encoding="utf-8"?>
<ds:datastoreItem xmlns:ds="http://schemas.openxmlformats.org/officeDocument/2006/customXml" ds:itemID="{981E8075-578E-4B37-8590-54618B1C8C0A}"/>
</file>

<file path=customXml/itemProps3.xml><?xml version="1.0" encoding="utf-8"?>
<ds:datastoreItem xmlns:ds="http://schemas.openxmlformats.org/officeDocument/2006/customXml" ds:itemID="{35454622-90CB-4198-A3A9-6165C51067F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SPS3_SOC_Mid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